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lockStructure="1"/>
  <bookViews>
    <workbookView xWindow="480" yWindow="90" windowWidth="12285" windowHeight="10515"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H172" i="90" s="1"/>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H171" i="90" s="1"/>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H170" i="90" s="1"/>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H168" i="90" s="1"/>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H165" i="90" s="1"/>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O123" i="73"/>
  <c r="AO293" i="73" s="1"/>
  <c r="AN123" i="73"/>
  <c r="AM123" i="73"/>
  <c r="AL123" i="73"/>
  <c r="AL293" i="73" s="1"/>
  <c r="AK123" i="73"/>
  <c r="AJ123" i="73"/>
  <c r="AI123" i="73"/>
  <c r="AH123" i="73"/>
  <c r="AG123" i="73"/>
  <c r="AF123" i="73"/>
  <c r="AF293" i="73" s="1"/>
  <c r="AE123" i="73"/>
  <c r="AD123" i="73"/>
  <c r="AC123" i="73"/>
  <c r="AB123" i="73"/>
  <c r="AB293" i="73" s="1"/>
  <c r="AA123" i="73"/>
  <c r="Z123" i="73"/>
  <c r="Y123" i="73"/>
  <c r="X123" i="73"/>
  <c r="X293" i="73" s="1"/>
  <c r="W123" i="73"/>
  <c r="V123" i="73"/>
  <c r="U123" i="73"/>
  <c r="T123" i="73"/>
  <c r="S123" i="73"/>
  <c r="S293" i="73" s="1"/>
  <c r="R123" i="73"/>
  <c r="Q123" i="73"/>
  <c r="P123" i="73"/>
  <c r="O123" i="73"/>
  <c r="N123" i="73"/>
  <c r="M123" i="73"/>
  <c r="L123" i="73"/>
  <c r="K123" i="73"/>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M293" i="73" s="1"/>
  <c r="AL121" i="73"/>
  <c r="AK121" i="73"/>
  <c r="AK293" i="73" s="1"/>
  <c r="AJ121" i="73"/>
  <c r="AI121" i="73"/>
  <c r="AI293" i="73" s="1"/>
  <c r="AH121" i="73"/>
  <c r="AH293" i="73" s="1"/>
  <c r="AG121" i="73"/>
  <c r="AF121" i="73"/>
  <c r="AE121" i="73"/>
  <c r="AD121" i="73"/>
  <c r="AC121" i="73"/>
  <c r="AC293" i="73" s="1"/>
  <c r="AB121" i="73"/>
  <c r="AA121" i="73"/>
  <c r="AA293" i="73" s="1"/>
  <c r="Z121" i="73"/>
  <c r="Z293" i="73" s="1"/>
  <c r="Y121" i="73"/>
  <c r="X121" i="73"/>
  <c r="W121" i="73"/>
  <c r="W293" i="73" s="1"/>
  <c r="V121" i="73"/>
  <c r="U121" i="73"/>
  <c r="U293" i="73" s="1"/>
  <c r="T121" i="73"/>
  <c r="S121" i="73"/>
  <c r="R121" i="73"/>
  <c r="R293" i="73" s="1"/>
  <c r="Q121" i="73"/>
  <c r="Q293" i="73" s="1"/>
  <c r="P121" i="73"/>
  <c r="O121" i="73"/>
  <c r="O293" i="73" s="1"/>
  <c r="N121" i="73"/>
  <c r="N293" i="73" s="1"/>
  <c r="M121" i="73"/>
  <c r="M293" i="73" s="1"/>
  <c r="L121" i="73"/>
  <c r="K121" i="73"/>
  <c r="J121" i="73"/>
  <c r="J293" i="73" s="1"/>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c r="K198" i="80"/>
  <c r="J198" i="80"/>
  <c r="Y293" i="73"/>
  <c r="AG293" i="73"/>
  <c r="L293" i="73"/>
  <c r="T293" i="73"/>
  <c r="AJ293" i="73"/>
  <c r="H91" i="89"/>
  <c r="H49" i="86"/>
  <c r="AC16" i="105"/>
  <c r="K293" i="73"/>
  <c r="AE293" i="73"/>
  <c r="V293" i="73"/>
  <c r="AD293" i="73"/>
  <c r="AP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J24" i="53"/>
  <c r="AI24" i="53"/>
  <c r="AH24" i="53"/>
  <c r="AG24" i="53"/>
  <c r="AF24" i="53"/>
  <c r="AE24" i="53"/>
  <c r="AD24" i="53"/>
  <c r="AC24" i="53"/>
  <c r="AB24" i="53"/>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S44" i="53"/>
  <c r="T25" i="53"/>
  <c r="T45" i="53" s="1"/>
  <c r="U25" i="53"/>
  <c r="U44" i="53"/>
  <c r="V25" i="53"/>
  <c r="V45" i="53" s="1"/>
  <c r="W25" i="53"/>
  <c r="W44" i="53" s="1"/>
  <c r="X25" i="53"/>
  <c r="Y25" i="53"/>
  <c r="Z25" i="53"/>
  <c r="AA25" i="53"/>
  <c r="AB25" i="53"/>
  <c r="AC25" i="53"/>
  <c r="AD25" i="53"/>
  <c r="AE25" i="53"/>
  <c r="AF25" i="53"/>
  <c r="AG25" i="53"/>
  <c r="AG44" i="53" s="1"/>
  <c r="AH25" i="53"/>
  <c r="AH44" i="53" s="1"/>
  <c r="AI25" i="53"/>
  <c r="AJ25" i="53"/>
  <c r="AK25" i="53"/>
  <c r="AK44" i="53"/>
  <c r="AL25" i="53"/>
  <c r="AL45" i="53" s="1"/>
  <c r="AM25" i="53"/>
  <c r="AN25" i="53"/>
  <c r="AO25" i="53"/>
  <c r="AO44" i="53"/>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118" i="31" a="1"/>
  <c r="S141" i="31" s="1"/>
  <c r="S178" i="31" s="1"/>
  <c r="J46" i="31" a="1"/>
  <c r="M64" i="31" s="1"/>
  <c r="AB34" i="70"/>
  <c r="AA34" i="70"/>
  <c r="Z34" i="70"/>
  <c r="Y34" i="70"/>
  <c r="X34" i="70"/>
  <c r="W34" i="70"/>
  <c r="V34" i="70"/>
  <c r="U34" i="70"/>
  <c r="U52" i="70" s="1"/>
  <c r="T34" i="70"/>
  <c r="S34" i="70"/>
  <c r="R34" i="70"/>
  <c r="Q34" i="70"/>
  <c r="P34" i="70"/>
  <c r="O34" i="70"/>
  <c r="N34" i="70"/>
  <c r="M34" i="70"/>
  <c r="M52" i="70" s="1"/>
  <c r="L34" i="70"/>
  <c r="K34" i="70"/>
  <c r="J34" i="70"/>
  <c r="AB33" i="70"/>
  <c r="AA33" i="70"/>
  <c r="Z33" i="70"/>
  <c r="Y33" i="70"/>
  <c r="X33" i="70"/>
  <c r="X51" i="70" s="1"/>
  <c r="W33" i="70"/>
  <c r="V33" i="70"/>
  <c r="U33" i="70"/>
  <c r="T33" i="70"/>
  <c r="S33" i="70"/>
  <c r="R33" i="70"/>
  <c r="Q33" i="70"/>
  <c r="P33" i="70"/>
  <c r="P51" i="70" s="1"/>
  <c r="O33" i="70"/>
  <c r="N33" i="70"/>
  <c r="M33" i="70"/>
  <c r="L33" i="70"/>
  <c r="K33" i="70"/>
  <c r="J33" i="70"/>
  <c r="AB32" i="70"/>
  <c r="AA32" i="70"/>
  <c r="AA50" i="70" s="1"/>
  <c r="Z32" i="70"/>
  <c r="Y32" i="70"/>
  <c r="X32" i="70"/>
  <c r="W32" i="70"/>
  <c r="V32" i="70"/>
  <c r="U32" i="70"/>
  <c r="T32" i="70"/>
  <c r="S32" i="70"/>
  <c r="S50" i="70" s="1"/>
  <c r="R32" i="70"/>
  <c r="Q32" i="70"/>
  <c r="P32" i="70"/>
  <c r="O32" i="70"/>
  <c r="N32" i="70"/>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R30" i="70"/>
  <c r="Q30" i="70"/>
  <c r="Q48" i="70" s="1"/>
  <c r="P30" i="70"/>
  <c r="O30" i="70"/>
  <c r="N30" i="70"/>
  <c r="M30" i="70"/>
  <c r="L30" i="70"/>
  <c r="K30" i="70"/>
  <c r="J30" i="70"/>
  <c r="AB29" i="70"/>
  <c r="AB47" i="70" s="1"/>
  <c r="AA29" i="70"/>
  <c r="Z29" i="70"/>
  <c r="Y29" i="70"/>
  <c r="X29" i="70"/>
  <c r="W29" i="70"/>
  <c r="V29" i="70"/>
  <c r="U29" i="70"/>
  <c r="T29" i="70"/>
  <c r="T47" i="70" s="1"/>
  <c r="S29" i="70"/>
  <c r="R29" i="70"/>
  <c r="Q29" i="70"/>
  <c r="P29" i="70"/>
  <c r="O29" i="70"/>
  <c r="N29" i="70"/>
  <c r="M29" i="70"/>
  <c r="L29" i="70"/>
  <c r="L47" i="70" s="1"/>
  <c r="K29" i="70"/>
  <c r="J29" i="70"/>
  <c r="AB28" i="70"/>
  <c r="AA28" i="70"/>
  <c r="Z28" i="70"/>
  <c r="Y28" i="70"/>
  <c r="X28" i="70"/>
  <c r="W28" i="70"/>
  <c r="W46" i="70" s="1"/>
  <c r="V28" i="70"/>
  <c r="U28" i="70"/>
  <c r="T28" i="70"/>
  <c r="S28" i="70"/>
  <c r="R28" i="70"/>
  <c r="Q28" i="70"/>
  <c r="P28" i="70"/>
  <c r="O28" i="70"/>
  <c r="O46" i="70"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W25" i="70"/>
  <c r="V25" i="70"/>
  <c r="U25" i="70"/>
  <c r="T25" i="70"/>
  <c r="S25" i="70"/>
  <c r="R25" i="70"/>
  <c r="Q25" i="70"/>
  <c r="P25" i="70"/>
  <c r="O25" i="70"/>
  <c r="N25" i="70"/>
  <c r="M25" i="70"/>
  <c r="L25" i="70"/>
  <c r="K25" i="70"/>
  <c r="J25" i="70"/>
  <c r="H22" i="72" a="1"/>
  <c r="H23" i="72" s="1"/>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H44" i="89"/>
  <c r="H45" i="89" s="1"/>
  <c r="AO104" i="87"/>
  <c r="H54" i="89"/>
  <c r="H67" i="89"/>
  <c r="AH105" i="87"/>
  <c r="J39" i="105"/>
  <c r="J18" i="105"/>
  <c r="J36" i="105"/>
  <c r="J35" i="105"/>
  <c r="J20" i="105"/>
  <c r="J40" i="105"/>
  <c r="J27" i="105"/>
  <c r="J29" i="105"/>
  <c r="J17" i="105"/>
  <c r="J26" i="105"/>
  <c r="J31" i="105"/>
  <c r="J21" i="105"/>
  <c r="J22" i="105"/>
  <c r="J38" i="105"/>
  <c r="J30" i="105"/>
  <c r="S45" i="53"/>
  <c r="U45" i="53"/>
  <c r="AG45" i="53"/>
  <c r="W45" i="53"/>
  <c r="AK45" i="53"/>
  <c r="T44" i="53"/>
  <c r="AO45" i="53"/>
  <c r="V44" i="53"/>
  <c r="AL44" i="53"/>
  <c r="AP44" i="53"/>
  <c r="J24" i="23"/>
  <c r="J26" i="23"/>
  <c r="J30" i="23"/>
  <c r="J39" i="23"/>
  <c r="J41" i="23"/>
  <c r="J44" i="23"/>
  <c r="J46" i="23"/>
  <c r="J48" i="23"/>
  <c r="K26" i="23"/>
  <c r="K28" i="23"/>
  <c r="K30" i="23"/>
  <c r="K32" i="23"/>
  <c r="K36" i="23"/>
  <c r="K44" i="23"/>
  <c r="K45" i="23"/>
  <c r="K47" i="23"/>
  <c r="K48" i="23"/>
  <c r="K50" i="23"/>
  <c r="L23" i="23"/>
  <c r="L24" i="23"/>
  <c r="L26" i="23"/>
  <c r="L27" i="23"/>
  <c r="L28" i="23"/>
  <c r="L34" i="23"/>
  <c r="L35" i="23"/>
  <c r="L36" i="23"/>
  <c r="L37" i="23"/>
  <c r="L39" i="23"/>
  <c r="L44" i="23"/>
  <c r="L45" i="23"/>
  <c r="L47" i="23"/>
  <c r="L48" i="23"/>
  <c r="L50" i="23"/>
  <c r="J25" i="23"/>
  <c r="J27" i="23"/>
  <c r="J31" i="23"/>
  <c r="J33" i="23"/>
  <c r="J35" i="23"/>
  <c r="J49" i="23"/>
  <c r="J52" i="23"/>
  <c r="K21" i="23"/>
  <c r="K23" i="23"/>
  <c r="K27" i="23"/>
  <c r="K37" i="23"/>
  <c r="K39" i="23"/>
  <c r="K52" i="23"/>
  <c r="J21" i="23"/>
  <c r="M22" i="23"/>
  <c r="M27" i="23"/>
  <c r="M28" i="23"/>
  <c r="M30" i="23"/>
  <c r="M31" i="23"/>
  <c r="M32" i="23"/>
  <c r="M38" i="23"/>
  <c r="M39" i="23"/>
  <c r="M40" i="23"/>
  <c r="M41" i="23"/>
  <c r="M43" i="23"/>
  <c r="M48" i="23"/>
  <c r="M49" i="23"/>
  <c r="M51" i="23"/>
  <c r="M52" i="23"/>
  <c r="P77" i="31"/>
  <c r="K143" i="31"/>
  <c r="K180" i="31"/>
  <c r="M150" i="31"/>
  <c r="S143" i="31"/>
  <c r="S180" i="31" s="1"/>
  <c r="Q140" i="31"/>
  <c r="Q177" i="31" s="1"/>
  <c r="S127" i="31"/>
  <c r="S164" i="31" s="1"/>
  <c r="K123" i="31"/>
  <c r="K160" i="31" s="1"/>
  <c r="P60" i="31"/>
  <c r="O135" i="31"/>
  <c r="Q122" i="31"/>
  <c r="Q159" i="31"/>
  <c r="L71" i="31"/>
  <c r="L107" i="31" s="1"/>
  <c r="J67" i="31"/>
  <c r="J103" i="31" s="1"/>
  <c r="K141" i="31"/>
  <c r="K178" i="31" s="1"/>
  <c r="O139" i="31"/>
  <c r="M128" i="31"/>
  <c r="L150" i="31"/>
  <c r="L187" i="31" s="1"/>
  <c r="R149" i="31"/>
  <c r="R186" i="31" s="1"/>
  <c r="R147" i="31"/>
  <c r="R184" i="31" s="1"/>
  <c r="P144" i="31"/>
  <c r="R141" i="31"/>
  <c r="R178" i="31" s="1"/>
  <c r="J139" i="31"/>
  <c r="J176" i="31" s="1"/>
  <c r="P136" i="31"/>
  <c r="P132" i="31"/>
  <c r="L132" i="31"/>
  <c r="L169" i="31" s="1"/>
  <c r="J131" i="31"/>
  <c r="J168" i="31" s="1"/>
  <c r="J127" i="31"/>
  <c r="J164" i="31" s="1"/>
  <c r="L124" i="31"/>
  <c r="L161" i="31" s="1"/>
  <c r="R121" i="31"/>
  <c r="R158" i="31"/>
  <c r="Q149" i="31"/>
  <c r="Q186" i="31" s="1"/>
  <c r="Q147" i="31"/>
  <c r="Q184" i="31" s="1"/>
  <c r="O144" i="31"/>
  <c r="Q141" i="31"/>
  <c r="Q178" i="31" s="1"/>
  <c r="M139" i="31"/>
  <c r="S138" i="31"/>
  <c r="S175" i="31" s="1"/>
  <c r="O136" i="31"/>
  <c r="M133" i="31"/>
  <c r="S130" i="31"/>
  <c r="S167" i="31" s="1"/>
  <c r="M121" i="31"/>
  <c r="P149" i="31"/>
  <c r="N144" i="31"/>
  <c r="J140" i="31"/>
  <c r="J177" i="31"/>
  <c r="P135" i="31"/>
  <c r="N134" i="31"/>
  <c r="N132" i="31"/>
  <c r="J132" i="31"/>
  <c r="J169" i="31" s="1"/>
  <c r="N130" i="31"/>
  <c r="L129" i="31"/>
  <c r="L166" i="31" s="1"/>
  <c r="L127" i="31"/>
  <c r="L164" i="31" s="1"/>
  <c r="L125" i="31"/>
  <c r="L162" i="31"/>
  <c r="P121" i="31"/>
  <c r="N118" i="31"/>
  <c r="L78" i="31"/>
  <c r="L114" i="31" s="1"/>
  <c r="N66" i="31"/>
  <c r="P53" i="31"/>
  <c r="O51" i="31"/>
  <c r="J77" i="31"/>
  <c r="J113" i="31" s="1"/>
  <c r="R74" i="31"/>
  <c r="R110" i="31" s="1"/>
  <c r="J68" i="31"/>
  <c r="J104" i="31" s="1"/>
  <c r="O59" i="31"/>
  <c r="N57" i="31"/>
  <c r="J70" i="31"/>
  <c r="J106" i="31" s="1"/>
  <c r="Q64" i="31"/>
  <c r="Q100" i="31"/>
  <c r="M58" i="31"/>
  <c r="J54" i="31"/>
  <c r="J90" i="31"/>
  <c r="S51" i="31"/>
  <c r="S87" i="31" s="1"/>
  <c r="Q48" i="31"/>
  <c r="Q84" i="31" s="1"/>
  <c r="N46" i="31"/>
  <c r="N77" i="31"/>
  <c r="R76" i="31"/>
  <c r="R112" i="31" s="1"/>
  <c r="L75" i="31"/>
  <c r="L111" i="31" s="1"/>
  <c r="P73" i="31"/>
  <c r="K73" i="31"/>
  <c r="K109" i="31" s="1"/>
  <c r="J72" i="31"/>
  <c r="J108" i="31" s="1"/>
  <c r="S69" i="31"/>
  <c r="S105" i="31" s="1"/>
  <c r="R67" i="31"/>
  <c r="R103" i="31" s="1"/>
  <c r="Q66" i="31"/>
  <c r="Q102" i="31" s="1"/>
  <c r="N62" i="31"/>
  <c r="N61" i="31"/>
  <c r="L59" i="31"/>
  <c r="L95" i="31"/>
  <c r="P57" i="31"/>
  <c r="J56" i="31"/>
  <c r="J92" i="31"/>
  <c r="S53" i="31"/>
  <c r="S89" i="31" s="1"/>
  <c r="R51" i="31"/>
  <c r="R87" i="31" s="1"/>
  <c r="Q50" i="31"/>
  <c r="Q86" i="31" s="1"/>
  <c r="P48" i="31"/>
  <c r="M46" i="31"/>
  <c r="O69" i="31"/>
  <c r="J69" i="31"/>
  <c r="J105" i="31" s="1"/>
  <c r="R66" i="31"/>
  <c r="R102" i="31" s="1"/>
  <c r="K63" i="31"/>
  <c r="K99" i="31" s="1"/>
  <c r="J61" i="31"/>
  <c r="J97" i="31" s="1"/>
  <c r="R57" i="31"/>
  <c r="R93" i="31" s="1"/>
  <c r="P54" i="31"/>
  <c r="O53" i="31"/>
  <c r="K47" i="31"/>
  <c r="K83" i="31" s="1"/>
  <c r="R77" i="31"/>
  <c r="R113" i="31"/>
  <c r="L76" i="31"/>
  <c r="L112" i="31"/>
  <c r="P74" i="31"/>
  <c r="N72" i="31"/>
  <c r="M70" i="31"/>
  <c r="L69" i="31"/>
  <c r="L105" i="31"/>
  <c r="P67" i="31"/>
  <c r="K67" i="31"/>
  <c r="K103" i="31" s="1"/>
  <c r="O65" i="31"/>
  <c r="J65" i="31"/>
  <c r="J101" i="31" s="1"/>
  <c r="S63" i="31"/>
  <c r="S99" i="31"/>
  <c r="R61" i="31"/>
  <c r="R97" i="31"/>
  <c r="L60" i="31"/>
  <c r="L96" i="31" s="1"/>
  <c r="P58" i="31"/>
  <c r="N56" i="31"/>
  <c r="M54" i="31"/>
  <c r="L53" i="31"/>
  <c r="L89" i="31" s="1"/>
  <c r="P51" i="31"/>
  <c r="K51" i="31"/>
  <c r="K87" i="31" s="1"/>
  <c r="O49" i="31"/>
  <c r="N48" i="31"/>
  <c r="S47" i="31"/>
  <c r="S83" i="31" s="1"/>
  <c r="K46" i="31"/>
  <c r="K82" i="31" s="1"/>
  <c r="S46" i="31"/>
  <c r="S82" i="31"/>
  <c r="K48" i="31"/>
  <c r="K84" i="31"/>
  <c r="Q49" i="31"/>
  <c r="Q85" i="31" s="1"/>
  <c r="O50" i="31"/>
  <c r="Q51" i="31"/>
  <c r="Q87" i="31"/>
  <c r="O52" i="31"/>
  <c r="S52" i="31"/>
  <c r="S88" i="31" s="1"/>
  <c r="K54" i="31"/>
  <c r="K90" i="31" s="1"/>
  <c r="S54" i="31"/>
  <c r="S90" i="31" s="1"/>
  <c r="K56" i="31"/>
  <c r="K92" i="31"/>
  <c r="Q57" i="31"/>
  <c r="Q93" i="31" s="1"/>
  <c r="O58" i="31"/>
  <c r="Q59" i="31"/>
  <c r="Q95" i="31" s="1"/>
  <c r="O60" i="31"/>
  <c r="S60" i="31"/>
  <c r="S96" i="31" s="1"/>
  <c r="Q61" i="31"/>
  <c r="Q97" i="31"/>
  <c r="O62" i="31"/>
  <c r="S62" i="31"/>
  <c r="S98" i="31" s="1"/>
  <c r="Q63" i="31"/>
  <c r="Q99" i="31" s="1"/>
  <c r="O64" i="31"/>
  <c r="S64" i="31"/>
  <c r="S100" i="31" s="1"/>
  <c r="Q65" i="31"/>
  <c r="Q101" i="31"/>
  <c r="O66" i="31"/>
  <c r="S66" i="31"/>
  <c r="S102" i="31" s="1"/>
  <c r="Q67" i="31"/>
  <c r="Q103" i="31" s="1"/>
  <c r="O68" i="31"/>
  <c r="S68" i="31"/>
  <c r="S104" i="31" s="1"/>
  <c r="Q69" i="31"/>
  <c r="Q105" i="31"/>
  <c r="O70" i="31"/>
  <c r="S70" i="31"/>
  <c r="S106" i="31" s="1"/>
  <c r="Q71" i="31"/>
  <c r="Q107" i="31" s="1"/>
  <c r="O72" i="31"/>
  <c r="S72" i="31"/>
  <c r="S108" i="31" s="1"/>
  <c r="Q73" i="31"/>
  <c r="Q109" i="31"/>
  <c r="O74" i="31"/>
  <c r="S74" i="31"/>
  <c r="S110" i="31" s="1"/>
  <c r="Q75" i="31"/>
  <c r="Q111" i="31" s="1"/>
  <c r="O76" i="31"/>
  <c r="S76" i="31"/>
  <c r="S112" i="31" s="1"/>
  <c r="Q77" i="31"/>
  <c r="Q113" i="31"/>
  <c r="O78" i="31"/>
  <c r="S78" i="31"/>
  <c r="S114" i="31" s="1"/>
  <c r="P46" i="31"/>
  <c r="AP43" i="22"/>
  <c r="AO43" i="22"/>
  <c r="AN43" i="22"/>
  <c r="AM43" i="22"/>
  <c r="AL43" i="22"/>
  <c r="AK43" i="22"/>
  <c r="AJ43" i="22"/>
  <c r="AI43" i="22"/>
  <c r="AH43" i="22"/>
  <c r="AG43" i="22"/>
  <c r="AF43" i="22"/>
  <c r="AE43" i="22"/>
  <c r="AD43" i="22"/>
  <c r="AC43" i="22"/>
  <c r="A2" i="90"/>
  <c r="A1" i="90"/>
  <c r="C157" i="90" s="1"/>
  <c r="G79" i="85" s="1"/>
  <c r="H29" i="72"/>
  <c r="H22" i="72"/>
  <c r="H24" i="72"/>
  <c r="H25" i="72"/>
  <c r="H26" i="72"/>
  <c r="H27" i="72"/>
  <c r="H28" i="72"/>
  <c r="H30" i="72"/>
  <c r="H54" i="86"/>
  <c r="H142" i="53"/>
  <c r="H198" i="53"/>
  <c r="H158" i="53"/>
  <c r="P61" i="23"/>
  <c r="P54" i="53"/>
  <c r="N61" i="23"/>
  <c r="Q61" i="23"/>
  <c r="P53" i="53"/>
  <c r="Q27" i="31"/>
  <c r="J45" i="53"/>
  <c r="L62" i="23"/>
  <c r="L63" i="23"/>
  <c r="H197" i="53"/>
  <c r="H149" i="53"/>
  <c r="H141" i="53"/>
  <c r="H181" i="53"/>
  <c r="H173" i="53"/>
  <c r="H189" i="53"/>
  <c r="W242" i="53" s="1"/>
  <c r="H157" i="53"/>
  <c r="AH104" i="87"/>
  <c r="AG104" i="87"/>
  <c r="AK103" i="87"/>
  <c r="J19" i="105"/>
  <c r="J34" i="105"/>
  <c r="AK105" i="87"/>
  <c r="S105" i="87"/>
  <c r="J37" i="105"/>
  <c r="H135" i="53"/>
  <c r="AK104" i="87"/>
  <c r="J25" i="105"/>
  <c r="H47" i="86" a="1"/>
  <c r="H47" i="86" s="1"/>
  <c r="J28" i="105"/>
  <c r="X45" i="53"/>
  <c r="AO105" i="87"/>
  <c r="J16" i="105"/>
  <c r="K27" i="31"/>
  <c r="J28" i="31" s="1"/>
  <c r="L54" i="81"/>
  <c r="AG105" i="87"/>
  <c r="S61" i="23"/>
  <c r="M61" i="23"/>
  <c r="O61" i="23"/>
  <c r="R61" i="23"/>
  <c r="L61" i="23"/>
  <c r="AH103" i="87"/>
  <c r="AG103" i="87"/>
  <c r="H133" i="53"/>
  <c r="H165" i="53"/>
  <c r="AN227" i="53" s="1"/>
  <c r="H134" i="53"/>
  <c r="H182" i="53"/>
  <c r="H150" i="53"/>
  <c r="H174" i="53"/>
  <c r="N233" i="53" s="1"/>
  <c r="H166" i="53"/>
  <c r="H190" i="53"/>
  <c r="H88" i="81"/>
  <c r="H87" i="81"/>
  <c r="H86" i="81"/>
  <c r="H84" i="81"/>
  <c r="J98" i="81"/>
  <c r="H163" i="90" a="1"/>
  <c r="H163" i="90"/>
  <c r="H24" i="81"/>
  <c r="H23" i="81"/>
  <c r="H25" i="22"/>
  <c r="H24" i="22"/>
  <c r="H23" i="22"/>
  <c r="H22" i="22"/>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AP206" i="53" s="1"/>
  <c r="K53" i="86"/>
  <c r="AN243" i="53"/>
  <c r="P243" i="53"/>
  <c r="K243" i="53"/>
  <c r="AD243" i="53"/>
  <c r="J243" i="53"/>
  <c r="Q243" i="53"/>
  <c r="L243" i="53"/>
  <c r="W243" i="53"/>
  <c r="V243" i="53"/>
  <c r="AK243" i="53"/>
  <c r="AC243" i="53"/>
  <c r="AF243" i="53"/>
  <c r="R243" i="53"/>
  <c r="M243" i="53"/>
  <c r="T243" i="53"/>
  <c r="O243" i="53"/>
  <c r="N243" i="53"/>
  <c r="AH243" i="53"/>
  <c r="AL243" i="53"/>
  <c r="U243" i="53"/>
  <c r="AG243" i="53"/>
  <c r="H145" i="53"/>
  <c r="AC213" i="53"/>
  <c r="AK213" i="53"/>
  <c r="J213" i="53"/>
  <c r="AP213" i="53"/>
  <c r="K213" i="53"/>
  <c r="Q213" i="53"/>
  <c r="N213" i="53"/>
  <c r="AD213" i="53"/>
  <c r="O213" i="53"/>
  <c r="AE213" i="53"/>
  <c r="AG213" i="53"/>
  <c r="AO213" i="53"/>
  <c r="R213" i="53"/>
  <c r="S213" i="53"/>
  <c r="P213" i="53"/>
  <c r="AJ213" i="53"/>
  <c r="AL213" i="53"/>
  <c r="L213" i="53"/>
  <c r="U213" i="53"/>
  <c r="V213" i="53"/>
  <c r="W213" i="53"/>
  <c r="T213" i="53"/>
  <c r="AN213" i="53"/>
  <c r="AM213" i="53"/>
  <c r="AF213" i="53"/>
  <c r="M213" i="53"/>
  <c r="AH213" i="53"/>
  <c r="AI213" i="53"/>
  <c r="H137" i="53"/>
  <c r="Z208" i="53" s="1"/>
  <c r="S208" i="53"/>
  <c r="AI208" i="53"/>
  <c r="T208" i="53"/>
  <c r="AJ208" i="53"/>
  <c r="W208" i="53"/>
  <c r="AM208" i="53"/>
  <c r="AP208" i="53"/>
  <c r="AD208" i="53"/>
  <c r="V208" i="53"/>
  <c r="R208" i="53"/>
  <c r="L208" i="53"/>
  <c r="M208" i="53"/>
  <c r="J208" i="53"/>
  <c r="O208" i="53"/>
  <c r="P208" i="53"/>
  <c r="Q208" i="53"/>
  <c r="AL208" i="53"/>
  <c r="AE208" i="53"/>
  <c r="U208" i="53"/>
  <c r="AO208" i="53"/>
  <c r="AC208" i="53"/>
  <c r="AM222" i="53"/>
  <c r="R222" i="53"/>
  <c r="AP222" i="53"/>
  <c r="U222" i="53"/>
  <c r="AK222" i="53"/>
  <c r="P222" i="53"/>
  <c r="AF222" i="53"/>
  <c r="K222" i="53"/>
  <c r="J222" i="53"/>
  <c r="AL222" i="53"/>
  <c r="Q222" i="53"/>
  <c r="AG222" i="53"/>
  <c r="L222" i="53"/>
  <c r="W222" i="53"/>
  <c r="AE222" i="53"/>
  <c r="N222" i="53"/>
  <c r="AH222" i="53"/>
  <c r="AC222" i="53"/>
  <c r="S222" i="53"/>
  <c r="AJ222" i="53"/>
  <c r="AI222" i="53"/>
  <c r="AD222" i="53"/>
  <c r="T222" i="53"/>
  <c r="O222" i="53"/>
  <c r="V222" i="53"/>
  <c r="M222" i="53"/>
  <c r="AN222" i="53"/>
  <c r="AO222" i="53"/>
  <c r="N237" i="53"/>
  <c r="AH237" i="53"/>
  <c r="M237" i="53"/>
  <c r="AI237" i="53"/>
  <c r="AD237" i="53"/>
  <c r="AO237" i="53"/>
  <c r="U237" i="53"/>
  <c r="AC237" i="53"/>
  <c r="AN237" i="53"/>
  <c r="S237" i="53"/>
  <c r="J237" i="53"/>
  <c r="AL237" i="53"/>
  <c r="W237" i="53"/>
  <c r="R237" i="53"/>
  <c r="Q237" i="53"/>
  <c r="T237" i="53"/>
  <c r="AJ237" i="53"/>
  <c r="O237" i="53"/>
  <c r="V237" i="53"/>
  <c r="AG237" i="53"/>
  <c r="AE237" i="53"/>
  <c r="AP237" i="53"/>
  <c r="AK237" i="53"/>
  <c r="P237" i="53"/>
  <c r="AF237" i="53"/>
  <c r="K237" i="53"/>
  <c r="AM237" i="53"/>
  <c r="L237" i="53"/>
  <c r="H196" i="53"/>
  <c r="H148" i="53"/>
  <c r="AO223" i="53"/>
  <c r="U223" i="53"/>
  <c r="L223" i="53"/>
  <c r="W223" i="53"/>
  <c r="R223" i="53"/>
  <c r="N223" i="53"/>
  <c r="Q223" i="53"/>
  <c r="AF223" i="53"/>
  <c r="S223" i="53"/>
  <c r="AH223" i="53"/>
  <c r="V223" i="53"/>
  <c r="AG223" i="53"/>
  <c r="T223" i="53"/>
  <c r="AI223" i="53"/>
  <c r="AN223" i="53"/>
  <c r="J223" i="53"/>
  <c r="K223" i="53"/>
  <c r="P223" i="53"/>
  <c r="AD223" i="53"/>
  <c r="H161" i="53"/>
  <c r="AL223" i="53"/>
  <c r="AC223" i="53"/>
  <c r="R238" i="53"/>
  <c r="H185" i="53"/>
  <c r="AB238" i="53" s="1"/>
  <c r="AN238" i="53"/>
  <c r="P238" i="53"/>
  <c r="K238" i="53"/>
  <c r="J238" i="53"/>
  <c r="T238" i="53"/>
  <c r="AP238" i="53"/>
  <c r="U238" i="53"/>
  <c r="AJ238" i="53"/>
  <c r="W238" i="53"/>
  <c r="AD238" i="53"/>
  <c r="AL238" i="53"/>
  <c r="AG238" i="53"/>
  <c r="AK238" i="53"/>
  <c r="Q238" i="53"/>
  <c r="AM238" i="53"/>
  <c r="S238" i="53"/>
  <c r="N238" i="53"/>
  <c r="V238" i="53"/>
  <c r="M238" i="53"/>
  <c r="O238" i="53"/>
  <c r="AM247" i="53"/>
  <c r="R247" i="53"/>
  <c r="AL247" i="53"/>
  <c r="Q247" i="53"/>
  <c r="AG247" i="53"/>
  <c r="AN247" i="53"/>
  <c r="AI247" i="53"/>
  <c r="N247" i="53"/>
  <c r="AH247" i="53"/>
  <c r="M247" i="53"/>
  <c r="AJ247" i="53"/>
  <c r="AE247" i="53"/>
  <c r="P247" i="53"/>
  <c r="L247" i="53"/>
  <c r="K247" i="53"/>
  <c r="AF247" i="53"/>
  <c r="U247" i="53"/>
  <c r="AP247" i="53"/>
  <c r="J247" i="53"/>
  <c r="AC247" i="53"/>
  <c r="AO247" i="53"/>
  <c r="AI217" i="53"/>
  <c r="AH217" i="53"/>
  <c r="M217" i="53"/>
  <c r="AF217" i="53"/>
  <c r="W217" i="53"/>
  <c r="S217" i="53"/>
  <c r="AE217" i="53"/>
  <c r="AD217" i="53"/>
  <c r="AO217" i="53"/>
  <c r="AN217" i="53"/>
  <c r="V217" i="53"/>
  <c r="U217" i="53"/>
  <c r="P217" i="53"/>
  <c r="R217" i="53"/>
  <c r="Q217" i="53"/>
  <c r="K217" i="53"/>
  <c r="AM217" i="53"/>
  <c r="AP217" i="53"/>
  <c r="AK217" i="53"/>
  <c r="AL217" i="53"/>
  <c r="L217" i="53"/>
  <c r="H164" i="53"/>
  <c r="O226" i="53" s="1"/>
  <c r="H172" i="53"/>
  <c r="L228" i="53"/>
  <c r="W228" i="53"/>
  <c r="V228" i="53"/>
  <c r="AL228" i="53"/>
  <c r="AI228" i="53"/>
  <c r="O228" i="53"/>
  <c r="N228" i="53"/>
  <c r="AC228" i="53"/>
  <c r="Q228" i="53"/>
  <c r="P228" i="53"/>
  <c r="K233" i="53"/>
  <c r="U233" i="53"/>
  <c r="AH242" i="53"/>
  <c r="AH212" i="53"/>
  <c r="V212" i="53"/>
  <c r="AD212" i="53"/>
  <c r="W212" i="53"/>
  <c r="J212" i="53"/>
  <c r="AE212" i="53"/>
  <c r="AL212" i="53"/>
  <c r="K212" i="53"/>
  <c r="AF212" i="53"/>
  <c r="N212" i="53"/>
  <c r="O212" i="53"/>
  <c r="AC212" i="53"/>
  <c r="AO212" i="53"/>
  <c r="AN212" i="53"/>
  <c r="Q212" i="53"/>
  <c r="R212" i="53"/>
  <c r="M212" i="53"/>
  <c r="S212" i="53"/>
  <c r="U212" i="53"/>
  <c r="L212" i="53"/>
  <c r="AG212" i="53"/>
  <c r="AI212" i="53"/>
  <c r="AP212" i="53"/>
  <c r="AJ212" i="53"/>
  <c r="P212" i="53"/>
  <c r="AK212" i="53"/>
  <c r="AM212" i="53"/>
  <c r="T212" i="53"/>
  <c r="AP207" i="53"/>
  <c r="AE207" i="53"/>
  <c r="R207" i="53"/>
  <c r="AJ207" i="53"/>
  <c r="P207" i="53"/>
  <c r="AK207" i="53"/>
  <c r="N207" i="53"/>
  <c r="S207" i="53"/>
  <c r="AN207" i="53"/>
  <c r="AO207" i="53"/>
  <c r="AI207" i="53"/>
  <c r="J207" i="53"/>
  <c r="U207" i="53"/>
  <c r="AL207" i="53"/>
  <c r="K207" i="53"/>
  <c r="AD207" i="53"/>
  <c r="Q207" i="53"/>
  <c r="W207" i="53"/>
  <c r="AC207" i="53"/>
  <c r="AH207" i="53"/>
  <c r="AF207" i="53"/>
  <c r="H188" i="53"/>
  <c r="H180" i="53"/>
  <c r="AI236" i="53" s="1"/>
  <c r="AM248" i="53"/>
  <c r="S248" i="53"/>
  <c r="AL248" i="53"/>
  <c r="AK248" i="53"/>
  <c r="Q248" i="53"/>
  <c r="AP248" i="53"/>
  <c r="U248" i="53"/>
  <c r="P248" i="53"/>
  <c r="AI248" i="53"/>
  <c r="AH248" i="53"/>
  <c r="N248" i="53"/>
  <c r="M248" i="53"/>
  <c r="T248" i="53"/>
  <c r="H201" i="53"/>
  <c r="AB248" i="53" s="1"/>
  <c r="W248" i="53"/>
  <c r="AE248" i="53"/>
  <c r="K248" i="53"/>
  <c r="J248" i="53"/>
  <c r="AC248" i="53"/>
  <c r="L248" i="53"/>
  <c r="AF248" i="53"/>
  <c r="AN248" i="53"/>
  <c r="K218" i="53"/>
  <c r="AL218" i="53"/>
  <c r="R218" i="53"/>
  <c r="AK218" i="53"/>
  <c r="Q218" i="53"/>
  <c r="AF218" i="53"/>
  <c r="W218" i="53"/>
  <c r="O218" i="53"/>
  <c r="AH218" i="53"/>
  <c r="N218" i="53"/>
  <c r="AG218" i="53"/>
  <c r="M218" i="53"/>
  <c r="T218" i="53"/>
  <c r="AE218" i="53"/>
  <c r="AD218" i="53"/>
  <c r="AC218" i="53"/>
  <c r="P218" i="53"/>
  <c r="AI218" i="53"/>
  <c r="AO218" i="53"/>
  <c r="S218" i="53"/>
  <c r="V218" i="53"/>
  <c r="U218" i="53"/>
  <c r="L218" i="53"/>
  <c r="AP218" i="53"/>
  <c r="AM218" i="53"/>
  <c r="H153" i="53"/>
  <c r="Z218" i="53" s="1"/>
  <c r="J218" i="53"/>
  <c r="AN218" i="53"/>
  <c r="AJ218" i="53"/>
  <c r="AI227" i="53"/>
  <c r="V227" i="53"/>
  <c r="J232" i="53"/>
  <c r="AD232" i="53"/>
  <c r="AO232" i="53"/>
  <c r="T232" i="53"/>
  <c r="K232" i="53"/>
  <c r="V232" i="53"/>
  <c r="U232" i="53"/>
  <c r="AK232" i="53"/>
  <c r="P232" i="53"/>
  <c r="AJ232" i="53"/>
  <c r="AL232" i="53"/>
  <c r="AG232" i="53"/>
  <c r="W232" i="53"/>
  <c r="M232" i="53"/>
  <c r="AI232" i="53"/>
  <c r="AH232" i="53"/>
  <c r="AF232" i="53"/>
  <c r="N232" i="53"/>
  <c r="R232" i="53"/>
  <c r="Q232" i="53"/>
  <c r="L232" i="53"/>
  <c r="H156" i="53"/>
  <c r="V221" i="53" s="1"/>
  <c r="H140" i="53"/>
  <c r="AM211" i="53" s="1"/>
  <c r="AM281" i="53" s="1"/>
  <c r="K19" i="31"/>
  <c r="J43" i="53"/>
  <c r="N52" i="53"/>
  <c r="AH53" i="53"/>
  <c r="AG63" i="53"/>
  <c r="AO63" i="53"/>
  <c r="P52" i="53"/>
  <c r="AH63" i="53"/>
  <c r="K52" i="53"/>
  <c r="J98" i="53"/>
  <c r="J61" i="80"/>
  <c r="H39" i="70"/>
  <c r="R45" i="70" s="1"/>
  <c r="H37" i="31"/>
  <c r="P38" i="31" s="1"/>
  <c r="P46" i="81"/>
  <c r="J99" i="53"/>
  <c r="Y206" i="53"/>
  <c r="AB206" i="53"/>
  <c r="X206" i="53"/>
  <c r="AA206" i="53"/>
  <c r="Z206" i="53"/>
  <c r="Y29" i="53"/>
  <c r="AB29" i="53"/>
  <c r="Z29" i="53"/>
  <c r="X29" i="53"/>
  <c r="H84" i="53" s="1"/>
  <c r="AA29" i="53"/>
  <c r="AN30" i="53"/>
  <c r="Q30" i="53"/>
  <c r="AC30" i="53"/>
  <c r="N30" i="53"/>
  <c r="AD30" i="53"/>
  <c r="K30" i="53"/>
  <c r="T30" i="53"/>
  <c r="M30" i="53"/>
  <c r="J30" i="53"/>
  <c r="AP30" i="53"/>
  <c r="W30" i="53"/>
  <c r="L30" i="53"/>
  <c r="AG30" i="53"/>
  <c r="R30" i="53"/>
  <c r="AH30" i="53"/>
  <c r="AH254" i="53" s="1"/>
  <c r="O30" i="53"/>
  <c r="AE30" i="53"/>
  <c r="AJ30" i="53"/>
  <c r="AK30" i="53"/>
  <c r="AM30" i="53"/>
  <c r="P30" i="53"/>
  <c r="AF30" i="53"/>
  <c r="U30" i="53"/>
  <c r="AO30" i="53"/>
  <c r="V30" i="53"/>
  <c r="AL30" i="53"/>
  <c r="S30" i="53"/>
  <c r="AI30" i="53"/>
  <c r="X30" i="53"/>
  <c r="AA30" i="53"/>
  <c r="AB30" i="53"/>
  <c r="AB254" i="53" s="1"/>
  <c r="Y30" i="53"/>
  <c r="Z30" i="53"/>
  <c r="V31" i="53"/>
  <c r="AL31" i="53"/>
  <c r="S31" i="53"/>
  <c r="AI31" i="53"/>
  <c r="T31" i="53"/>
  <c r="AN31" i="53"/>
  <c r="AN255" i="53" s="1"/>
  <c r="M31" i="53"/>
  <c r="AC31" i="53"/>
  <c r="R31" i="53"/>
  <c r="AH31" i="53"/>
  <c r="AE31" i="53"/>
  <c r="AF31" i="53"/>
  <c r="J31" i="53"/>
  <c r="AP31" i="53"/>
  <c r="W31" i="53"/>
  <c r="AM31" i="53"/>
  <c r="AJ31" i="53"/>
  <c r="L31" i="53"/>
  <c r="Q31" i="53"/>
  <c r="AG31" i="53"/>
  <c r="O31" i="53"/>
  <c r="AO31" i="53"/>
  <c r="AO255" i="53" s="1"/>
  <c r="N31" i="53"/>
  <c r="AD31" i="53"/>
  <c r="K31" i="53"/>
  <c r="P31" i="53"/>
  <c r="U31" i="53"/>
  <c r="AK31" i="53"/>
  <c r="Y31" i="53"/>
  <c r="Z31" i="53"/>
  <c r="X31" i="53"/>
  <c r="AA31" i="53"/>
  <c r="AB31" i="53"/>
  <c r="AO29" i="53"/>
  <c r="V29" i="53"/>
  <c r="AP29" i="53"/>
  <c r="O29" i="53"/>
  <c r="AE29" i="53"/>
  <c r="AE253" i="53" s="1"/>
  <c r="L29" i="53"/>
  <c r="U29" i="53"/>
  <c r="K29" i="53"/>
  <c r="M29" i="53"/>
  <c r="AC29" i="53"/>
  <c r="AL29" i="53"/>
  <c r="N29" i="53"/>
  <c r="S29" i="53"/>
  <c r="AI29" i="53"/>
  <c r="P29" i="53"/>
  <c r="AF29" i="53"/>
  <c r="AK29" i="53"/>
  <c r="AH29" i="53"/>
  <c r="AN29" i="53"/>
  <c r="Q29" i="53"/>
  <c r="AG29" i="53"/>
  <c r="R29" i="53"/>
  <c r="J29" i="53"/>
  <c r="AD29" i="53"/>
  <c r="W29" i="53"/>
  <c r="AM29" i="53"/>
  <c r="T29" i="53"/>
  <c r="AJ29" i="53"/>
  <c r="AK53" i="53"/>
  <c r="AB53" i="53"/>
  <c r="S63" i="53"/>
  <c r="AK63" i="53"/>
  <c r="AK43" i="53"/>
  <c r="AG43" i="53"/>
  <c r="AO43" i="53"/>
  <c r="AG53" i="53"/>
  <c r="AO53" i="53"/>
  <c r="AB63" i="53"/>
  <c r="AH43" i="53"/>
  <c r="U206" i="53"/>
  <c r="M206" i="53"/>
  <c r="AD206" i="53"/>
  <c r="AI206" i="53"/>
  <c r="R206" i="53"/>
  <c r="V206" i="53"/>
  <c r="S206" i="53"/>
  <c r="T206" i="53"/>
  <c r="Q206" i="53"/>
  <c r="L206" i="53"/>
  <c r="AK206" i="53"/>
  <c r="AG206" i="53"/>
  <c r="H136" i="53"/>
  <c r="AB207" i="53" s="1"/>
  <c r="O206" i="53"/>
  <c r="K206" i="53"/>
  <c r="N206" i="53"/>
  <c r="AH206" i="53"/>
  <c r="AJ206" i="53"/>
  <c r="P206" i="53"/>
  <c r="AN206" i="53"/>
  <c r="W206" i="53"/>
  <c r="U45" i="70"/>
  <c r="AB45" i="70"/>
  <c r="AB82" i="72" s="1"/>
  <c r="V45" i="70"/>
  <c r="S45" i="70"/>
  <c r="M45" i="70"/>
  <c r="Z45" i="70"/>
  <c r="N45" i="70"/>
  <c r="X218" i="53"/>
  <c r="T226" i="53"/>
  <c r="AM226" i="53"/>
  <c r="L216" i="53"/>
  <c r="AK216" i="53"/>
  <c r="AC216" i="53"/>
  <c r="AD216" i="53"/>
  <c r="J216" i="53"/>
  <c r="AE216" i="53"/>
  <c r="AG216" i="53"/>
  <c r="T216" i="53"/>
  <c r="M216" i="53"/>
  <c r="AH216" i="53"/>
  <c r="N216" i="53"/>
  <c r="AI216" i="53"/>
  <c r="AO216" i="53"/>
  <c r="Q216" i="53"/>
  <c r="R216" i="53"/>
  <c r="S216" i="53"/>
  <c r="AN216" i="53"/>
  <c r="U216" i="53"/>
  <c r="V216" i="53"/>
  <c r="W216" i="53"/>
  <c r="AJ216" i="53"/>
  <c r="AP216" i="53"/>
  <c r="P216" i="53"/>
  <c r="AL216" i="53"/>
  <c r="AM216" i="53"/>
  <c r="K216" i="53"/>
  <c r="AF216" i="53"/>
  <c r="O216" i="53"/>
  <c r="X208" i="53"/>
  <c r="AA208" i="53"/>
  <c r="AB208" i="53"/>
  <c r="Y208" i="53"/>
  <c r="U221" i="53"/>
  <c r="AF221" i="53"/>
  <c r="K221" i="53"/>
  <c r="AL221" i="53"/>
  <c r="Q221" i="53"/>
  <c r="L221" i="53"/>
  <c r="AN221" i="53"/>
  <c r="AD221" i="53"/>
  <c r="AJ221" i="53"/>
  <c r="R221" i="53"/>
  <c r="AC221" i="53"/>
  <c r="S221" i="53"/>
  <c r="R211" i="53"/>
  <c r="AD211" i="53"/>
  <c r="W211" i="53"/>
  <c r="K211" i="53"/>
  <c r="AG211" i="53"/>
  <c r="T211" i="53"/>
  <c r="AC211" i="53"/>
  <c r="Y248" i="53"/>
  <c r="Z248" i="53"/>
  <c r="AA248" i="53"/>
  <c r="X248" i="53"/>
  <c r="AC241" i="53"/>
  <c r="AN241" i="53"/>
  <c r="S241" i="53"/>
  <c r="AI241" i="53"/>
  <c r="N241" i="53"/>
  <c r="AD241" i="53"/>
  <c r="AO241" i="53"/>
  <c r="T241" i="53"/>
  <c r="AJ241" i="53"/>
  <c r="O241" i="53"/>
  <c r="AE241" i="53"/>
  <c r="J241" i="53"/>
  <c r="AP241" i="53"/>
  <c r="Q241" i="53"/>
  <c r="AL241" i="53"/>
  <c r="P241" i="53"/>
  <c r="K241" i="53"/>
  <c r="AH241" i="53"/>
  <c r="W241" i="53"/>
  <c r="L241" i="53"/>
  <c r="AM241" i="53"/>
  <c r="M241" i="53"/>
  <c r="AG241" i="53"/>
  <c r="R241" i="53"/>
  <c r="AK241" i="53"/>
  <c r="AF241" i="53"/>
  <c r="V241" i="53"/>
  <c r="U241" i="53"/>
  <c r="Y238" i="53"/>
  <c r="Z238" i="53"/>
  <c r="AA238" i="53"/>
  <c r="X238" i="53"/>
  <c r="AB213" i="53"/>
  <c r="U236" i="53"/>
  <c r="AD236" i="53"/>
  <c r="AI231" i="53"/>
  <c r="AH231" i="53"/>
  <c r="K231" i="53"/>
  <c r="N231" i="53"/>
  <c r="Q231" i="53"/>
  <c r="L231" i="53"/>
  <c r="AO231" i="53"/>
  <c r="W231" i="53"/>
  <c r="J231" i="53"/>
  <c r="M231" i="53"/>
  <c r="AN231" i="53"/>
  <c r="T231" i="53"/>
  <c r="V231" i="53"/>
  <c r="O231" i="53"/>
  <c r="AM231" i="53"/>
  <c r="AG231" i="53"/>
  <c r="R231" i="53"/>
  <c r="AL231" i="53"/>
  <c r="S231" i="53"/>
  <c r="AD231" i="53"/>
  <c r="P231" i="53"/>
  <c r="AB223" i="53"/>
  <c r="Z207" i="53"/>
  <c r="A2" i="85"/>
  <c r="A1" i="85"/>
  <c r="A2" i="84"/>
  <c r="A1" i="84"/>
  <c r="J20" i="31"/>
  <c r="AE116" i="53"/>
  <c r="AE118" i="53" s="1"/>
  <c r="AI116" i="53"/>
  <c r="AM116" i="53"/>
  <c r="AM504" i="53"/>
  <c r="AF116" i="53"/>
  <c r="AJ116" i="53"/>
  <c r="AN116" i="53"/>
  <c r="AN504" i="53"/>
  <c r="AC116" i="53"/>
  <c r="AC504" i="53"/>
  <c r="AG116" i="53"/>
  <c r="AG504" i="53" s="1"/>
  <c r="AK116" i="53"/>
  <c r="AK504" i="53"/>
  <c r="AO116" i="53"/>
  <c r="AO504" i="53" s="1"/>
  <c r="AD116" i="53"/>
  <c r="AD504" i="53"/>
  <c r="AH116" i="53"/>
  <c r="AL116" i="53"/>
  <c r="AL118" i="53" s="1"/>
  <c r="AL504" i="53"/>
  <c r="AP116" i="53"/>
  <c r="J21" i="31"/>
  <c r="J23" i="31"/>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N118" i="53"/>
  <c r="AC118" i="53"/>
  <c r="AG118" i="53"/>
  <c r="AK118" i="53"/>
  <c r="AO118" i="53"/>
  <c r="AD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Z49" i="70"/>
  <c r="J49" i="70"/>
  <c r="J28" i="80" s="1"/>
  <c r="V49" i="70"/>
  <c r="R49" i="70"/>
  <c r="N49" i="70"/>
  <c r="U49" i="70"/>
  <c r="U117" i="71" s="1"/>
  <c r="Q49" i="70"/>
  <c r="X49" i="70"/>
  <c r="X28" i="80" s="1"/>
  <c r="M49" i="70"/>
  <c r="AB49" i="70"/>
  <c r="AB86" i="72" s="1"/>
  <c r="T49" i="70"/>
  <c r="P49" i="70"/>
  <c r="L49" i="70"/>
  <c r="AA49" i="70"/>
  <c r="AA28" i="80" s="1"/>
  <c r="W49" i="70"/>
  <c r="S49" i="70"/>
  <c r="O49" i="70"/>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A52" i="70"/>
  <c r="AA31" i="80" s="1"/>
  <c r="Z52" i="70"/>
  <c r="Y52" i="70"/>
  <c r="Y31" i="80" s="1"/>
  <c r="X52" i="70"/>
  <c r="X31" i="80" s="1"/>
  <c r="W52" i="70"/>
  <c r="W102" i="73" s="1"/>
  <c r="V52" i="70"/>
  <c r="T52" i="70"/>
  <c r="S52" i="70"/>
  <c r="S102" i="73" s="1"/>
  <c r="R52" i="70"/>
  <c r="R120" i="71" s="1"/>
  <c r="Q52" i="70"/>
  <c r="P52" i="70"/>
  <c r="P31" i="80" s="1"/>
  <c r="O52" i="70"/>
  <c r="O120" i="71" s="1"/>
  <c r="N52" i="70"/>
  <c r="L52" i="70"/>
  <c r="K52" i="70"/>
  <c r="J52" i="70"/>
  <c r="J120" i="71" s="1"/>
  <c r="AB51" i="70"/>
  <c r="AB119" i="71" s="1"/>
  <c r="AA51" i="70"/>
  <c r="AA119" i="71" s="1"/>
  <c r="Z51" i="70"/>
  <c r="Z30" i="80" s="1"/>
  <c r="Y51" i="70"/>
  <c r="W51" i="70"/>
  <c r="W88" i="72" s="1"/>
  <c r="V51" i="70"/>
  <c r="U51" i="70"/>
  <c r="T51" i="70"/>
  <c r="T119" i="71" s="1"/>
  <c r="S51" i="70"/>
  <c r="S119" i="71" s="1"/>
  <c r="R51" i="70"/>
  <c r="R30" i="80" s="1"/>
  <c r="Q51" i="70"/>
  <c r="O51" i="70"/>
  <c r="O88" i="72" s="1"/>
  <c r="N51" i="70"/>
  <c r="N88" i="72" s="1"/>
  <c r="M51" i="70"/>
  <c r="L51" i="70"/>
  <c r="K51" i="70"/>
  <c r="K88" i="72" s="1"/>
  <c r="J51" i="70"/>
  <c r="J30" i="80" s="1"/>
  <c r="AB50" i="70"/>
  <c r="Z50" i="70"/>
  <c r="Z87" i="72" s="1"/>
  <c r="Y50" i="70"/>
  <c r="X50" i="70"/>
  <c r="X118" i="71" s="1"/>
  <c r="W50" i="70"/>
  <c r="V50" i="70"/>
  <c r="U50" i="70"/>
  <c r="U118" i="71" s="1"/>
  <c r="T50" i="70"/>
  <c r="R50" i="70"/>
  <c r="R87" i="72" s="1"/>
  <c r="Q50" i="70"/>
  <c r="Q29" i="80" s="1"/>
  <c r="P50" i="70"/>
  <c r="O50" i="70"/>
  <c r="O118" i="71" s="1"/>
  <c r="N50" i="70"/>
  <c r="M50" i="70"/>
  <c r="M100" i="73" s="1"/>
  <c r="L50" i="70"/>
  <c r="J50" i="70"/>
  <c r="J87" i="72" s="1"/>
  <c r="AB48" i="70"/>
  <c r="AA48" i="70"/>
  <c r="AA116" i="71" s="1"/>
  <c r="Z48" i="70"/>
  <c r="X48" i="70"/>
  <c r="X27" i="80" s="1"/>
  <c r="W48" i="70"/>
  <c r="V48" i="70"/>
  <c r="V116" i="71" s="1"/>
  <c r="U48" i="70"/>
  <c r="U98" i="73" s="1"/>
  <c r="T48" i="70"/>
  <c r="S48" i="70"/>
  <c r="R48" i="70"/>
  <c r="R85" i="72" s="1"/>
  <c r="P48" i="70"/>
  <c r="P27" i="80" s="1"/>
  <c r="O48" i="70"/>
  <c r="N48" i="70"/>
  <c r="N116" i="71" s="1"/>
  <c r="M48" i="70"/>
  <c r="M98" i="73" s="1"/>
  <c r="L48" i="70"/>
  <c r="K48" i="70"/>
  <c r="K116" i="71" s="1"/>
  <c r="J48" i="70"/>
  <c r="J27" i="80" s="1"/>
  <c r="AA47" i="70"/>
  <c r="AA115" i="71" s="1"/>
  <c r="Z47" i="70"/>
  <c r="Y47" i="70"/>
  <c r="Y26" i="80" s="1"/>
  <c r="X47" i="70"/>
  <c r="X84" i="72" s="1"/>
  <c r="W47" i="70"/>
  <c r="V47" i="70"/>
  <c r="V26" i="80" s="1"/>
  <c r="U47" i="70"/>
  <c r="U26" i="80" s="1"/>
  <c r="S47" i="70"/>
  <c r="S97" i="73" s="1"/>
  <c r="R47" i="70"/>
  <c r="Q47" i="70"/>
  <c r="Q26" i="80" s="1"/>
  <c r="P47" i="70"/>
  <c r="P84" i="72" s="1"/>
  <c r="O47" i="70"/>
  <c r="N47" i="70"/>
  <c r="M47" i="70"/>
  <c r="M26" i="80" s="1"/>
  <c r="K47" i="70"/>
  <c r="K115" i="71" s="1"/>
  <c r="J47" i="70"/>
  <c r="AB46" i="70"/>
  <c r="AB114" i="71" s="1"/>
  <c r="AA46" i="70"/>
  <c r="AA96" i="73" s="1"/>
  <c r="Z46" i="70"/>
  <c r="Y46" i="70"/>
  <c r="X46" i="70"/>
  <c r="V46" i="70"/>
  <c r="V25" i="80" s="1"/>
  <c r="U46" i="70"/>
  <c r="T46" i="70"/>
  <c r="T114" i="71" s="1"/>
  <c r="S46" i="70"/>
  <c r="S96" i="73" s="1"/>
  <c r="R46" i="70"/>
  <c r="Q46" i="70"/>
  <c r="Q96" i="73" s="1"/>
  <c r="P46" i="70"/>
  <c r="N46" i="70"/>
  <c r="N25" i="80" s="1"/>
  <c r="M46" i="70"/>
  <c r="L46" i="70"/>
  <c r="L114" i="71" s="1"/>
  <c r="K46" i="70"/>
  <c r="K96" i="73" s="1"/>
  <c r="J46" i="70"/>
  <c r="J83" i="72"/>
  <c r="J96" i="73"/>
  <c r="K25" i="80"/>
  <c r="K83" i="72"/>
  <c r="K114" i="71"/>
  <c r="O96" i="73"/>
  <c r="S83" i="72"/>
  <c r="S25" i="80"/>
  <c r="S114" i="71"/>
  <c r="W96" i="73"/>
  <c r="AA83" i="72"/>
  <c r="AA25" i="80"/>
  <c r="AA114" i="71"/>
  <c r="L115" i="71"/>
  <c r="P97" i="73"/>
  <c r="P26" i="80"/>
  <c r="P115" i="71"/>
  <c r="T84" i="72"/>
  <c r="X97" i="73"/>
  <c r="X26" i="80"/>
  <c r="X115" i="71"/>
  <c r="AB97" i="73"/>
  <c r="M85" i="72"/>
  <c r="M27" i="80"/>
  <c r="M116" i="71"/>
  <c r="U85" i="72"/>
  <c r="U27" i="80"/>
  <c r="U116" i="71"/>
  <c r="J100" i="73"/>
  <c r="J29" i="80"/>
  <c r="J118" i="71"/>
  <c r="N87" i="72"/>
  <c r="N100" i="73"/>
  <c r="N29" i="80"/>
  <c r="N118" i="71"/>
  <c r="R100" i="73"/>
  <c r="R29" i="80"/>
  <c r="R118" i="71"/>
  <c r="V87" i="72"/>
  <c r="V100" i="73"/>
  <c r="V29" i="80"/>
  <c r="V118" i="71"/>
  <c r="Z100" i="73"/>
  <c r="Z29" i="80"/>
  <c r="Z118" i="71"/>
  <c r="K101" i="73"/>
  <c r="K119" i="71"/>
  <c r="K30" i="80"/>
  <c r="O119" i="71"/>
  <c r="O101" i="73"/>
  <c r="O30" i="80"/>
  <c r="S101" i="73"/>
  <c r="S88" i="72"/>
  <c r="S30" i="80"/>
  <c r="W119" i="71"/>
  <c r="W30" i="80"/>
  <c r="W101" i="73"/>
  <c r="AA88" i="72"/>
  <c r="AA101" i="73"/>
  <c r="AA30" i="80"/>
  <c r="L89" i="72"/>
  <c r="L102" i="73"/>
  <c r="L31" i="80"/>
  <c r="L120" i="71"/>
  <c r="P89" i="72"/>
  <c r="P102" i="73"/>
  <c r="P120" i="71"/>
  <c r="T89" i="72"/>
  <c r="T102" i="73"/>
  <c r="T31" i="80"/>
  <c r="T120" i="71"/>
  <c r="X89" i="72"/>
  <c r="X102" i="73"/>
  <c r="X120" i="71"/>
  <c r="AB89" i="72"/>
  <c r="AB102" i="73"/>
  <c r="AB31" i="80"/>
  <c r="AB120" i="71"/>
  <c r="R114" i="71"/>
  <c r="N83" i="72"/>
  <c r="N96" i="73"/>
  <c r="N114" i="71"/>
  <c r="V83" i="72"/>
  <c r="V96" i="73"/>
  <c r="V114" i="71"/>
  <c r="Z96" i="73"/>
  <c r="K84" i="72"/>
  <c r="K97" i="73"/>
  <c r="K26" i="80"/>
  <c r="S84" i="72"/>
  <c r="S115" i="71"/>
  <c r="S26" i="80"/>
  <c r="AA84" i="72"/>
  <c r="AA97" i="73"/>
  <c r="AA26" i="80"/>
  <c r="L85" i="72"/>
  <c r="L98" i="73"/>
  <c r="P85" i="72"/>
  <c r="P98" i="73"/>
  <c r="P116" i="71"/>
  <c r="T85" i="72"/>
  <c r="X85" i="72"/>
  <c r="X98" i="73"/>
  <c r="X116" i="71"/>
  <c r="AB85" i="72"/>
  <c r="AB116" i="71"/>
  <c r="M87" i="72"/>
  <c r="M118" i="71"/>
  <c r="M29" i="80"/>
  <c r="Q87" i="72"/>
  <c r="Q100" i="73"/>
  <c r="Q118" i="71"/>
  <c r="U87" i="72"/>
  <c r="U100" i="73"/>
  <c r="U29" i="80"/>
  <c r="Y118" i="71"/>
  <c r="J88" i="72"/>
  <c r="J101" i="73"/>
  <c r="J119" i="71"/>
  <c r="N101" i="73"/>
  <c r="N30" i="80"/>
  <c r="R88" i="72"/>
  <c r="R101" i="73"/>
  <c r="R119" i="71"/>
  <c r="V119" i="71"/>
  <c r="Z88" i="72"/>
  <c r="Z101" i="73"/>
  <c r="Z119" i="71"/>
  <c r="O89" i="72"/>
  <c r="O102" i="73"/>
  <c r="O31" i="80"/>
  <c r="S89" i="72"/>
  <c r="S31" i="80"/>
  <c r="S120" i="71"/>
  <c r="W89" i="72"/>
  <c r="W120" i="71"/>
  <c r="W31" i="80"/>
  <c r="AA89" i="72"/>
  <c r="AA102" i="73"/>
  <c r="L83" i="72"/>
  <c r="L96" i="73"/>
  <c r="L25" i="80"/>
  <c r="P114" i="71"/>
  <c r="P96" i="73"/>
  <c r="T83" i="72"/>
  <c r="T96" i="73"/>
  <c r="T25" i="80"/>
  <c r="AB83" i="72"/>
  <c r="AB96" i="73"/>
  <c r="AB25" i="80"/>
  <c r="M84" i="72"/>
  <c r="M97" i="73"/>
  <c r="M115" i="71"/>
  <c r="Q84" i="72"/>
  <c r="Q97" i="73"/>
  <c r="Q115" i="71"/>
  <c r="U84" i="72"/>
  <c r="U97" i="73"/>
  <c r="Y84" i="72"/>
  <c r="Y97" i="73"/>
  <c r="Y115" i="71"/>
  <c r="J85" i="72"/>
  <c r="N85" i="72"/>
  <c r="N98" i="73"/>
  <c r="N27" i="80"/>
  <c r="R116" i="71"/>
  <c r="R98" i="73"/>
  <c r="R27" i="80"/>
  <c r="V85" i="72"/>
  <c r="V98" i="73"/>
  <c r="V27" i="80"/>
  <c r="Z27" i="80"/>
  <c r="K100" i="73"/>
  <c r="O100" i="73"/>
  <c r="O29" i="80"/>
  <c r="S100" i="73"/>
  <c r="AA87" i="72"/>
  <c r="P101" i="73"/>
  <c r="P119" i="71"/>
  <c r="T88" i="72"/>
  <c r="T101" i="73"/>
  <c r="T30" i="80"/>
  <c r="X101" i="73"/>
  <c r="AB88" i="72"/>
  <c r="AB101" i="73"/>
  <c r="M89" i="72"/>
  <c r="Q102" i="73"/>
  <c r="Q120" i="71"/>
  <c r="U102" i="73"/>
  <c r="Y102" i="73"/>
  <c r="Y89" i="72"/>
  <c r="Y120" i="71"/>
  <c r="M83" i="72"/>
  <c r="M96" i="73"/>
  <c r="M25" i="80"/>
  <c r="M114" i="71"/>
  <c r="Q114" i="71"/>
  <c r="U83" i="72"/>
  <c r="U96" i="73"/>
  <c r="U114" i="71"/>
  <c r="U25" i="80"/>
  <c r="J97" i="73"/>
  <c r="J84" i="72"/>
  <c r="J26" i="80"/>
  <c r="J115" i="71"/>
  <c r="R97" i="73"/>
  <c r="R84" i="72"/>
  <c r="R26" i="80"/>
  <c r="R115" i="71"/>
  <c r="V84" i="72"/>
  <c r="V97" i="73"/>
  <c r="V115" i="71"/>
  <c r="Z97" i="73"/>
  <c r="Z84" i="72"/>
  <c r="Z26" i="80"/>
  <c r="Z115" i="71"/>
  <c r="K85" i="72"/>
  <c r="K98" i="73"/>
  <c r="K27" i="80"/>
  <c r="O85" i="72"/>
  <c r="O98" i="73"/>
  <c r="O27" i="80"/>
  <c r="O116" i="71"/>
  <c r="S85" i="72"/>
  <c r="S27" i="80"/>
  <c r="W85" i="72"/>
  <c r="W98" i="73"/>
  <c r="W27" i="80"/>
  <c r="W116" i="71"/>
  <c r="AA85" i="72"/>
  <c r="AA98" i="73"/>
  <c r="AA27" i="80"/>
  <c r="L87" i="72"/>
  <c r="L118" i="71"/>
  <c r="L100" i="73"/>
  <c r="L29" i="80"/>
  <c r="P87" i="72"/>
  <c r="P29" i="80"/>
  <c r="T87" i="72"/>
  <c r="T118" i="71"/>
  <c r="T29" i="80"/>
  <c r="T100" i="73"/>
  <c r="X100" i="73"/>
  <c r="AB118" i="71"/>
  <c r="AB29" i="80"/>
  <c r="AB87" i="72"/>
  <c r="AB100" i="73"/>
  <c r="Q88" i="72"/>
  <c r="Q101" i="73"/>
  <c r="Q30" i="80"/>
  <c r="Q119" i="71"/>
  <c r="Y88" i="72"/>
  <c r="Y101" i="73"/>
  <c r="Y30" i="80"/>
  <c r="Y119" i="71"/>
  <c r="J89" i="72"/>
  <c r="J102" i="73"/>
  <c r="J31" i="80"/>
  <c r="N89" i="72"/>
  <c r="N102" i="73"/>
  <c r="N120" i="71"/>
  <c r="N31" i="80"/>
  <c r="R89" i="72"/>
  <c r="R102" i="73"/>
  <c r="R31" i="80"/>
  <c r="V102" i="73"/>
  <c r="V120" i="71"/>
  <c r="V89" i="72"/>
  <c r="V31" i="80"/>
  <c r="Z89" i="72"/>
  <c r="Z31" i="80"/>
  <c r="N86" i="72"/>
  <c r="N99" i="73"/>
  <c r="N117" i="71"/>
  <c r="N28" i="80"/>
  <c r="P99" i="73"/>
  <c r="P86" i="72"/>
  <c r="P28" i="80"/>
  <c r="P117" i="71"/>
  <c r="Q86" i="72"/>
  <c r="J86" i="72"/>
  <c r="J99" i="73"/>
  <c r="J117" i="71"/>
  <c r="K86" i="72"/>
  <c r="K99" i="73"/>
  <c r="K117" i="71"/>
  <c r="M86" i="72"/>
  <c r="M99" i="73"/>
  <c r="M117" i="71"/>
  <c r="M28" i="80"/>
  <c r="X99" i="73"/>
  <c r="X86" i="72"/>
  <c r="X117" i="71"/>
  <c r="W86" i="72"/>
  <c r="T99" i="73"/>
  <c r="T86" i="72"/>
  <c r="T28" i="80"/>
  <c r="T117" i="71"/>
  <c r="AB99" i="73"/>
  <c r="AB28" i="80"/>
  <c r="AB117" i="71"/>
  <c r="AA86" i="72"/>
  <c r="AA99" i="73"/>
  <c r="AA117" i="71"/>
  <c r="O86" i="72"/>
  <c r="O99" i="73"/>
  <c r="O28" i="80"/>
  <c r="O117" i="71"/>
  <c r="S86" i="72"/>
  <c r="S99" i="73"/>
  <c r="S28" i="80"/>
  <c r="S117" i="71"/>
  <c r="R86" i="72"/>
  <c r="R99" i="73"/>
  <c r="R28" i="80"/>
  <c r="R117" i="71"/>
  <c r="U99" i="73"/>
  <c r="U86" i="72"/>
  <c r="U28" i="80"/>
  <c r="Z86" i="72"/>
  <c r="Z99" i="73"/>
  <c r="Z28" i="80"/>
  <c r="Z117" i="71"/>
  <c r="L99" i="73"/>
  <c r="L28" i="80"/>
  <c r="L86" i="72"/>
  <c r="L117" i="71"/>
  <c r="B14" i="27"/>
  <c r="B10" i="27"/>
  <c r="B6" i="27"/>
  <c r="B8" i="27"/>
  <c r="A2" i="41"/>
  <c r="A2" i="53"/>
  <c r="A2" i="22"/>
  <c r="A2" i="23"/>
  <c r="A2" i="31"/>
  <c r="A2" i="28"/>
  <c r="A2" i="55"/>
  <c r="D10" i="27"/>
  <c r="D8" i="27"/>
  <c r="D6" i="27"/>
  <c r="A1" i="28"/>
  <c r="K110" i="41"/>
  <c r="L110" i="41"/>
  <c r="M110" i="41"/>
  <c r="N110" i="41" s="1"/>
  <c r="O110" i="41" s="1"/>
  <c r="P110" i="41" s="1"/>
  <c r="A1" i="53"/>
  <c r="C365" i="53" s="1"/>
  <c r="G119" i="85" s="1"/>
  <c r="A1" i="41"/>
  <c r="C39" i="41" s="1"/>
  <c r="G184" i="85" s="1"/>
  <c r="Q110" i="4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C111" i="22"/>
  <c r="AC56" i="65" s="1"/>
  <c r="AG110" i="22"/>
  <c r="AG47" i="65" s="1"/>
  <c r="AG111" i="22"/>
  <c r="AG56" i="65" s="1"/>
  <c r="AK110" i="22"/>
  <c r="AK47" i="65" s="1"/>
  <c r="AK111" i="22"/>
  <c r="AK56" i="65" s="1"/>
  <c r="AO110" i="22"/>
  <c r="AO47" i="65" s="1"/>
  <c r="AO111" i="22"/>
  <c r="AO56" i="65" s="1"/>
  <c r="AF121" i="22"/>
  <c r="AF48" i="65" s="1"/>
  <c r="AF122" i="22"/>
  <c r="AF57" i="65" s="1"/>
  <c r="AJ121" i="22"/>
  <c r="AJ48" i="65" s="1"/>
  <c r="AJ122" i="22"/>
  <c r="AJ57" i="65" s="1"/>
  <c r="AN121" i="22"/>
  <c r="AN48" i="65" s="1"/>
  <c r="AN122" i="22"/>
  <c r="AN57" i="65" s="1"/>
  <c r="AE100" i="22"/>
  <c r="AE55" i="65" s="1"/>
  <c r="AE99" i="22"/>
  <c r="AE46"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s="1"/>
  <c r="AM110" i="22"/>
  <c r="AM47" i="65" s="1"/>
  <c r="AH121" i="22"/>
  <c r="AH48" i="65" s="1"/>
  <c r="AH122" i="22"/>
  <c r="AH57" i="65" s="1"/>
  <c r="AL122" i="22"/>
  <c r="AL57" i="65" s="1"/>
  <c r="AL121" i="22"/>
  <c r="AL48" i="65" s="1"/>
  <c r="AP121" i="22"/>
  <c r="AP48" i="65" s="1"/>
  <c r="AP122" i="22"/>
  <c r="AP57" i="65" s="1"/>
  <c r="AC99" i="22"/>
  <c r="AC46" i="65" s="1"/>
  <c r="AC100" i="22"/>
  <c r="AC55" i="65" s="1"/>
  <c r="AG99" i="22"/>
  <c r="AG46" i="65" s="1"/>
  <c r="AG100" i="22"/>
  <c r="AG55" i="65" s="1"/>
  <c r="AK99" i="22"/>
  <c r="AK46" i="65" s="1"/>
  <c r="AK100" i="22"/>
  <c r="AK55" i="65" s="1"/>
  <c r="AO99" i="22"/>
  <c r="AO46" i="65" s="1"/>
  <c r="AO100" i="22"/>
  <c r="AO55" i="65" s="1"/>
  <c r="AF110" i="22"/>
  <c r="AF47" i="65" s="1"/>
  <c r="AF111" i="22"/>
  <c r="AF56" i="65" s="1"/>
  <c r="AJ110" i="22"/>
  <c r="AJ47" i="65" s="1"/>
  <c r="AJ111" i="22"/>
  <c r="AJ56" i="65" s="1"/>
  <c r="AN110" i="22"/>
  <c r="AN47" i="65" s="1"/>
  <c r="AN111" i="22"/>
  <c r="AN56" i="65" s="1"/>
  <c r="AE122" i="22"/>
  <c r="AE57" i="65" s="1"/>
  <c r="AE121" i="22"/>
  <c r="AE48" i="65" s="1"/>
  <c r="AI122" i="22"/>
  <c r="AI57" i="65" s="1"/>
  <c r="AI121" i="22"/>
  <c r="AI48" i="65" s="1"/>
  <c r="AM122" i="22"/>
  <c r="AM57" i="65" s="1"/>
  <c r="AM121" i="22"/>
  <c r="AM48" i="65" s="1"/>
  <c r="AH99" i="22"/>
  <c r="AH46" i="65" s="1"/>
  <c r="AH100" i="22"/>
  <c r="AH55" i="65" s="1"/>
  <c r="AC74" i="22"/>
  <c r="AC53" i="65"/>
  <c r="AG74" i="22"/>
  <c r="AG53" i="65" s="1"/>
  <c r="AK74" i="22"/>
  <c r="AK53" i="65" s="1"/>
  <c r="AO74" i="22"/>
  <c r="AO53" i="65" s="1"/>
  <c r="AD74" i="22"/>
  <c r="AD53" i="65" s="1"/>
  <c r="AH74" i="22"/>
  <c r="AH53" i="65" s="1"/>
  <c r="AL74" i="22"/>
  <c r="AL53" i="65" s="1"/>
  <c r="AP74" i="22"/>
  <c r="AP53" i="65" s="1"/>
  <c r="AF74" i="22"/>
  <c r="AF53" i="65" s="1"/>
  <c r="AJ74" i="22"/>
  <c r="AJ53" i="65" s="1"/>
  <c r="AN74" i="22"/>
  <c r="AN53" i="65" s="1"/>
  <c r="AE85" i="22"/>
  <c r="AE54" i="65" s="1"/>
  <c r="AI85" i="22"/>
  <c r="AI54" i="65" s="1"/>
  <c r="AM85" i="22"/>
  <c r="AM54" i="65" s="1"/>
  <c r="AJ84" i="22"/>
  <c r="AJ45" i="65" s="1"/>
  <c r="AF73" i="22"/>
  <c r="AF44" i="65" s="1"/>
  <c r="AC84" i="22"/>
  <c r="AC45" i="65" s="1"/>
  <c r="AG84" i="22"/>
  <c r="AG45" i="65" s="1"/>
  <c r="AK84" i="22"/>
  <c r="AK45" i="65" s="1"/>
  <c r="AO84" i="22"/>
  <c r="AO45" i="65" s="1"/>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K85" i="22"/>
  <c r="AK54" i="65" s="1"/>
  <c r="AO85" i="22"/>
  <c r="AO54" i="65" s="1"/>
  <c r="AN84" i="22"/>
  <c r="AN45" i="65" s="1"/>
  <c r="AE73" i="22"/>
  <c r="AE44" i="65" s="1"/>
  <c r="AI73" i="22"/>
  <c r="AI44" i="65" s="1"/>
  <c r="AM73" i="22"/>
  <c r="AM44" i="65" s="1"/>
  <c r="AN73" i="22"/>
  <c r="AN44" i="65" s="1"/>
  <c r="AE84" i="22"/>
  <c r="AE45" i="65" s="1"/>
  <c r="AI84" i="22"/>
  <c r="AI45" i="65" s="1"/>
  <c r="AM84" i="22"/>
  <c r="AM45" i="65" s="1"/>
  <c r="AD85" i="22"/>
  <c r="AD54" i="65" s="1"/>
  <c r="AH85" i="22"/>
  <c r="AH54" i="65" s="1"/>
  <c r="AL85" i="22"/>
  <c r="AL54" i="65" s="1"/>
  <c r="AP85" i="22"/>
  <c r="AP54" i="65" s="1"/>
  <c r="AE62" i="22"/>
  <c r="AE43" i="65" s="1"/>
  <c r="AI62" i="22"/>
  <c r="AI43" i="65" s="1"/>
  <c r="AE63" i="22"/>
  <c r="AE52" i="65" s="1"/>
  <c r="AM63" i="22"/>
  <c r="AM52" i="65" s="1"/>
  <c r="AE74" i="22"/>
  <c r="AE53" i="65" s="1"/>
  <c r="AM74" i="22"/>
  <c r="AM53" i="65" s="1"/>
  <c r="AF62" i="22"/>
  <c r="AF43" i="65" s="1"/>
  <c r="AJ62" i="22"/>
  <c r="AJ43" i="65" s="1"/>
  <c r="AN62" i="22"/>
  <c r="AN43" i="65" s="1"/>
  <c r="AF63" i="22"/>
  <c r="AF52" i="65" s="1"/>
  <c r="AJ63" i="22"/>
  <c r="AJ52" i="65" s="1"/>
  <c r="AN63" i="22"/>
  <c r="AN52" i="65" s="1"/>
  <c r="AC73" i="22"/>
  <c r="AC44" i="65" s="1"/>
  <c r="AG73" i="22"/>
  <c r="AG44" i="65" s="1"/>
  <c r="AK73" i="22"/>
  <c r="AK44" i="65" s="1"/>
  <c r="AO73" i="22"/>
  <c r="AO44" i="65" s="1"/>
  <c r="AM62" i="22"/>
  <c r="AM43" i="65" s="1"/>
  <c r="AI74" i="22"/>
  <c r="AI53" i="65" s="1"/>
  <c r="AC62" i="22"/>
  <c r="AC43" i="65" s="1"/>
  <c r="AG62" i="22"/>
  <c r="AG43" i="65" s="1"/>
  <c r="AK62" i="22"/>
  <c r="AK43" i="65" s="1"/>
  <c r="AO62" i="22"/>
  <c r="AO43" i="65" s="1"/>
  <c r="AC63" i="22"/>
  <c r="AC52" i="65" s="1"/>
  <c r="AG63" i="22"/>
  <c r="AG52" i="65" s="1"/>
  <c r="AK63" i="22"/>
  <c r="AK52" i="65" s="1"/>
  <c r="AO63" i="22"/>
  <c r="AO52" i="65" s="1"/>
  <c r="AD73" i="22"/>
  <c r="AD44" i="65" s="1"/>
  <c r="AH73" i="22"/>
  <c r="AH44" i="65" s="1"/>
  <c r="AL73" i="22"/>
  <c r="AL44" i="65" s="1"/>
  <c r="AP73" i="22"/>
  <c r="AP44" i="65" s="1"/>
  <c r="AI63" i="22"/>
  <c r="AI52" i="65" s="1"/>
  <c r="AD62" i="22"/>
  <c r="AD43" i="65" s="1"/>
  <c r="AH62" i="22"/>
  <c r="AH43" i="65" s="1"/>
  <c r="AL62" i="22"/>
  <c r="AL43" i="65" s="1"/>
  <c r="AP62" i="22"/>
  <c r="AP43" i="65" s="1"/>
  <c r="AD63" i="22"/>
  <c r="AD52" i="65" s="1"/>
  <c r="AH63" i="22"/>
  <c r="AH52" i="65" s="1"/>
  <c r="AL63" i="22"/>
  <c r="AL52" i="65" s="1"/>
  <c r="AP63" i="22"/>
  <c r="AP52" i="65" s="1"/>
  <c r="K29" i="31"/>
  <c r="H45" i="80" s="1"/>
  <c r="J29" i="31"/>
  <c r="K20" i="31"/>
  <c r="K21" i="31" s="1"/>
  <c r="K23" i="31" s="1"/>
  <c r="K32" i="81" s="1"/>
  <c r="K33" i="81" s="1"/>
  <c r="Q29" i="31"/>
  <c r="H51" i="80" s="1"/>
  <c r="M38" i="31"/>
  <c r="M165" i="31" s="1"/>
  <c r="O38" i="31"/>
  <c r="N38" i="31"/>
  <c r="N167" i="31" s="1"/>
  <c r="Y254" i="53"/>
  <c r="Z254" i="53"/>
  <c r="AA254" i="53"/>
  <c r="Q214" i="31"/>
  <c r="H90" i="81"/>
  <c r="H122" i="81" s="1"/>
  <c r="H20" i="76" s="1"/>
  <c r="AH253" i="53"/>
  <c r="AL253" i="53"/>
  <c r="V253" i="53"/>
  <c r="P253" i="53"/>
  <c r="Q253" i="53"/>
  <c r="AO253" i="53"/>
  <c r="AG253" i="53"/>
  <c r="W253" i="53"/>
  <c r="L253" i="53"/>
  <c r="L271" i="53" s="1"/>
  <c r="N253" i="53"/>
  <c r="AP253" i="53"/>
  <c r="AD43" i="53"/>
  <c r="AK253" i="53"/>
  <c r="T253" i="53"/>
  <c r="S253" i="53"/>
  <c r="J253" i="53"/>
  <c r="M253" i="53"/>
  <c r="M271" i="53" s="1"/>
  <c r="R253" i="53"/>
  <c r="K253" i="53"/>
  <c r="U253" i="53"/>
  <c r="O253" i="53"/>
  <c r="AP254" i="53"/>
  <c r="AL254" i="53"/>
  <c r="T254" i="53"/>
  <c r="U254" i="53"/>
  <c r="K254" i="53"/>
  <c r="O254" i="53"/>
  <c r="AG254" i="53"/>
  <c r="P254" i="53"/>
  <c r="J254" i="53"/>
  <c r="S254" i="53"/>
  <c r="L254" i="53"/>
  <c r="V254" i="53"/>
  <c r="M254" i="53"/>
  <c r="Q254" i="53"/>
  <c r="AO254" i="53"/>
  <c r="AK254" i="53"/>
  <c r="AF44" i="53"/>
  <c r="W254" i="53"/>
  <c r="N254" i="53"/>
  <c r="R254" i="53"/>
  <c r="R34" i="22"/>
  <c r="R110" i="22" s="1"/>
  <c r="R47" i="65" s="1"/>
  <c r="Z34" i="22"/>
  <c r="Z62" i="22" s="1"/>
  <c r="AK132" i="22"/>
  <c r="AK49" i="65" s="1"/>
  <c r="AI34" i="22"/>
  <c r="AI132" i="22"/>
  <c r="AI49" i="65" s="1"/>
  <c r="AM132" i="22"/>
  <c r="AM49" i="65" s="1"/>
  <c r="AN132" i="22"/>
  <c r="AN49" i="65" s="1"/>
  <c r="AH34" i="22"/>
  <c r="AH132" i="22"/>
  <c r="AH49" i="65" s="1"/>
  <c r="AD34" i="22"/>
  <c r="AD132" i="22"/>
  <c r="AD49" i="65" s="1"/>
  <c r="AP132" i="22"/>
  <c r="AP49" i="65" s="1"/>
  <c r="AJ132" i="22"/>
  <c r="AJ49" i="65" s="1"/>
  <c r="M34" i="22"/>
  <c r="K34" i="22"/>
  <c r="K99" i="22" s="1"/>
  <c r="K46" i="65" s="1"/>
  <c r="AO34" i="22"/>
  <c r="AO132" i="22"/>
  <c r="AO49" i="65" s="1"/>
  <c r="O34" i="22"/>
  <c r="O99" i="22" s="1"/>
  <c r="AL132" i="22"/>
  <c r="AF34" i="22"/>
  <c r="AF132" i="22"/>
  <c r="AF49" i="65" s="1"/>
  <c r="AC132" i="22"/>
  <c r="AC49" i="65" s="1"/>
  <c r="W34" i="22"/>
  <c r="W84" i="22" s="1"/>
  <c r="W45" i="65" s="1"/>
  <c r="AG132" i="22"/>
  <c r="AG49" i="65" s="1"/>
  <c r="AE34" i="22"/>
  <c r="AE132" i="22"/>
  <c r="Y34" i="22"/>
  <c r="Y99" i="22" s="1"/>
  <c r="Y46" i="65" s="1"/>
  <c r="H25" i="81"/>
  <c r="H121" i="81" s="1"/>
  <c r="H19" i="76" s="1"/>
  <c r="M255" i="53"/>
  <c r="AL255" i="53"/>
  <c r="R255" i="53"/>
  <c r="J255" i="53"/>
  <c r="L255" i="53"/>
  <c r="K255" i="53"/>
  <c r="K281" i="53" s="1"/>
  <c r="AP255" i="53"/>
  <c r="AG255" i="53"/>
  <c r="P255" i="53"/>
  <c r="V255" i="53"/>
  <c r="N255" i="53"/>
  <c r="O255" i="53"/>
  <c r="T255" i="53"/>
  <c r="AK255" i="53"/>
  <c r="S255" i="53"/>
  <c r="U255" i="53"/>
  <c r="W255" i="53"/>
  <c r="AH255" i="53"/>
  <c r="Q255" i="53"/>
  <c r="AM133" i="22"/>
  <c r="AM58" i="65" s="1"/>
  <c r="AB35" i="22"/>
  <c r="AB122" i="22" s="1"/>
  <c r="AB57" i="65" s="1"/>
  <c r="N35" i="22"/>
  <c r="N63" i="22" s="1"/>
  <c r="N52" i="65" s="1"/>
  <c r="AF35" i="22"/>
  <c r="AF133" i="22"/>
  <c r="AF58" i="65" s="1"/>
  <c r="AI133" i="22"/>
  <c r="AI58" i="65" s="1"/>
  <c r="M35" i="22"/>
  <c r="M85" i="22" s="1"/>
  <c r="U35" i="22"/>
  <c r="U74" i="22" s="1"/>
  <c r="U53" i="65" s="1"/>
  <c r="AH133" i="22"/>
  <c r="V35" i="22"/>
  <c r="V63" i="22" s="1"/>
  <c r="V52" i="65" s="1"/>
  <c r="AN133" i="22"/>
  <c r="AN58" i="65" s="1"/>
  <c r="AE133" i="22"/>
  <c r="AG35" i="22"/>
  <c r="AG133" i="22"/>
  <c r="AG58" i="65" s="1"/>
  <c r="AA35" i="22"/>
  <c r="AA85" i="22" s="1"/>
  <c r="AA54" i="65" s="1"/>
  <c r="AL35" i="22"/>
  <c r="AL133" i="22"/>
  <c r="AL58" i="65" s="1"/>
  <c r="AD35" i="22"/>
  <c r="AD133" i="22"/>
  <c r="AD58" i="65" s="1"/>
  <c r="AO133" i="22"/>
  <c r="AO58" i="65" s="1"/>
  <c r="AJ133" i="22"/>
  <c r="AJ58" i="65" s="1"/>
  <c r="AC35" i="22"/>
  <c r="AC133" i="22"/>
  <c r="AC58" i="65" s="1"/>
  <c r="X35" i="22"/>
  <c r="X122" i="22" s="1"/>
  <c r="X57" i="65" s="1"/>
  <c r="AP133" i="22"/>
  <c r="AP58" i="65" s="1"/>
  <c r="AK35" i="22"/>
  <c r="AK133" i="22"/>
  <c r="AK58" i="65" s="1"/>
  <c r="Z35" i="22"/>
  <c r="Z63" i="22" s="1"/>
  <c r="Z52" i="65" s="1"/>
  <c r="K35" i="22"/>
  <c r="K111" i="22" s="1"/>
  <c r="Y253" i="53"/>
  <c r="AB253" i="53"/>
  <c r="Z253" i="53"/>
  <c r="AA253" i="53"/>
  <c r="L74" i="23"/>
  <c r="L95" i="23"/>
  <c r="L86" i="23"/>
  <c r="Z255" i="53"/>
  <c r="AA255" i="53"/>
  <c r="Y255" i="53"/>
  <c r="AB255" i="53"/>
  <c r="AL49" i="65"/>
  <c r="AH58" i="65"/>
  <c r="AE58" i="65"/>
  <c r="AE49" i="65"/>
  <c r="AI255" i="53"/>
  <c r="AM255" i="53"/>
  <c r="AE254" i="53"/>
  <c r="AC254" i="53"/>
  <c r="AI253" i="53"/>
  <c r="AM253" i="53"/>
  <c r="AJ253" i="53"/>
  <c r="AI254" i="53"/>
  <c r="AE255" i="53"/>
  <c r="AN254" i="53"/>
  <c r="AF254" i="53"/>
  <c r="AD254" i="53"/>
  <c r="AD282" i="53" s="1"/>
  <c r="AM254" i="53"/>
  <c r="AN253" i="53"/>
  <c r="AN271" i="53" s="1"/>
  <c r="AF253" i="53"/>
  <c r="AJ255" i="53"/>
  <c r="AF255" i="53"/>
  <c r="AD253" i="53"/>
  <c r="AD286" i="53" s="1"/>
  <c r="AC255" i="53"/>
  <c r="AD255" i="53"/>
  <c r="AJ254" i="53"/>
  <c r="AC253" i="53"/>
  <c r="O181" i="31"/>
  <c r="O173" i="31"/>
  <c r="O176" i="31"/>
  <c r="O172" i="31"/>
  <c r="P172" i="31"/>
  <c r="P158" i="31"/>
  <c r="P173" i="31"/>
  <c r="P169" i="31"/>
  <c r="P181" i="31"/>
  <c r="M176" i="31"/>
  <c r="N181" i="31"/>
  <c r="N171" i="31"/>
  <c r="N169" i="31"/>
  <c r="N155" i="31"/>
  <c r="O105" i="31"/>
  <c r="O112" i="31"/>
  <c r="O110" i="31"/>
  <c r="O108" i="31"/>
  <c r="O106" i="31"/>
  <c r="O104" i="31"/>
  <c r="O100" i="31"/>
  <c r="O98" i="31"/>
  <c r="O96" i="31"/>
  <c r="O94" i="31"/>
  <c r="O89" i="31"/>
  <c r="O87" i="31"/>
  <c r="O85" i="31"/>
  <c r="O101" i="31"/>
  <c r="O88" i="31"/>
  <c r="O86" i="31"/>
  <c r="O95" i="31"/>
  <c r="P110" i="31"/>
  <c r="P109" i="31"/>
  <c r="P90" i="31"/>
  <c r="P84" i="31"/>
  <c r="P82" i="31"/>
  <c r="P113" i="31"/>
  <c r="P94" i="31"/>
  <c r="P96" i="31"/>
  <c r="P89" i="31"/>
  <c r="P103" i="31"/>
  <c r="P87" i="31"/>
  <c r="P93" i="31"/>
  <c r="M106" i="31"/>
  <c r="M100" i="31"/>
  <c r="N113" i="31"/>
  <c r="N98" i="31"/>
  <c r="N97" i="31"/>
  <c r="N93" i="31"/>
  <c r="N92" i="31"/>
  <c r="N84" i="31"/>
  <c r="N108" i="31"/>
  <c r="N82" i="31"/>
  <c r="J116" i="53"/>
  <c r="X253" i="53"/>
  <c r="Y121" i="22"/>
  <c r="Y48" i="65" s="1"/>
  <c r="Y84" i="22"/>
  <c r="R121" i="22"/>
  <c r="R48" i="65" s="1"/>
  <c r="R84" i="22"/>
  <c r="R45" i="65" s="1"/>
  <c r="R62" i="22"/>
  <c r="R43" i="65" s="1"/>
  <c r="O47" i="81"/>
  <c r="N47" i="81"/>
  <c r="P47" i="81"/>
  <c r="M47" i="81"/>
  <c r="X254" i="53"/>
  <c r="X255" i="53"/>
  <c r="U100" i="22"/>
  <c r="W132" i="22"/>
  <c r="W49" i="65" s="1"/>
  <c r="W121" i="22"/>
  <c r="W48" i="65" s="1"/>
  <c r="Z110" i="22"/>
  <c r="Z47" i="65" s="1"/>
  <c r="Z121" i="22"/>
  <c r="Z48" i="65" s="1"/>
  <c r="Z99" i="22"/>
  <c r="Z46" i="65" s="1"/>
  <c r="Z132" i="22"/>
  <c r="Z49" i="65" s="1"/>
  <c r="K122" i="22"/>
  <c r="K57" i="65" s="1"/>
  <c r="AA122" i="22"/>
  <c r="AA57" i="65" s="1"/>
  <c r="AB85" i="22"/>
  <c r="AB54" i="65" s="1"/>
  <c r="K62" i="22"/>
  <c r="K43" i="65" s="1"/>
  <c r="K73" i="22"/>
  <c r="K44" i="65" s="1"/>
  <c r="Z100" i="22"/>
  <c r="Z55" i="65" s="1"/>
  <c r="Z74" i="22"/>
  <c r="Z53" i="65" s="1"/>
  <c r="Z85" i="22"/>
  <c r="Z54" i="65" s="1"/>
  <c r="X100" i="22"/>
  <c r="X55" i="65" s="1"/>
  <c r="O110" i="22"/>
  <c r="O47" i="65" s="1"/>
  <c r="O84" i="22"/>
  <c r="O45" i="65" s="1"/>
  <c r="O73" i="22"/>
  <c r="O121" i="22"/>
  <c r="O48" i="65" s="1"/>
  <c r="O132" i="22"/>
  <c r="O49" i="65" s="1"/>
  <c r="O62" i="22"/>
  <c r="O43" i="65" s="1"/>
  <c r="M132" i="22"/>
  <c r="M49" i="65" s="1"/>
  <c r="M110" i="22"/>
  <c r="M47" i="65" s="1"/>
  <c r="M62" i="22"/>
  <c r="M43" i="65" s="1"/>
  <c r="M73" i="22"/>
  <c r="M44" i="65" s="1"/>
  <c r="M99" i="22"/>
  <c r="M46" i="65" s="1"/>
  <c r="Z43" i="65"/>
  <c r="O46" i="65"/>
  <c r="O44" i="65"/>
  <c r="U55" i="65"/>
  <c r="Y45" i="65"/>
  <c r="AH20" i="74"/>
  <c r="AO20" i="74"/>
  <c r="U95" i="73"/>
  <c r="U24" i="80"/>
  <c r="U82" i="72"/>
  <c r="U113" i="71"/>
  <c r="R82" i="72"/>
  <c r="R113" i="71"/>
  <c r="R24" i="80"/>
  <c r="R95" i="73"/>
  <c r="M82" i="72"/>
  <c r="M95" i="73"/>
  <c r="M113" i="71"/>
  <c r="M24" i="80"/>
  <c r="AJ20" i="74"/>
  <c r="N82" i="72"/>
  <c r="N95" i="73"/>
  <c r="N24" i="80"/>
  <c r="N113" i="71"/>
  <c r="S82" i="72"/>
  <c r="S95" i="73"/>
  <c r="S24" i="80"/>
  <c r="S113" i="71"/>
  <c r="AM20" i="74"/>
  <c r="AN20" i="74"/>
  <c r="V24" i="80"/>
  <c r="V82" i="72"/>
  <c r="V113" i="71"/>
  <c r="V95" i="73"/>
  <c r="AF20" i="74"/>
  <c r="AL20" i="74"/>
  <c r="Z95" i="73"/>
  <c r="Z82" i="72"/>
  <c r="Z113" i="71"/>
  <c r="Z24" i="80"/>
  <c r="AB95" i="73"/>
  <c r="AB24" i="80"/>
  <c r="AB113" i="71"/>
  <c r="AF271" i="53"/>
  <c r="AD20" i="74"/>
  <c r="K285" i="53"/>
  <c r="AE271" i="53"/>
  <c r="AI282" i="53"/>
  <c r="K270" i="53"/>
  <c r="AC283" i="53"/>
  <c r="AI20" i="74"/>
  <c r="AP20" i="74"/>
  <c r="AE20" i="74"/>
  <c r="AG20" i="74"/>
  <c r="AJ280" i="53"/>
  <c r="AM271" i="53"/>
  <c r="AM282" i="53"/>
  <c r="P280" i="53"/>
  <c r="AK282" i="53"/>
  <c r="L282" i="53"/>
  <c r="AC281" i="53"/>
  <c r="AN283" i="53"/>
  <c r="AN272" i="53"/>
  <c r="AI280" i="53"/>
  <c r="Q280" i="53"/>
  <c r="K282" i="53"/>
  <c r="K271" i="53"/>
  <c r="P282" i="53"/>
  <c r="P271" i="53"/>
  <c r="AD271" i="53"/>
  <c r="AG270" i="53"/>
  <c r="AG281" i="53"/>
  <c r="AG259" i="53"/>
  <c r="AD270" i="53"/>
  <c r="R283" i="53"/>
  <c r="K272" i="53"/>
  <c r="K283" i="53"/>
  <c r="AD283" i="53"/>
  <c r="AD272" i="53"/>
  <c r="S283" i="53"/>
  <c r="AF283" i="53"/>
  <c r="AF272" i="53"/>
  <c r="AK20" i="74"/>
  <c r="AH287" i="53"/>
  <c r="AH276" i="53"/>
  <c r="AC20" i="74"/>
  <c r="Z280" i="53"/>
  <c r="Z269" i="53"/>
  <c r="AK78" i="83"/>
  <c r="AG78" i="83"/>
  <c r="AO78" i="83"/>
  <c r="L27" i="31"/>
  <c r="L29" i="31" s="1"/>
  <c r="M27" i="31"/>
  <c r="M29" i="31" s="1"/>
  <c r="N27" i="31"/>
  <c r="N29" i="31" s="1"/>
  <c r="O27" i="31"/>
  <c r="P28" i="31" s="1"/>
  <c r="P29" i="31" s="1"/>
  <c r="R27" i="31"/>
  <c r="R29" i="31" s="1"/>
  <c r="S27" i="31"/>
  <c r="S29" i="31" s="1"/>
  <c r="S214" i="31" s="1"/>
  <c r="K16" i="105"/>
  <c r="K25" i="105"/>
  <c r="K34" i="105"/>
  <c r="K17" i="105"/>
  <c r="K26" i="105"/>
  <c r="K18" i="105"/>
  <c r="K27" i="105"/>
  <c r="K36" i="105"/>
  <c r="L25" i="105"/>
  <c r="L131" i="105" s="1"/>
  <c r="L17" i="105"/>
  <c r="L26" i="105"/>
  <c r="L35" i="105"/>
  <c r="L18" i="105"/>
  <c r="L27" i="105"/>
  <c r="AG16" i="105"/>
  <c r="AG34" i="105"/>
  <c r="AG17" i="105"/>
  <c r="AG26" i="105"/>
  <c r="AG35" i="105"/>
  <c r="AG18" i="105"/>
  <c r="AG27" i="105"/>
  <c r="T103" i="87"/>
  <c r="T16" i="105"/>
  <c r="T34" i="105"/>
  <c r="T17" i="105"/>
  <c r="T26" i="105"/>
  <c r="T35" i="105"/>
  <c r="T18" i="105"/>
  <c r="T27" i="105"/>
  <c r="T36" i="105"/>
  <c r="T99" i="53"/>
  <c r="T104" i="87"/>
  <c r="T105" i="87"/>
  <c r="S103" i="87"/>
  <c r="S25" i="105"/>
  <c r="S17" i="105"/>
  <c r="S26" i="105"/>
  <c r="S35" i="105"/>
  <c r="S18" i="105"/>
  <c r="S27" i="105"/>
  <c r="S36" i="105"/>
  <c r="S99" i="53"/>
  <c r="S104" i="87"/>
  <c r="AE16" i="105"/>
  <c r="AE25" i="105"/>
  <c r="AE34" i="105"/>
  <c r="AE17" i="105"/>
  <c r="AE26" i="105"/>
  <c r="AE35" i="105"/>
  <c r="AE27" i="105"/>
  <c r="AE36" i="105"/>
  <c r="L19" i="31"/>
  <c r="V103" i="87"/>
  <c r="V25" i="105"/>
  <c r="V34" i="105"/>
  <c r="V35" i="105"/>
  <c r="V27" i="105"/>
  <c r="V94" i="105" s="1"/>
  <c r="V36" i="105"/>
  <c r="V99" i="53"/>
  <c r="AK25" i="105"/>
  <c r="AK92" i="105" s="1"/>
  <c r="AK34" i="105"/>
  <c r="AK17" i="105"/>
  <c r="AK27" i="105"/>
  <c r="AK94" i="105"/>
  <c r="AO34" i="105"/>
  <c r="AO17" i="105"/>
  <c r="AO35" i="105"/>
  <c r="AO36" i="105"/>
  <c r="X103" i="87"/>
  <c r="X98" i="53"/>
  <c r="X99" i="53"/>
  <c r="Y98" i="53"/>
  <c r="Y99" i="53"/>
  <c r="Z98" i="53"/>
  <c r="Z99" i="53"/>
  <c r="AA98" i="53"/>
  <c r="AA99" i="53"/>
  <c r="AB98" i="53"/>
  <c r="AB99" i="53"/>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34" i="105"/>
  <c r="AA132" i="105" s="1"/>
  <c r="AA17" i="105"/>
  <c r="AA26" i="105"/>
  <c r="AA35" i="105"/>
  <c r="AA18" i="105"/>
  <c r="AA27" i="105"/>
  <c r="AA36" i="105"/>
  <c r="AB16" i="105"/>
  <c r="AB25" i="105"/>
  <c r="AB34" i="105"/>
  <c r="AB17" i="105"/>
  <c r="AB26" i="105"/>
  <c r="AB35" i="105"/>
  <c r="AB18" i="105"/>
  <c r="AB27" i="105"/>
  <c r="AB36" i="105"/>
  <c r="AB103" i="87"/>
  <c r="Y44" i="53"/>
  <c r="Z44" i="53"/>
  <c r="AA44" i="53"/>
  <c r="Y45" i="53"/>
  <c r="Z45" i="53"/>
  <c r="AA45" i="53"/>
  <c r="U103" i="87"/>
  <c r="U16" i="105"/>
  <c r="U25" i="105"/>
  <c r="U17" i="105"/>
  <c r="U26" i="105"/>
  <c r="U35" i="105"/>
  <c r="U18" i="105"/>
  <c r="U27" i="105"/>
  <c r="U36" i="105"/>
  <c r="U99" i="53"/>
  <c r="U98" i="53"/>
  <c r="V98" i="53"/>
  <c r="W98" i="53"/>
  <c r="W99" i="53"/>
  <c r="K19" i="105"/>
  <c r="K28" i="105"/>
  <c r="K37" i="105"/>
  <c r="M19" i="105"/>
  <c r="M28" i="105"/>
  <c r="N19" i="105"/>
  <c r="N28" i="105"/>
  <c r="N37" i="105"/>
  <c r="L19" i="105"/>
  <c r="L180" i="105" s="1"/>
  <c r="L28" i="105"/>
  <c r="L125" i="105" s="1"/>
  <c r="L37" i="105"/>
  <c r="L126" i="105" s="1"/>
  <c r="O19" i="105"/>
  <c r="O171" i="105" s="1"/>
  <c r="O28" i="105"/>
  <c r="O125" i="105" s="1"/>
  <c r="O37" i="105"/>
  <c r="O126" i="105" s="1"/>
  <c r="P28" i="105"/>
  <c r="P37" i="105"/>
  <c r="Q19" i="105"/>
  <c r="Q183" i="105" s="1"/>
  <c r="Q37" i="105"/>
  <c r="Q105" i="105"/>
  <c r="R19" i="105"/>
  <c r="R182" i="105" s="1"/>
  <c r="R28" i="105"/>
  <c r="R95" i="105" s="1"/>
  <c r="R99" i="105" s="1"/>
  <c r="R37" i="105"/>
  <c r="R105" i="105" s="1"/>
  <c r="S19" i="105"/>
  <c r="S37" i="105"/>
  <c r="T28" i="105"/>
  <c r="T37" i="105"/>
  <c r="U19" i="105"/>
  <c r="U37" i="105"/>
  <c r="V28" i="105"/>
  <c r="V95" i="105" s="1"/>
  <c r="V37" i="105"/>
  <c r="W19" i="105"/>
  <c r="W169" i="105" s="1"/>
  <c r="W37" i="105"/>
  <c r="X28" i="105"/>
  <c r="X125" i="105" s="1"/>
  <c r="X37" i="105"/>
  <c r="X126" i="105" s="1"/>
  <c r="Y19" i="105"/>
  <c r="Y37" i="105"/>
  <c r="Y126" i="105" s="1"/>
  <c r="Z28" i="105"/>
  <c r="Z125" i="105" s="1"/>
  <c r="Z37" i="105"/>
  <c r="Z126" i="105" s="1"/>
  <c r="AA19" i="105"/>
  <c r="AA37" i="105"/>
  <c r="AA126" i="105" s="1"/>
  <c r="AB28" i="105"/>
  <c r="AB125" i="105" s="1"/>
  <c r="AB37" i="105"/>
  <c r="AC19" i="105"/>
  <c r="AC182" i="105" s="1"/>
  <c r="AC37" i="105"/>
  <c r="AC126" i="105" s="1"/>
  <c r="AD28" i="105"/>
  <c r="AD95" i="105" s="1"/>
  <c r="AD37" i="105"/>
  <c r="AD126" i="105" s="1"/>
  <c r="AE19" i="105"/>
  <c r="AE37" i="105"/>
  <c r="AF28" i="105"/>
  <c r="AF95" i="105"/>
  <c r="AF37" i="105"/>
  <c r="AF105" i="105"/>
  <c r="AG19" i="105"/>
  <c r="AG28" i="105"/>
  <c r="AG125" i="105" s="1"/>
  <c r="AG37" i="105"/>
  <c r="AG126" i="105" s="1"/>
  <c r="AH28" i="105"/>
  <c r="AH95" i="105" s="1"/>
  <c r="AH37" i="105"/>
  <c r="AH105" i="105"/>
  <c r="AI19" i="105"/>
  <c r="AI167" i="105" s="1"/>
  <c r="AI28" i="105"/>
  <c r="AI95" i="105" s="1"/>
  <c r="AI37" i="105"/>
  <c r="AI126" i="105" s="1"/>
  <c r="AJ28" i="105"/>
  <c r="AJ95" i="105" s="1"/>
  <c r="AJ37" i="105"/>
  <c r="AJ105" i="105" s="1"/>
  <c r="AK19" i="105"/>
  <c r="AK28" i="105"/>
  <c r="AK95" i="105"/>
  <c r="AK37" i="105"/>
  <c r="AK126" i="105" s="1"/>
  <c r="AL28" i="105"/>
  <c r="AL95" i="105" s="1"/>
  <c r="AL37" i="105"/>
  <c r="AL105" i="105"/>
  <c r="AM19" i="105"/>
  <c r="AM167" i="105" s="1"/>
  <c r="AM28" i="105"/>
  <c r="AM95" i="105" s="1"/>
  <c r="AM37" i="105"/>
  <c r="AN28" i="105"/>
  <c r="AN95" i="105" s="1"/>
  <c r="AN37" i="105"/>
  <c r="AN105" i="105" s="1"/>
  <c r="AO19" i="105"/>
  <c r="AO28" i="105"/>
  <c r="AO95" i="105"/>
  <c r="AO37" i="105"/>
  <c r="AP28" i="105"/>
  <c r="AP95" i="105" s="1"/>
  <c r="AP37" i="105"/>
  <c r="AP105" i="105"/>
  <c r="AC34" i="105"/>
  <c r="AC26" i="105"/>
  <c r="AC18" i="105"/>
  <c r="AC36" i="105"/>
  <c r="AD34" i="105"/>
  <c r="AD132" i="105" s="1"/>
  <c r="AD17" i="105"/>
  <c r="AD35" i="105"/>
  <c r="AD27" i="105"/>
  <c r="AD94" i="105" s="1"/>
  <c r="AD36" i="105"/>
  <c r="AI16" i="105"/>
  <c r="AI25" i="105"/>
  <c r="AI34" i="105"/>
  <c r="AI132" i="105" s="1"/>
  <c r="AI26" i="105"/>
  <c r="AI93" i="105"/>
  <c r="AI35" i="105"/>
  <c r="AI18" i="105"/>
  <c r="AI27" i="105"/>
  <c r="AI36" i="105"/>
  <c r="W103" i="87"/>
  <c r="W16" i="105"/>
  <c r="W34" i="105"/>
  <c r="W17" i="105"/>
  <c r="W26" i="105"/>
  <c r="W93" i="105"/>
  <c r="W18" i="105"/>
  <c r="W27" i="105"/>
  <c r="W94" i="105" s="1"/>
  <c r="W99" i="105" s="1"/>
  <c r="W36" i="105"/>
  <c r="AM16" i="105"/>
  <c r="AM34" i="105"/>
  <c r="AM26" i="105"/>
  <c r="AM93" i="105"/>
  <c r="AM18" i="105"/>
  <c r="AM27" i="105"/>
  <c r="AM94" i="105" s="1"/>
  <c r="AM36" i="105"/>
  <c r="AL103" i="87"/>
  <c r="AL16" i="105"/>
  <c r="AL25" i="105"/>
  <c r="AL17" i="105"/>
  <c r="AL26" i="105"/>
  <c r="AL93" i="105"/>
  <c r="AL35" i="105"/>
  <c r="AL103" i="105"/>
  <c r="AL18" i="105"/>
  <c r="AL36" i="105"/>
  <c r="AL104" i="105" s="1"/>
  <c r="AF16" i="105"/>
  <c r="AF130" i="105" s="1"/>
  <c r="AF34" i="105"/>
  <c r="AF17" i="105"/>
  <c r="AF26" i="105"/>
  <c r="AF93" i="105" s="1"/>
  <c r="AF18" i="105"/>
  <c r="AF27" i="105"/>
  <c r="AF94" i="105" s="1"/>
  <c r="AF36" i="105"/>
  <c r="AF104" i="105" s="1"/>
  <c r="AN25" i="105"/>
  <c r="AN17" i="105"/>
  <c r="AN26" i="105"/>
  <c r="AN35" i="105"/>
  <c r="AN103" i="105"/>
  <c r="AN18" i="105"/>
  <c r="AN27" i="105"/>
  <c r="AN94" i="105" s="1"/>
  <c r="AN36" i="105"/>
  <c r="AN104" i="105"/>
  <c r="AP103" i="87"/>
  <c r="AP16" i="105"/>
  <c r="AP25" i="105"/>
  <c r="AP17" i="105"/>
  <c r="AP26" i="105"/>
  <c r="AP93" i="105"/>
  <c r="AP35" i="105"/>
  <c r="AP103" i="105" s="1"/>
  <c r="AP18" i="105"/>
  <c r="AP27" i="105"/>
  <c r="AP94" i="105"/>
  <c r="AP36" i="105"/>
  <c r="AP104" i="105" s="1"/>
  <c r="AJ16" i="105"/>
  <c r="AJ25" i="105"/>
  <c r="AJ34" i="105"/>
  <c r="AJ17" i="105"/>
  <c r="AJ35" i="105"/>
  <c r="AJ103" i="105" s="1"/>
  <c r="AJ18" i="105"/>
  <c r="AJ27" i="105"/>
  <c r="AJ94" i="105"/>
  <c r="AH16" i="105"/>
  <c r="AH34" i="105"/>
  <c r="AH26" i="105"/>
  <c r="AH93" i="105"/>
  <c r="AH35" i="105"/>
  <c r="AH103" i="105"/>
  <c r="AH18" i="105"/>
  <c r="AH36" i="105"/>
  <c r="AH104" i="105" s="1"/>
  <c r="N16" i="105"/>
  <c r="N25" i="105"/>
  <c r="N17" i="105"/>
  <c r="N26" i="105"/>
  <c r="N35" i="105"/>
  <c r="N18" i="105"/>
  <c r="N27" i="105"/>
  <c r="N99" i="53"/>
  <c r="P25" i="105"/>
  <c r="P34" i="105"/>
  <c r="P17" i="105"/>
  <c r="P18" i="105"/>
  <c r="P36" i="105"/>
  <c r="P99" i="53"/>
  <c r="P116" i="53" s="1"/>
  <c r="L99" i="53"/>
  <c r="V104" i="87"/>
  <c r="K99" i="53"/>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35" i="105"/>
  <c r="Q27" i="105"/>
  <c r="Q94" i="105" s="1"/>
  <c r="Q99" i="105" s="1"/>
  <c r="Q36" i="105"/>
  <c r="Q104" i="105" s="1"/>
  <c r="R16" i="105"/>
  <c r="R34" i="105"/>
  <c r="R17" i="105"/>
  <c r="R26" i="105"/>
  <c r="R93" i="105" s="1"/>
  <c r="R35" i="105"/>
  <c r="R103" i="105" s="1"/>
  <c r="R18" i="105"/>
  <c r="R27" i="105"/>
  <c r="R94" i="105"/>
  <c r="R36" i="105"/>
  <c r="R104" i="105" s="1"/>
  <c r="R99" i="53"/>
  <c r="AP105" i="87"/>
  <c r="AP104" i="87"/>
  <c r="K61" i="80"/>
  <c r="L98" i="53"/>
  <c r="M98" i="53"/>
  <c r="N98" i="53"/>
  <c r="O98" i="53"/>
  <c r="P98" i="53"/>
  <c r="Q98" i="53"/>
  <c r="R98" i="53"/>
  <c r="S98" i="53"/>
  <c r="T98" i="53"/>
  <c r="AC78" i="83"/>
  <c r="AD78" i="83"/>
  <c r="AL78" i="83"/>
  <c r="AM78" i="83"/>
  <c r="AN78" i="83"/>
  <c r="M60" i="23"/>
  <c r="M62" i="23"/>
  <c r="M63" i="23"/>
  <c r="N60" i="23"/>
  <c r="N62" i="23"/>
  <c r="N63" i="23"/>
  <c r="O60" i="23"/>
  <c r="O62" i="23"/>
  <c r="O63" i="23"/>
  <c r="P60" i="23"/>
  <c r="P62" i="23"/>
  <c r="P63" i="23"/>
  <c r="Q60" i="23"/>
  <c r="Q62" i="23"/>
  <c r="Q63" i="23"/>
  <c r="R60" i="23"/>
  <c r="R62" i="23"/>
  <c r="R63" i="23"/>
  <c r="S60" i="23"/>
  <c r="S62" i="23"/>
  <c r="S63" i="23"/>
  <c r="H143" i="53"/>
  <c r="H151" i="53"/>
  <c r="H159" i="53"/>
  <c r="Y221" i="53" s="1"/>
  <c r="H167" i="53"/>
  <c r="H175" i="53"/>
  <c r="H183" i="53"/>
  <c r="H191" i="53"/>
  <c r="X241" i="53" s="1"/>
  <c r="H199" i="53"/>
  <c r="Y246" i="53"/>
  <c r="K22" i="105"/>
  <c r="K31" i="105"/>
  <c r="K40" i="105"/>
  <c r="L22" i="105"/>
  <c r="L31" i="105"/>
  <c r="M22" i="105"/>
  <c r="M40" i="105"/>
  <c r="N22" i="105"/>
  <c r="N31" i="105"/>
  <c r="N40" i="105"/>
  <c r="O22" i="105"/>
  <c r="O31" i="105"/>
  <c r="O40" i="105"/>
  <c r="P31" i="105"/>
  <c r="P40" i="105"/>
  <c r="Q22" i="105"/>
  <c r="Q31" i="105"/>
  <c r="Q98" i="105" s="1"/>
  <c r="Q40" i="105"/>
  <c r="Q108" i="105"/>
  <c r="R22" i="105"/>
  <c r="R31" i="105"/>
  <c r="R98" i="105" s="1"/>
  <c r="S22" i="105"/>
  <c r="S40" i="105"/>
  <c r="T22" i="105"/>
  <c r="T31" i="105"/>
  <c r="T40" i="105"/>
  <c r="U31" i="105"/>
  <c r="V22" i="105"/>
  <c r="V40" i="105"/>
  <c r="W22" i="105"/>
  <c r="W31" i="105"/>
  <c r="W98" i="105" s="1"/>
  <c r="W40" i="105"/>
  <c r="X22" i="105"/>
  <c r="X31" i="105"/>
  <c r="Y22" i="105"/>
  <c r="Y40" i="105"/>
  <c r="Z22" i="105"/>
  <c r="Z31" i="105"/>
  <c r="Z40" i="105"/>
  <c r="AA22" i="105"/>
  <c r="AA31" i="105"/>
  <c r="AA40" i="105"/>
  <c r="AB22" i="105"/>
  <c r="AB31" i="105"/>
  <c r="AC22" i="105"/>
  <c r="AC40" i="105"/>
  <c r="AD22" i="105"/>
  <c r="AD31" i="105"/>
  <c r="AD98" i="105"/>
  <c r="AD40" i="105"/>
  <c r="AE22" i="105"/>
  <c r="AE31" i="105"/>
  <c r="AE40" i="105"/>
  <c r="AF22" i="105"/>
  <c r="AF31" i="105"/>
  <c r="AF98" i="105" s="1"/>
  <c r="AF40" i="105"/>
  <c r="AF108" i="105"/>
  <c r="AG31" i="105"/>
  <c r="AH22" i="105"/>
  <c r="AH31" i="105"/>
  <c r="AH98" i="105"/>
  <c r="AH40" i="105"/>
  <c r="AH108" i="105" s="1"/>
  <c r="AI22" i="105"/>
  <c r="AI31" i="105"/>
  <c r="AI98" i="105"/>
  <c r="AI40" i="105"/>
  <c r="AJ22" i="105"/>
  <c r="AJ31" i="105"/>
  <c r="AJ98" i="105" s="1"/>
  <c r="AJ40" i="105"/>
  <c r="AJ108" i="105" s="1"/>
  <c r="AK31" i="105"/>
  <c r="AK98" i="105" s="1"/>
  <c r="AL22" i="105"/>
  <c r="AL40" i="105"/>
  <c r="AL108" i="105"/>
  <c r="AM22" i="105"/>
  <c r="AM31" i="105"/>
  <c r="AM98" i="105" s="1"/>
  <c r="AM40" i="105"/>
  <c r="AN22" i="105"/>
  <c r="AN31" i="105"/>
  <c r="AN98" i="105" s="1"/>
  <c r="AO22" i="105"/>
  <c r="AO172" i="105" s="1"/>
  <c r="AO40" i="105"/>
  <c r="AP22" i="105"/>
  <c r="AP31" i="105"/>
  <c r="AP98" i="105"/>
  <c r="AP40" i="105"/>
  <c r="AP108" i="105" s="1"/>
  <c r="K21" i="105"/>
  <c r="K30" i="105"/>
  <c r="L21" i="105"/>
  <c r="L39" i="105"/>
  <c r="M30" i="105"/>
  <c r="M39" i="105"/>
  <c r="N21" i="105"/>
  <c r="N30" i="105"/>
  <c r="N39" i="105"/>
  <c r="O21" i="105"/>
  <c r="O30" i="105"/>
  <c r="P21" i="105"/>
  <c r="P39" i="105"/>
  <c r="Q30" i="105"/>
  <c r="Q97" i="105"/>
  <c r="Q39" i="105"/>
  <c r="Q107" i="105"/>
  <c r="R21" i="105"/>
  <c r="R30" i="105"/>
  <c r="R97" i="105" s="1"/>
  <c r="R39" i="105"/>
  <c r="R107" i="105"/>
  <c r="S21" i="105"/>
  <c r="S39" i="105"/>
  <c r="T21" i="105"/>
  <c r="T39" i="105"/>
  <c r="U30" i="105"/>
  <c r="U39" i="105"/>
  <c r="V21" i="105"/>
  <c r="V30" i="105"/>
  <c r="V97" i="105" s="1"/>
  <c r="V39" i="105"/>
  <c r="W21" i="105"/>
  <c r="W39" i="105"/>
  <c r="X21" i="105"/>
  <c r="X30" i="105"/>
  <c r="X39" i="105"/>
  <c r="Y21" i="105"/>
  <c r="Y30" i="105"/>
  <c r="Y39" i="105"/>
  <c r="Z21" i="105"/>
  <c r="Z30" i="105"/>
  <c r="Z39" i="105"/>
  <c r="AA21" i="105"/>
  <c r="AA39" i="105"/>
  <c r="AB21" i="105"/>
  <c r="AB30" i="105"/>
  <c r="AB39" i="105"/>
  <c r="AC21" i="105"/>
  <c r="AC30" i="105"/>
  <c r="AC39" i="105"/>
  <c r="AD21" i="105"/>
  <c r="AD30" i="105"/>
  <c r="AD97" i="105"/>
  <c r="AD39" i="105"/>
  <c r="AE21" i="105"/>
  <c r="AE39" i="105"/>
  <c r="AF21" i="105"/>
  <c r="AF30" i="105"/>
  <c r="AF97" i="105" s="1"/>
  <c r="AF39" i="105"/>
  <c r="AF107" i="105" s="1"/>
  <c r="AG21" i="105"/>
  <c r="AG30" i="105"/>
  <c r="AG39" i="105"/>
  <c r="AH21" i="105"/>
  <c r="AH30" i="105"/>
  <c r="AH97" i="105" s="1"/>
  <c r="AH39" i="105"/>
  <c r="AH107" i="105"/>
  <c r="AI21" i="105"/>
  <c r="AI39" i="105"/>
  <c r="AJ21" i="105"/>
  <c r="AJ30" i="105"/>
  <c r="AJ97" i="105" s="1"/>
  <c r="AJ39" i="105"/>
  <c r="AJ107" i="105"/>
  <c r="AK21" i="105"/>
  <c r="AK30" i="105"/>
  <c r="AK97" i="105" s="1"/>
  <c r="AK39" i="105"/>
  <c r="AL21" i="105"/>
  <c r="AL30" i="105"/>
  <c r="AL97" i="105" s="1"/>
  <c r="AL39" i="105"/>
  <c r="AL107" i="105" s="1"/>
  <c r="AM21" i="105"/>
  <c r="AM39" i="105"/>
  <c r="AN21" i="105"/>
  <c r="AN30" i="105"/>
  <c r="AN97" i="105" s="1"/>
  <c r="AN39" i="105"/>
  <c r="AN107" i="105" s="1"/>
  <c r="AO21" i="105"/>
  <c r="AO30" i="105"/>
  <c r="AO97" i="105" s="1"/>
  <c r="AO39" i="105"/>
  <c r="AP21" i="105"/>
  <c r="AP30" i="105"/>
  <c r="AP97" i="105" s="1"/>
  <c r="AP39" i="105"/>
  <c r="AP107" i="105"/>
  <c r="U20" i="105"/>
  <c r="U29" i="105"/>
  <c r="K20" i="105"/>
  <c r="K29" i="105"/>
  <c r="K38" i="105"/>
  <c r="L20" i="105"/>
  <c r="L29" i="105"/>
  <c r="M20" i="105"/>
  <c r="M38" i="105"/>
  <c r="N20" i="105"/>
  <c r="N29" i="105"/>
  <c r="N38" i="105"/>
  <c r="O20" i="105"/>
  <c r="O29" i="105"/>
  <c r="O38" i="105"/>
  <c r="P20" i="105"/>
  <c r="P29" i="105"/>
  <c r="P38" i="105"/>
  <c r="Q29" i="105"/>
  <c r="Q96" i="105"/>
  <c r="Q38" i="105"/>
  <c r="Q106" i="105" s="1"/>
  <c r="R20" i="105"/>
  <c r="R181" i="105" s="1"/>
  <c r="R29" i="105"/>
  <c r="R96" i="105"/>
  <c r="R38" i="105"/>
  <c r="R106" i="105"/>
  <c r="S29" i="105"/>
  <c r="S38" i="105"/>
  <c r="T20" i="105"/>
  <c r="T29" i="105"/>
  <c r="T38" i="105"/>
  <c r="V20" i="105"/>
  <c r="V29" i="105"/>
  <c r="V96" i="105"/>
  <c r="V38" i="105"/>
  <c r="W20" i="105"/>
  <c r="W29" i="105"/>
  <c r="W96" i="105"/>
  <c r="X20" i="105"/>
  <c r="X29" i="105"/>
  <c r="X38" i="105"/>
  <c r="Y20" i="105"/>
  <c r="Y29" i="105"/>
  <c r="Z20" i="105"/>
  <c r="Z38" i="105"/>
  <c r="AA20" i="105"/>
  <c r="AA29" i="105"/>
  <c r="AA38" i="105"/>
  <c r="AB20" i="105"/>
  <c r="AB29" i="105"/>
  <c r="AB38" i="105"/>
  <c r="AC20" i="105"/>
  <c r="AC29" i="105"/>
  <c r="AC38" i="105"/>
  <c r="AD29" i="105"/>
  <c r="AD96" i="105"/>
  <c r="AD38" i="105"/>
  <c r="AE20" i="105"/>
  <c r="AE29" i="105"/>
  <c r="AE38" i="105"/>
  <c r="AF20" i="105"/>
  <c r="AF29" i="105"/>
  <c r="AF96" i="105" s="1"/>
  <c r="AF99" i="105" s="1"/>
  <c r="AF38" i="105"/>
  <c r="AF106" i="105" s="1"/>
  <c r="AG20" i="105"/>
  <c r="AG29" i="105"/>
  <c r="AG38" i="105"/>
  <c r="AH20" i="105"/>
  <c r="AH29" i="105"/>
  <c r="AH96" i="105"/>
  <c r="AH38" i="105"/>
  <c r="AH106" i="105" s="1"/>
  <c r="AI20" i="105"/>
  <c r="AI29" i="105"/>
  <c r="AI96" i="105" s="1"/>
  <c r="AJ20" i="105"/>
  <c r="AJ38" i="105"/>
  <c r="AJ106" i="105"/>
  <c r="AK20" i="105"/>
  <c r="AK29" i="105"/>
  <c r="AK96" i="105" s="1"/>
  <c r="AK99" i="105" s="1"/>
  <c r="AK38" i="105"/>
  <c r="AL20" i="105"/>
  <c r="AL29" i="105"/>
  <c r="AL96" i="105" s="1"/>
  <c r="AL38" i="105"/>
  <c r="AL106" i="105" s="1"/>
  <c r="AM20" i="105"/>
  <c r="AM29" i="105"/>
  <c r="AM96" i="105"/>
  <c r="AM38" i="105"/>
  <c r="AN29" i="105"/>
  <c r="AN96" i="105" s="1"/>
  <c r="AN38" i="105"/>
  <c r="AN106" i="105" s="1"/>
  <c r="AO20" i="105"/>
  <c r="AO29" i="105"/>
  <c r="AO96" i="105"/>
  <c r="AO38" i="105"/>
  <c r="AP20" i="105"/>
  <c r="AP29" i="105"/>
  <c r="AP96" i="105"/>
  <c r="AP38" i="105"/>
  <c r="AP106" i="105" s="1"/>
  <c r="M45" i="53"/>
  <c r="N45" i="53"/>
  <c r="O45" i="53"/>
  <c r="M44" i="53"/>
  <c r="O44" i="53"/>
  <c r="R54" i="53"/>
  <c r="R45" i="53"/>
  <c r="Q54" i="53"/>
  <c r="Q45" i="53"/>
  <c r="K45" i="53"/>
  <c r="L45" i="53"/>
  <c r="L44" i="53"/>
  <c r="P45" i="53"/>
  <c r="P54" i="81"/>
  <c r="R183" i="105"/>
  <c r="AP131" i="105"/>
  <c r="AH132" i="105"/>
  <c r="R132" i="105"/>
  <c r="Q102" i="105"/>
  <c r="Q126" i="105"/>
  <c r="AP92" i="105"/>
  <c r="AN92" i="105"/>
  <c r="AI92" i="105"/>
  <c r="V92" i="105"/>
  <c r="Q92" i="105"/>
  <c r="AH102" i="105"/>
  <c r="AJ102" i="105"/>
  <c r="AF102" i="105"/>
  <c r="AL92" i="105"/>
  <c r="R102" i="105"/>
  <c r="AJ92" i="105"/>
  <c r="Q104" i="87"/>
  <c r="R104" i="87"/>
  <c r="S218" i="31"/>
  <c r="Z103" i="87"/>
  <c r="Y103" i="87"/>
  <c r="Q103" i="87"/>
  <c r="R103" i="87"/>
  <c r="AA103" i="87"/>
  <c r="X61" i="80"/>
  <c r="W61" i="80"/>
  <c r="L61" i="80"/>
  <c r="T116" i="53"/>
  <c r="T504" i="53" s="1"/>
  <c r="T78" i="83" s="1"/>
  <c r="Q52" i="53"/>
  <c r="R52" i="53"/>
  <c r="AB61" i="80"/>
  <c r="Q53" i="53"/>
  <c r="R53" i="53"/>
  <c r="Z61" i="80"/>
  <c r="N116" i="53"/>
  <c r="N504" i="53" s="1"/>
  <c r="N78" i="83" s="1"/>
  <c r="S43" i="53"/>
  <c r="P61" i="80"/>
  <c r="T43" i="53"/>
  <c r="L116" i="53"/>
  <c r="L20" i="31"/>
  <c r="O61" i="80"/>
  <c r="S61" i="80"/>
  <c r="M116" i="53"/>
  <c r="M504" i="53" s="1"/>
  <c r="M78" i="83" s="1"/>
  <c r="Y61" i="80"/>
  <c r="K130" i="22"/>
  <c r="R61" i="80"/>
  <c r="AA61" i="80"/>
  <c r="U61" i="80"/>
  <c r="N61" i="80"/>
  <c r="AM120" i="22"/>
  <c r="AM124" i="22" s="1"/>
  <c r="AL120" i="22"/>
  <c r="AL124" i="22" s="1"/>
  <c r="AO131" i="22"/>
  <c r="AO135" i="22" s="1"/>
  <c r="T131" i="22"/>
  <c r="Z107" i="22"/>
  <c r="T107" i="22"/>
  <c r="K98" i="53"/>
  <c r="K108" i="22"/>
  <c r="L118" i="22"/>
  <c r="Q59" i="22"/>
  <c r="AD108" i="22"/>
  <c r="AD112" i="22" s="1"/>
  <c r="AB107" i="22"/>
  <c r="AP130" i="22"/>
  <c r="AP134" i="22" s="1"/>
  <c r="AN71" i="22"/>
  <c r="AN75" i="22"/>
  <c r="V116" i="53"/>
  <c r="V118" i="53" s="1"/>
  <c r="P44" i="53"/>
  <c r="M43" i="53"/>
  <c r="P118" i="22"/>
  <c r="N118" i="22"/>
  <c r="Y129" i="22"/>
  <c r="V131" i="22"/>
  <c r="W63" i="53"/>
  <c r="V53" i="53"/>
  <c r="U43" i="53"/>
  <c r="Y43" i="53"/>
  <c r="V43" i="53"/>
  <c r="S53" i="53"/>
  <c r="K44" i="53"/>
  <c r="R43" i="53"/>
  <c r="N43" i="53"/>
  <c r="AN119" i="22"/>
  <c r="AN123" i="22" s="1"/>
  <c r="R118" i="22"/>
  <c r="N120" i="22"/>
  <c r="R59" i="22"/>
  <c r="V63" i="53"/>
  <c r="U53" i="53"/>
  <c r="W43" i="53"/>
  <c r="M96" i="22"/>
  <c r="AB43" i="53"/>
  <c r="X43" i="53"/>
  <c r="P43" i="53"/>
  <c r="L43" i="53"/>
  <c r="R44" i="53"/>
  <c r="N44" i="53"/>
  <c r="O108" i="22"/>
  <c r="O112" i="22"/>
  <c r="N108" i="22"/>
  <c r="AE120" i="22"/>
  <c r="AE124" i="22" s="1"/>
  <c r="AD120" i="22"/>
  <c r="AD124" i="22" s="1"/>
  <c r="K119" i="22"/>
  <c r="AO129" i="22"/>
  <c r="AK130" i="22"/>
  <c r="AK134" i="22" s="1"/>
  <c r="AP53" i="53"/>
  <c r="AL63" i="53"/>
  <c r="AL283" i="53"/>
  <c r="U63" i="53"/>
  <c r="W53" i="53"/>
  <c r="AP43" i="53"/>
  <c r="AP258" i="53" s="1"/>
  <c r="AL43" i="53"/>
  <c r="AA43" i="53"/>
  <c r="T63" i="53"/>
  <c r="L71" i="22"/>
  <c r="Q44" i="53"/>
  <c r="Q43" i="53"/>
  <c r="K43" i="53"/>
  <c r="O43" i="53"/>
  <c r="AP63" i="53"/>
  <c r="AL53" i="53"/>
  <c r="N71" i="22"/>
  <c r="W83" i="22"/>
  <c r="Z43" i="53"/>
  <c r="Z258" i="53" s="1"/>
  <c r="S82" i="22"/>
  <c r="T53" i="53"/>
  <c r="V61" i="80"/>
  <c r="Q61" i="80"/>
  <c r="T61" i="80"/>
  <c r="AJ107" i="22"/>
  <c r="AF108" i="22"/>
  <c r="AF112" i="22"/>
  <c r="AF119" i="22"/>
  <c r="AF123" i="22"/>
  <c r="T118" i="22"/>
  <c r="AH131" i="22"/>
  <c r="AH135" i="22" s="1"/>
  <c r="AF131" i="22"/>
  <c r="AF135" i="22"/>
  <c r="AD131" i="22"/>
  <c r="AD135" i="22" s="1"/>
  <c r="AC131" i="22"/>
  <c r="AC135" i="22" s="1"/>
  <c r="N131" i="22"/>
  <c r="R72" i="22"/>
  <c r="Q72" i="22"/>
  <c r="O81" i="22"/>
  <c r="O70" i="22"/>
  <c r="Q98" i="22"/>
  <c r="P98" i="22"/>
  <c r="L70" i="22"/>
  <c r="M61" i="80"/>
  <c r="AL107" i="22"/>
  <c r="S108" i="22"/>
  <c r="M109" i="22"/>
  <c r="AH118" i="22"/>
  <c r="AG118" i="22"/>
  <c r="N119" i="22"/>
  <c r="M120" i="22"/>
  <c r="AI130" i="22"/>
  <c r="AI134" i="22" s="1"/>
  <c r="AG130" i="22"/>
  <c r="AG134" i="22" s="1"/>
  <c r="AE130" i="22"/>
  <c r="AE134" i="22" s="1"/>
  <c r="T129" i="22"/>
  <c r="S129" i="22"/>
  <c r="O130" i="22"/>
  <c r="O134" i="22" s="1"/>
  <c r="K129" i="22"/>
  <c r="U83" i="22"/>
  <c r="T83" i="22"/>
  <c r="K71" i="22"/>
  <c r="K75" i="22" s="1"/>
  <c r="AM109" i="22"/>
  <c r="AM113" i="22" s="1"/>
  <c r="AH107" i="22"/>
  <c r="AB108" i="22"/>
  <c r="AA109" i="22"/>
  <c r="X108" i="22"/>
  <c r="W108" i="22"/>
  <c r="V108" i="22"/>
  <c r="R109" i="22"/>
  <c r="Q109" i="22"/>
  <c r="P109" i="22"/>
  <c r="K107" i="22"/>
  <c r="AP118" i="22"/>
  <c r="AO118" i="22"/>
  <c r="AM129" i="22"/>
  <c r="M60" i="22"/>
  <c r="M64" i="22" s="1"/>
  <c r="AO83" i="22"/>
  <c r="AO87" i="22" s="1"/>
  <c r="AO72" i="22"/>
  <c r="AO76" i="22" s="1"/>
  <c r="AO61" i="22"/>
  <c r="AO65" i="22" s="1"/>
  <c r="S70" i="22"/>
  <c r="AG70" i="22"/>
  <c r="AP108" i="22"/>
  <c r="AP112" i="22" s="1"/>
  <c r="AO109" i="22"/>
  <c r="AO113" i="22" s="1"/>
  <c r="V119" i="22"/>
  <c r="R116" i="53"/>
  <c r="R118" i="53" s="1"/>
  <c r="M70" i="22"/>
  <c r="O83" i="22"/>
  <c r="AH83" i="22"/>
  <c r="AH87" i="22"/>
  <c r="AH72" i="22"/>
  <c r="AH76" i="22"/>
  <c r="AH61" i="22"/>
  <c r="AE71" i="22"/>
  <c r="AE75" i="22" s="1"/>
  <c r="K81" i="22"/>
  <c r="K59" i="22"/>
  <c r="AP107" i="22"/>
  <c r="T109" i="22"/>
  <c r="P107" i="22"/>
  <c r="U108" i="22"/>
  <c r="AL118" i="22"/>
  <c r="AK118" i="22"/>
  <c r="AJ119" i="22"/>
  <c r="AJ123" i="22" s="1"/>
  <c r="AI120" i="22"/>
  <c r="AI124" i="22" s="1"/>
  <c r="AH120" i="22"/>
  <c r="AH124" i="22"/>
  <c r="Z118" i="22"/>
  <c r="Y118" i="22"/>
  <c r="X119" i="22"/>
  <c r="W120" i="22"/>
  <c r="V120" i="22"/>
  <c r="R119" i="22"/>
  <c r="R123" i="22" s="1"/>
  <c r="Q120" i="22"/>
  <c r="AI129" i="22"/>
  <c r="AD130" i="22"/>
  <c r="AD134" i="22" s="1"/>
  <c r="AA129" i="22"/>
  <c r="Z130" i="22"/>
  <c r="Z134" i="22"/>
  <c r="Y131" i="22"/>
  <c r="Q129" i="22"/>
  <c r="O129" i="22"/>
  <c r="M129" i="22"/>
  <c r="R82" i="22"/>
  <c r="R86" i="22" s="1"/>
  <c r="AD82" i="22"/>
  <c r="AD86" i="22"/>
  <c r="K98" i="22"/>
  <c r="S95" i="23"/>
  <c r="AN108" i="22"/>
  <c r="AN112" i="22" s="1"/>
  <c r="AL108" i="22"/>
  <c r="AL112" i="22"/>
  <c r="AK109" i="22"/>
  <c r="AK113" i="22" s="1"/>
  <c r="AH108" i="22"/>
  <c r="AH112" i="22" s="1"/>
  <c r="AG109" i="22"/>
  <c r="AG113" i="22" s="1"/>
  <c r="AE109" i="22"/>
  <c r="AE113" i="22" s="1"/>
  <c r="AC109" i="22"/>
  <c r="AC113" i="22" s="1"/>
  <c r="V109" i="22"/>
  <c r="V107" i="22"/>
  <c r="R108" i="22"/>
  <c r="N109" i="22"/>
  <c r="M107" i="22"/>
  <c r="AP120" i="22"/>
  <c r="AP124" i="22" s="1"/>
  <c r="AD118" i="22"/>
  <c r="AC118" i="22"/>
  <c r="AB119" i="22"/>
  <c r="AA120" i="22"/>
  <c r="AA124" i="22" s="1"/>
  <c r="Z120" i="22"/>
  <c r="U120" i="22"/>
  <c r="S120" i="22"/>
  <c r="AP131" i="22"/>
  <c r="AP135" i="22" s="1"/>
  <c r="AM130" i="22"/>
  <c r="AM134" i="22"/>
  <c r="AL131" i="22"/>
  <c r="AL135" i="22" s="1"/>
  <c r="AJ131" i="22"/>
  <c r="AJ135" i="22" s="1"/>
  <c r="AE129" i="22"/>
  <c r="AC129" i="22"/>
  <c r="AB129" i="22"/>
  <c r="AA130" i="22"/>
  <c r="Z131" i="22"/>
  <c r="W130" i="22"/>
  <c r="W134" i="22" s="1"/>
  <c r="U130" i="22"/>
  <c r="Q130" i="22"/>
  <c r="P131" i="22"/>
  <c r="N130" i="22"/>
  <c r="M131" i="22"/>
  <c r="R25" i="105"/>
  <c r="R131" i="105" s="1"/>
  <c r="R60" i="22"/>
  <c r="R64" i="22" s="1"/>
  <c r="Q83" i="22"/>
  <c r="M48" i="82"/>
  <c r="N31" i="81"/>
  <c r="R70" i="22"/>
  <c r="Q26" i="105"/>
  <c r="Q93" i="105"/>
  <c r="Q71" i="22"/>
  <c r="Q18" i="105"/>
  <c r="Q81" i="22"/>
  <c r="AE72" i="22"/>
  <c r="AE76" i="22" s="1"/>
  <c r="AE70" i="22"/>
  <c r="AE59" i="22"/>
  <c r="S71" i="22"/>
  <c r="T71" i="22"/>
  <c r="P81" i="22"/>
  <c r="N81" i="22"/>
  <c r="N59" i="22"/>
  <c r="AP83" i="22"/>
  <c r="AP87" i="22"/>
  <c r="AI83" i="22"/>
  <c r="AI87" i="22"/>
  <c r="AI72" i="22"/>
  <c r="AI76" i="22"/>
  <c r="AI61" i="22"/>
  <c r="AI65" i="22" s="1"/>
  <c r="AC81" i="22"/>
  <c r="N97" i="22"/>
  <c r="S83" i="22"/>
  <c r="S81" i="22"/>
  <c r="T81" i="22"/>
  <c r="M71" i="22"/>
  <c r="M75" i="22"/>
  <c r="M61" i="22"/>
  <c r="M59" i="22"/>
  <c r="O82" i="22"/>
  <c r="P61" i="22"/>
  <c r="AJ59" i="22"/>
  <c r="AP71" i="22"/>
  <c r="AP75" i="22" s="1"/>
  <c r="AN70" i="22"/>
  <c r="AF82" i="22"/>
  <c r="AF86" i="22" s="1"/>
  <c r="W82" i="22"/>
  <c r="AD61" i="22"/>
  <c r="AD65" i="22" s="1"/>
  <c r="AC61" i="22"/>
  <c r="AC65" i="22" s="1"/>
  <c r="AP98" i="22"/>
  <c r="AP102" i="22" s="1"/>
  <c r="AO98" i="22"/>
  <c r="AO102" i="22" s="1"/>
  <c r="AN98" i="22"/>
  <c r="AN102" i="22" s="1"/>
  <c r="AM98" i="22"/>
  <c r="AM102" i="22" s="1"/>
  <c r="AL98" i="22"/>
  <c r="AL102" i="22" s="1"/>
  <c r="AK98" i="22"/>
  <c r="AK102" i="22" s="1"/>
  <c r="AJ98" i="22"/>
  <c r="AJ102" i="22" s="1"/>
  <c r="AI98" i="22"/>
  <c r="AI102" i="22" s="1"/>
  <c r="AH98" i="22"/>
  <c r="AH102" i="22" s="1"/>
  <c r="AG98" i="22"/>
  <c r="AG102" i="22" s="1"/>
  <c r="AF98" i="22"/>
  <c r="AF102" i="22" s="1"/>
  <c r="AE98" i="22"/>
  <c r="AE102" i="22" s="1"/>
  <c r="AD98" i="22"/>
  <c r="AD102" i="22" s="1"/>
  <c r="AC98" i="22"/>
  <c r="AC102" i="22" s="1"/>
  <c r="AB98" i="22"/>
  <c r="AA98" i="22"/>
  <c r="Z98" i="22"/>
  <c r="Z102" i="22" s="1"/>
  <c r="Y98" i="22"/>
  <c r="X98" i="22"/>
  <c r="X102" i="22" s="1"/>
  <c r="W98" i="22"/>
  <c r="V98" i="22"/>
  <c r="U98" i="22"/>
  <c r="U102" i="22" s="1"/>
  <c r="T98" i="22"/>
  <c r="S98" i="22"/>
  <c r="R98" i="22"/>
  <c r="U82" i="22"/>
  <c r="M81" i="22"/>
  <c r="O116" i="53"/>
  <c r="O71" i="22"/>
  <c r="O75" i="22" s="1"/>
  <c r="AJ81" i="22"/>
  <c r="AP59" i="22"/>
  <c r="AN83" i="22"/>
  <c r="AN87" i="22"/>
  <c r="AF70" i="22"/>
  <c r="AL70" i="22"/>
  <c r="AM82" i="22"/>
  <c r="AM86" i="22" s="1"/>
  <c r="W70" i="22"/>
  <c r="U70" i="22"/>
  <c r="AK61" i="22"/>
  <c r="AK65" i="22" s="1"/>
  <c r="V83" i="22"/>
  <c r="V72" i="22"/>
  <c r="V61" i="22"/>
  <c r="V65" i="22" s="1"/>
  <c r="AD20" i="105"/>
  <c r="AD107" i="22"/>
  <c r="AE30" i="105"/>
  <c r="AE119" i="22"/>
  <c r="AE123" i="22" s="1"/>
  <c r="U21" i="105"/>
  <c r="U118" i="22"/>
  <c r="K39" i="105"/>
  <c r="K120" i="22"/>
  <c r="K124" i="22" s="1"/>
  <c r="AK22" i="105"/>
  <c r="AK129" i="22"/>
  <c r="AC31" i="105"/>
  <c r="AC130" i="22"/>
  <c r="U40" i="105"/>
  <c r="U131" i="22"/>
  <c r="AH27" i="105"/>
  <c r="AH82" i="22"/>
  <c r="AH86" i="22" s="1"/>
  <c r="AJ36" i="105"/>
  <c r="AJ132" i="105" s="1"/>
  <c r="AJ83" i="22"/>
  <c r="AJ87" i="22" s="1"/>
  <c r="AG25" i="105"/>
  <c r="AG60" i="22"/>
  <c r="AG64" i="22" s="1"/>
  <c r="M31" i="81"/>
  <c r="AI38" i="105"/>
  <c r="AI109" i="22"/>
  <c r="AI113" i="22" s="1"/>
  <c r="W38" i="105"/>
  <c r="W109" i="22"/>
  <c r="AI30" i="105"/>
  <c r="AI119" i="22"/>
  <c r="AI123" i="22" s="1"/>
  <c r="AI125" i="22" s="1"/>
  <c r="Q21" i="105"/>
  <c r="Q118" i="22"/>
  <c r="L30" i="105"/>
  <c r="L119" i="22"/>
  <c r="AN40" i="105"/>
  <c r="AN131" i="22"/>
  <c r="AN135" i="22" s="1"/>
  <c r="AK40" i="105"/>
  <c r="AK131" i="22"/>
  <c r="AK135" i="22" s="1"/>
  <c r="AG22" i="105"/>
  <c r="AG129" i="22"/>
  <c r="X40" i="105"/>
  <c r="X131" i="22"/>
  <c r="R40" i="105"/>
  <c r="R131" i="22"/>
  <c r="U38" i="105"/>
  <c r="U109" i="22"/>
  <c r="AJ29" i="105"/>
  <c r="AJ96" i="105" s="1"/>
  <c r="AJ108" i="22"/>
  <c r="AJ112" i="22" s="1"/>
  <c r="Y38" i="105"/>
  <c r="Y109" i="22"/>
  <c r="AM30" i="105"/>
  <c r="AM119" i="22"/>
  <c r="AM123" i="22" s="1"/>
  <c r="W30" i="105"/>
  <c r="W97" i="105" s="1"/>
  <c r="W119" i="22"/>
  <c r="W123" i="22"/>
  <c r="T30" i="105"/>
  <c r="T119" i="22"/>
  <c r="O39" i="105"/>
  <c r="O120" i="22"/>
  <c r="AO31" i="105"/>
  <c r="AO98" i="105" s="1"/>
  <c r="AO130" i="22"/>
  <c r="AG40" i="105"/>
  <c r="AG131" i="22"/>
  <c r="AG135" i="22" s="1"/>
  <c r="Y31" i="105"/>
  <c r="Y130" i="22"/>
  <c r="V31" i="105"/>
  <c r="V98" i="105" s="1"/>
  <c r="V130" i="22"/>
  <c r="S31" i="105"/>
  <c r="S130" i="22"/>
  <c r="L40" i="105"/>
  <c r="L131" i="22"/>
  <c r="S20" i="105"/>
  <c r="S107" i="22"/>
  <c r="M29" i="105"/>
  <c r="M108" i="22"/>
  <c r="P22" i="105"/>
  <c r="P129" i="22"/>
  <c r="AN20" i="105"/>
  <c r="AN107" i="22"/>
  <c r="Z29" i="105"/>
  <c r="Z108" i="22"/>
  <c r="Z112" i="22"/>
  <c r="Q20" i="105"/>
  <c r="Q107" i="22"/>
  <c r="L38" i="105"/>
  <c r="L109" i="22"/>
  <c r="AA30" i="105"/>
  <c r="AA119" i="22"/>
  <c r="S30" i="105"/>
  <c r="S119" i="22"/>
  <c r="P30" i="105"/>
  <c r="P119" i="22"/>
  <c r="M21" i="105"/>
  <c r="M118" i="22"/>
  <c r="AL31" i="105"/>
  <c r="AL98" i="105" s="1"/>
  <c r="AL130" i="22"/>
  <c r="AL134" i="22" s="1"/>
  <c r="AB40" i="105"/>
  <c r="AB131" i="22"/>
  <c r="U22" i="105"/>
  <c r="U129" i="22"/>
  <c r="M31" i="105"/>
  <c r="M130" i="22"/>
  <c r="Z246" i="53"/>
  <c r="X246" i="53"/>
  <c r="AA246" i="53"/>
  <c r="H200" i="53"/>
  <c r="X247" i="53"/>
  <c r="AB246" i="53"/>
  <c r="S86" i="23"/>
  <c r="Q99" i="53"/>
  <c r="M36" i="105"/>
  <c r="M83" i="22"/>
  <c r="AI17" i="105"/>
  <c r="AI70" i="22"/>
  <c r="AD25" i="105"/>
  <c r="AD60" i="22"/>
  <c r="AD64" i="22" s="1"/>
  <c r="L107" i="22"/>
  <c r="V118" i="22"/>
  <c r="R120" i="22"/>
  <c r="O119" i="22"/>
  <c r="O123" i="22"/>
  <c r="W129" i="22"/>
  <c r="R130" i="22"/>
  <c r="Q131" i="22"/>
  <c r="AN16" i="105"/>
  <c r="AN130" i="105" s="1"/>
  <c r="AN59" i="22"/>
  <c r="AL34" i="105"/>
  <c r="AL132" i="105" s="1"/>
  <c r="AL61" i="22"/>
  <c r="AL65" i="22" s="1"/>
  <c r="AL19" i="105"/>
  <c r="AL168" i="105" s="1"/>
  <c r="AL96" i="22"/>
  <c r="O25" i="105"/>
  <c r="O131" i="105" s="1"/>
  <c r="O60" i="22"/>
  <c r="O64" i="22" s="1"/>
  <c r="V19" i="105"/>
  <c r="V169" i="105" s="1"/>
  <c r="V96" i="22"/>
  <c r="O61" i="22"/>
  <c r="O59" i="22"/>
  <c r="P35" i="105"/>
  <c r="P72" i="22"/>
  <c r="N36" i="105"/>
  <c r="N83" i="22"/>
  <c r="N34" i="105"/>
  <c r="N61" i="22"/>
  <c r="AH17" i="105"/>
  <c r="AH70" i="22"/>
  <c r="AH25" i="105"/>
  <c r="AH60" i="22"/>
  <c r="AH64" i="22" s="1"/>
  <c r="AJ26" i="105"/>
  <c r="AJ93" i="105" s="1"/>
  <c r="AJ99" i="105" s="1"/>
  <c r="AJ71" i="22"/>
  <c r="AJ75" i="22" s="1"/>
  <c r="AF25" i="105"/>
  <c r="AF131" i="105" s="1"/>
  <c r="AF60" i="22"/>
  <c r="AF64" i="22" s="1"/>
  <c r="AM17" i="105"/>
  <c r="AM70" i="22"/>
  <c r="W25" i="105"/>
  <c r="W131" i="105" s="1"/>
  <c r="W60" i="22"/>
  <c r="AC59" i="22"/>
  <c r="AJ19" i="105"/>
  <c r="AJ172" i="105" s="1"/>
  <c r="AJ96" i="22"/>
  <c r="P26" i="105"/>
  <c r="P71" i="22"/>
  <c r="AP34" i="105"/>
  <c r="AP132" i="105"/>
  <c r="AP61" i="22"/>
  <c r="AP65" i="22" s="1"/>
  <c r="AN34" i="105"/>
  <c r="AN132" i="105" s="1"/>
  <c r="AN61" i="22"/>
  <c r="AN65" i="22" s="1"/>
  <c r="AL27" i="105"/>
  <c r="AL94" i="105" s="1"/>
  <c r="AL99" i="105" s="1"/>
  <c r="AL82" i="22"/>
  <c r="AL86" i="22" s="1"/>
  <c r="AP19" i="105"/>
  <c r="AP168" i="105" s="1"/>
  <c r="AP96" i="22"/>
  <c r="AH19" i="105"/>
  <c r="AH172" i="105" s="1"/>
  <c r="AH96" i="22"/>
  <c r="AC28" i="105"/>
  <c r="AC125" i="105" s="1"/>
  <c r="AC97" i="22"/>
  <c r="AC101" i="22" s="1"/>
  <c r="L36" i="105"/>
  <c r="L83" i="22"/>
  <c r="L34" i="105"/>
  <c r="L132" i="105" s="1"/>
  <c r="L61" i="22"/>
  <c r="P16" i="105"/>
  <c r="P59" i="22"/>
  <c r="AF35" i="105"/>
  <c r="AF103" i="105"/>
  <c r="AF72" i="22"/>
  <c r="AF76" i="22"/>
  <c r="AM35" i="105"/>
  <c r="AM72" i="22"/>
  <c r="AM76" i="22" s="1"/>
  <c r="AM25" i="105"/>
  <c r="AM131" i="105" s="1"/>
  <c r="AM60" i="22"/>
  <c r="W35" i="105"/>
  <c r="W72" i="22"/>
  <c r="AC35" i="105"/>
  <c r="AC72" i="22"/>
  <c r="AN19" i="105"/>
  <c r="AN172" i="105" s="1"/>
  <c r="AN96" i="22"/>
  <c r="AD19" i="105"/>
  <c r="AD181" i="105" s="1"/>
  <c r="AD96" i="22"/>
  <c r="U28" i="105"/>
  <c r="U97" i="22"/>
  <c r="S34" i="105"/>
  <c r="S61" i="22"/>
  <c r="AP81" i="22"/>
  <c r="AN60" i="22"/>
  <c r="AN64" i="22"/>
  <c r="AF83" i="22"/>
  <c r="AF87" i="22" s="1"/>
  <c r="AF61" i="22"/>
  <c r="AL83" i="22"/>
  <c r="AL87" i="22"/>
  <c r="AL60" i="22"/>
  <c r="AL64" i="22"/>
  <c r="AM71" i="22"/>
  <c r="AM75" i="22" s="1"/>
  <c r="AM59" i="22"/>
  <c r="W61" i="22"/>
  <c r="AI82" i="22"/>
  <c r="AI86" i="22" s="1"/>
  <c r="AI88" i="22" s="1"/>
  <c r="AI60" i="22"/>
  <c r="AI64" i="22" s="1"/>
  <c r="AD83" i="22"/>
  <c r="AD87" i="22" s="1"/>
  <c r="AD70" i="22"/>
  <c r="AC83" i="22"/>
  <c r="AC87" i="22" s="1"/>
  <c r="AC71" i="22"/>
  <c r="AC75" i="22" s="1"/>
  <c r="AO97" i="22"/>
  <c r="AO101" i="22" s="1"/>
  <c r="AM97" i="22"/>
  <c r="AM101" i="22" s="1"/>
  <c r="AK97" i="22"/>
  <c r="AK101" i="22" s="1"/>
  <c r="AI97" i="22"/>
  <c r="AI101" i="22" s="1"/>
  <c r="AG97" i="22"/>
  <c r="AG101" i="22" s="1"/>
  <c r="AB19" i="105"/>
  <c r="AB96" i="22"/>
  <c r="AA28" i="105"/>
  <c r="AA125" i="105" s="1"/>
  <c r="AA97" i="22"/>
  <c r="T19" i="105"/>
  <c r="T96" i="22"/>
  <c r="S28" i="105"/>
  <c r="S97" i="22"/>
  <c r="U34" i="105"/>
  <c r="U61" i="22"/>
  <c r="AO27" i="105"/>
  <c r="AO94" i="105" s="1"/>
  <c r="AO82" i="22"/>
  <c r="AO86" i="22" s="1"/>
  <c r="AO25" i="105"/>
  <c r="AO60" i="22"/>
  <c r="AO64" i="22"/>
  <c r="AK36" i="105"/>
  <c r="AK83" i="22"/>
  <c r="AK87" i="22" s="1"/>
  <c r="AK26" i="105"/>
  <c r="AK131" i="105"/>
  <c r="AK71" i="22"/>
  <c r="AK75" i="22" s="1"/>
  <c r="Z19" i="105"/>
  <c r="Z96" i="22"/>
  <c r="Y28" i="105"/>
  <c r="Y125" i="105" s="1"/>
  <c r="Y97" i="22"/>
  <c r="Q28" i="105"/>
  <c r="Q95" i="105" s="1"/>
  <c r="Q97" i="22"/>
  <c r="M37" i="105"/>
  <c r="M98" i="22"/>
  <c r="AK16" i="105"/>
  <c r="AK59" i="22"/>
  <c r="AE18" i="105"/>
  <c r="AE81" i="22"/>
  <c r="S16" i="105"/>
  <c r="S59" i="22"/>
  <c r="T25" i="105"/>
  <c r="T60" i="22"/>
  <c r="L16" i="105"/>
  <c r="L59" i="22"/>
  <c r="AF19" i="105"/>
  <c r="AF170" i="105" s="1"/>
  <c r="AF96" i="22"/>
  <c r="AE28" i="105"/>
  <c r="AE125" i="105" s="1"/>
  <c r="AE97" i="22"/>
  <c r="AE101" i="22" s="1"/>
  <c r="X19" i="105"/>
  <c r="X96" i="22"/>
  <c r="W28" i="105"/>
  <c r="W95" i="105"/>
  <c r="W97" i="22"/>
  <c r="P19" i="105"/>
  <c r="P96" i="22"/>
  <c r="AK18" i="105"/>
  <c r="AK81" i="22"/>
  <c r="V17" i="105"/>
  <c r="V70" i="22"/>
  <c r="AG36" i="105"/>
  <c r="AG83" i="22"/>
  <c r="AG87" i="22" s="1"/>
  <c r="K35" i="105"/>
  <c r="K72" i="22"/>
  <c r="O98" i="22"/>
  <c r="L98" i="22"/>
  <c r="N98" i="22"/>
  <c r="U72" i="22"/>
  <c r="U60" i="22"/>
  <c r="AB83" i="22"/>
  <c r="AB87" i="22" s="1"/>
  <c r="AB72" i="22"/>
  <c r="AB61" i="22"/>
  <c r="AA83" i="22"/>
  <c r="AA72" i="22"/>
  <c r="AA61" i="22"/>
  <c r="Z83" i="22"/>
  <c r="Z87" i="22" s="1"/>
  <c r="Z72" i="22"/>
  <c r="Z76" i="22" s="1"/>
  <c r="Z61" i="22"/>
  <c r="Z65" i="22" s="1"/>
  <c r="Y83" i="22"/>
  <c r="Y72" i="22"/>
  <c r="Y61" i="22"/>
  <c r="X83" i="22"/>
  <c r="X72" i="22"/>
  <c r="X61" i="22"/>
  <c r="AO70" i="22"/>
  <c r="AK82" i="22"/>
  <c r="AK86" i="22" s="1"/>
  <c r="AK70" i="22"/>
  <c r="V82" i="22"/>
  <c r="V60" i="22"/>
  <c r="AE82" i="22"/>
  <c r="AE86" i="22" s="1"/>
  <c r="S60" i="22"/>
  <c r="T61" i="22"/>
  <c r="T59" i="22"/>
  <c r="AG82" i="22"/>
  <c r="AG86" i="22" s="1"/>
  <c r="AG61" i="22"/>
  <c r="AG65" i="22" s="1"/>
  <c r="L82" i="22"/>
  <c r="L60" i="22"/>
  <c r="K83" i="22"/>
  <c r="K61" i="22"/>
  <c r="O29" i="31"/>
  <c r="T82" i="22"/>
  <c r="T70" i="22"/>
  <c r="AP109" i="22"/>
  <c r="AO107" i="22"/>
  <c r="AM108" i="22"/>
  <c r="AM112" i="22" s="1"/>
  <c r="AL109" i="22"/>
  <c r="AK107" i="22"/>
  <c r="AI108" i="22"/>
  <c r="AI112" i="22" s="1"/>
  <c r="AH109" i="22"/>
  <c r="AG107" i="22"/>
  <c r="AE108" i="22"/>
  <c r="AE112" i="22" s="1"/>
  <c r="AD109" i="22"/>
  <c r="AC107" i="22"/>
  <c r="AA108" i="22"/>
  <c r="Z109" i="22"/>
  <c r="Y107" i="22"/>
  <c r="AN129" i="22"/>
  <c r="AJ129" i="22"/>
  <c r="AH130" i="22"/>
  <c r="AH134" i="22" s="1"/>
  <c r="AF129" i="22"/>
  <c r="X129" i="22"/>
  <c r="L129" i="22"/>
  <c r="AO108" i="22"/>
  <c r="AO112" i="22" s="1"/>
  <c r="AN109" i="22"/>
  <c r="AM107" i="22"/>
  <c r="AK108" i="22"/>
  <c r="AK112" i="22"/>
  <c r="AJ109" i="22"/>
  <c r="AI107" i="22"/>
  <c r="AG108" i="22"/>
  <c r="AG112" i="22" s="1"/>
  <c r="AF109" i="22"/>
  <c r="AF113" i="22" s="1"/>
  <c r="AF114" i="22" s="1"/>
  <c r="AE107" i="22"/>
  <c r="AC108" i="22"/>
  <c r="AC112" i="22" s="1"/>
  <c r="AB109" i="22"/>
  <c r="AA107" i="22"/>
  <c r="Y108" i="22"/>
  <c r="X109" i="22"/>
  <c r="W107" i="22"/>
  <c r="T108" i="22"/>
  <c r="S109" i="22"/>
  <c r="R107" i="22"/>
  <c r="P108" i="22"/>
  <c r="O109" i="22"/>
  <c r="N107" i="22"/>
  <c r="L108" i="22"/>
  <c r="K109" i="22"/>
  <c r="U107" i="22"/>
  <c r="AO119" i="22"/>
  <c r="AO123" i="22" s="1"/>
  <c r="AN120" i="22"/>
  <c r="AN124" i="22" s="1"/>
  <c r="AM118" i="22"/>
  <c r="AK119" i="22"/>
  <c r="AJ120" i="22"/>
  <c r="AJ124" i="22" s="1"/>
  <c r="AI118" i="22"/>
  <c r="AG119" i="22"/>
  <c r="AF120" i="22"/>
  <c r="AF124" i="22" s="1"/>
  <c r="AE118" i="22"/>
  <c r="AC119" i="22"/>
  <c r="AB120" i="22"/>
  <c r="AA118" i="22"/>
  <c r="Y119" i="22"/>
  <c r="X120" i="22"/>
  <c r="W118" i="22"/>
  <c r="U119" i="22"/>
  <c r="T120" i="22"/>
  <c r="S118" i="22"/>
  <c r="Q119" i="22"/>
  <c r="P120" i="22"/>
  <c r="O118" i="22"/>
  <c r="M119" i="22"/>
  <c r="L120" i="22"/>
  <c r="K118" i="22"/>
  <c r="AP129" i="22"/>
  <c r="AN130" i="22"/>
  <c r="AN134" i="22"/>
  <c r="AM131" i="22"/>
  <c r="AM135" i="22" s="1"/>
  <c r="AL129" i="22"/>
  <c r="AJ130" i="22"/>
  <c r="AJ134" i="22"/>
  <c r="AI131" i="22"/>
  <c r="AI135" i="22" s="1"/>
  <c r="AH129" i="22"/>
  <c r="AF130" i="22"/>
  <c r="AF134" i="22"/>
  <c r="AE131" i="22"/>
  <c r="AE135" i="22" s="1"/>
  <c r="AD129" i="22"/>
  <c r="AB130" i="22"/>
  <c r="AA131" i="22"/>
  <c r="Z129" i="22"/>
  <c r="X130" i="22"/>
  <c r="W131" i="22"/>
  <c r="V129" i="22"/>
  <c r="T130" i="22"/>
  <c r="S131" i="22"/>
  <c r="R129" i="22"/>
  <c r="P130" i="22"/>
  <c r="O131" i="22"/>
  <c r="N129" i="22"/>
  <c r="L130" i="22"/>
  <c r="K131" i="22"/>
  <c r="AF107" i="22"/>
  <c r="X107" i="22"/>
  <c r="Q108" i="22"/>
  <c r="O107" i="22"/>
  <c r="AP119" i="22"/>
  <c r="AO120" i="22"/>
  <c r="AO124" i="22" s="1"/>
  <c r="AN118" i="22"/>
  <c r="AL119" i="22"/>
  <c r="AK120" i="22"/>
  <c r="AK124" i="22" s="1"/>
  <c r="AJ118" i="22"/>
  <c r="AH119" i="22"/>
  <c r="AG120" i="22"/>
  <c r="AG124" i="22"/>
  <c r="AF118" i="22"/>
  <c r="AD119" i="22"/>
  <c r="AC120" i="22"/>
  <c r="AC124" i="22" s="1"/>
  <c r="AB118" i="22"/>
  <c r="Z119" i="22"/>
  <c r="Y120" i="22"/>
  <c r="X118" i="22"/>
  <c r="Y226" i="53"/>
  <c r="AA226" i="53"/>
  <c r="X226" i="53"/>
  <c r="H168" i="53"/>
  <c r="Z226" i="53"/>
  <c r="AB226" i="53"/>
  <c r="Y231" i="53"/>
  <c r="AA231" i="53"/>
  <c r="X231" i="53"/>
  <c r="H176" i="53"/>
  <c r="Z231" i="53"/>
  <c r="AB231" i="53"/>
  <c r="Y236" i="53"/>
  <c r="AA236" i="53"/>
  <c r="X236" i="53"/>
  <c r="H184" i="53"/>
  <c r="Z236" i="53"/>
  <c r="AB236" i="53"/>
  <c r="Y216" i="53"/>
  <c r="AA216" i="53"/>
  <c r="X216" i="53"/>
  <c r="H152" i="53"/>
  <c r="Z216" i="53"/>
  <c r="AB216" i="53"/>
  <c r="Y211" i="53"/>
  <c r="AA211" i="53"/>
  <c r="X211" i="53"/>
  <c r="H144" i="53"/>
  <c r="Z211" i="53"/>
  <c r="AB211" i="53"/>
  <c r="Y241" i="53"/>
  <c r="Z241" i="53"/>
  <c r="X221" i="53"/>
  <c r="Q74" i="23"/>
  <c r="Q86" i="23"/>
  <c r="Q95" i="23"/>
  <c r="P74" i="23"/>
  <c r="P86" i="23"/>
  <c r="P95" i="23"/>
  <c r="N74" i="23"/>
  <c r="N86" i="23"/>
  <c r="N95" i="23"/>
  <c r="S74" i="23"/>
  <c r="O95" i="23"/>
  <c r="O86" i="23"/>
  <c r="O74" i="23"/>
  <c r="R95" i="23"/>
  <c r="R86" i="23"/>
  <c r="R74" i="23"/>
  <c r="M95" i="23"/>
  <c r="M86" i="23"/>
  <c r="M74" i="23"/>
  <c r="R83" i="22"/>
  <c r="R61" i="22"/>
  <c r="Q82" i="22"/>
  <c r="Q70" i="22"/>
  <c r="Q60" i="22"/>
  <c r="R81" i="22"/>
  <c r="R71" i="22"/>
  <c r="Q61" i="22"/>
  <c r="P27" i="105"/>
  <c r="P82" i="22"/>
  <c r="M72" i="22"/>
  <c r="O72" i="22"/>
  <c r="M82" i="22"/>
  <c r="P83" i="22"/>
  <c r="P70" i="22"/>
  <c r="P60" i="22"/>
  <c r="N72" i="22"/>
  <c r="AH81" i="22"/>
  <c r="AH88" i="22" s="1"/>
  <c r="AH71" i="22"/>
  <c r="AH59" i="22"/>
  <c r="AJ82" i="22"/>
  <c r="AJ70" i="22"/>
  <c r="AJ60" i="22"/>
  <c r="AP82" i="22"/>
  <c r="AP70" i="22"/>
  <c r="AP60" i="22"/>
  <c r="AN72" i="22"/>
  <c r="AF81" i="22"/>
  <c r="AF71" i="22"/>
  <c r="AF59" i="22"/>
  <c r="AL72" i="22"/>
  <c r="AM83" i="22"/>
  <c r="AM87" i="22" s="1"/>
  <c r="AM88" i="22" s="1"/>
  <c r="AM61" i="22"/>
  <c r="AM65" i="22" s="1"/>
  <c r="W81" i="22"/>
  <c r="W71" i="22"/>
  <c r="W59" i="22"/>
  <c r="AI81" i="22"/>
  <c r="AI71" i="22"/>
  <c r="AI59" i="22"/>
  <c r="AD72" i="22"/>
  <c r="AD16" i="105"/>
  <c r="AD130" i="105" s="1"/>
  <c r="AD58" i="82" s="1"/>
  <c r="AD59" i="22"/>
  <c r="N82" i="22"/>
  <c r="N70" i="22"/>
  <c r="N60" i="22"/>
  <c r="AJ61" i="22"/>
  <c r="AN82" i="22"/>
  <c r="AM81" i="22"/>
  <c r="AC27" i="105"/>
  <c r="AC82" i="22"/>
  <c r="AD18" i="105"/>
  <c r="AD81" i="22"/>
  <c r="AD26" i="105"/>
  <c r="AD93" i="105" s="1"/>
  <c r="AD71" i="22"/>
  <c r="AJ72" i="22"/>
  <c r="AJ76" i="22" s="1"/>
  <c r="AP72" i="22"/>
  <c r="AN81" i="22"/>
  <c r="AL81" i="22"/>
  <c r="AL71" i="22"/>
  <c r="AL59" i="22"/>
  <c r="AC17" i="105"/>
  <c r="AC70" i="22"/>
  <c r="AC25" i="105"/>
  <c r="AC60" i="22"/>
  <c r="AC64" i="22" s="1"/>
  <c r="V18" i="105"/>
  <c r="V81" i="22"/>
  <c r="R96" i="22"/>
  <c r="O97" i="22"/>
  <c r="O101" i="22" s="1"/>
  <c r="L96" i="22"/>
  <c r="K97" i="22"/>
  <c r="AB81" i="22"/>
  <c r="AB71" i="22"/>
  <c r="AB59" i="22"/>
  <c r="AA81" i="22"/>
  <c r="AA71" i="22"/>
  <c r="AA59" i="22"/>
  <c r="Z81" i="22"/>
  <c r="Z71" i="22"/>
  <c r="Z59" i="22"/>
  <c r="Y81" i="22"/>
  <c r="Y71" i="22"/>
  <c r="Y59" i="22"/>
  <c r="X81" i="22"/>
  <c r="X71" i="22"/>
  <c r="X59" i="22"/>
  <c r="AO26" i="105"/>
  <c r="AO93" i="105"/>
  <c r="AO71" i="22"/>
  <c r="V16" i="105"/>
  <c r="V59" i="22"/>
  <c r="AK35" i="105"/>
  <c r="AK72" i="22"/>
  <c r="AK76" i="22" s="1"/>
  <c r="S217" i="31"/>
  <c r="S194" i="31"/>
  <c r="S195" i="31"/>
  <c r="S200" i="31"/>
  <c r="S199" i="31"/>
  <c r="AP97" i="22"/>
  <c r="AO96" i="22"/>
  <c r="AN97" i="22"/>
  <c r="AM96" i="22"/>
  <c r="AL97" i="22"/>
  <c r="AK96" i="22"/>
  <c r="AJ97" i="22"/>
  <c r="AI96" i="22"/>
  <c r="AH97" i="22"/>
  <c r="AG96" i="22"/>
  <c r="AF97" i="22"/>
  <c r="AE96" i="22"/>
  <c r="AD97" i="22"/>
  <c r="AC96" i="22"/>
  <c r="AB97" i="22"/>
  <c r="AA96" i="22"/>
  <c r="Z97" i="22"/>
  <c r="Z101" i="22" s="1"/>
  <c r="Y96" i="22"/>
  <c r="X97" i="22"/>
  <c r="W96" i="22"/>
  <c r="V97" i="22"/>
  <c r="U96" i="22"/>
  <c r="T97" i="22"/>
  <c r="S96" i="22"/>
  <c r="R97" i="22"/>
  <c r="Q96" i="22"/>
  <c r="P97" i="22"/>
  <c r="O96" i="22"/>
  <c r="L97" i="22"/>
  <c r="N96" i="22"/>
  <c r="M97" i="22"/>
  <c r="M101" i="22" s="1"/>
  <c r="K96" i="22"/>
  <c r="U81" i="22"/>
  <c r="U71" i="22"/>
  <c r="U59" i="22"/>
  <c r="AB82" i="22"/>
  <c r="AB70" i="22"/>
  <c r="AB60" i="22"/>
  <c r="AA82" i="22"/>
  <c r="AA70" i="22"/>
  <c r="AA60" i="22"/>
  <c r="Z82" i="22"/>
  <c r="Z70" i="22"/>
  <c r="Z60" i="22"/>
  <c r="Z64" i="22" s="1"/>
  <c r="Y82" i="22"/>
  <c r="Y86" i="22" s="1"/>
  <c r="Y70" i="22"/>
  <c r="Y60" i="22"/>
  <c r="X82" i="22"/>
  <c r="X70" i="22"/>
  <c r="X60" i="22"/>
  <c r="AO18" i="105"/>
  <c r="AO81" i="22"/>
  <c r="AO16" i="105"/>
  <c r="AO59" i="22"/>
  <c r="AK60" i="22"/>
  <c r="V26" i="105"/>
  <c r="V71" i="22"/>
  <c r="AE60" i="22"/>
  <c r="AE64" i="22" s="1"/>
  <c r="AG81" i="22"/>
  <c r="AG71" i="22"/>
  <c r="AG75" i="22" s="1"/>
  <c r="AG59" i="22"/>
  <c r="L81" i="22"/>
  <c r="AE83" i="22"/>
  <c r="AE61" i="22"/>
  <c r="AE65" i="22" s="1"/>
  <c r="S72" i="22"/>
  <c r="T72" i="22"/>
  <c r="AG72" i="22"/>
  <c r="AG76" i="22" s="1"/>
  <c r="L72" i="22"/>
  <c r="K82" i="22"/>
  <c r="K70" i="22"/>
  <c r="K60" i="22"/>
  <c r="K64" i="22" s="1"/>
  <c r="AH131" i="105"/>
  <c r="AH109" i="105"/>
  <c r="AH126" i="105"/>
  <c r="AJ131" i="105"/>
  <c r="Q131" i="105"/>
  <c r="AL131" i="105"/>
  <c r="AO131" i="105"/>
  <c r="AF132" i="105"/>
  <c r="AF126" i="105"/>
  <c r="AO92" i="105"/>
  <c r="AD92" i="105"/>
  <c r="AF92" i="105"/>
  <c r="R92" i="105"/>
  <c r="AM92" i="105"/>
  <c r="AN102" i="105"/>
  <c r="AP102" i="105"/>
  <c r="W92" i="105"/>
  <c r="AH92" i="105"/>
  <c r="AL102" i="105"/>
  <c r="AN108" i="105"/>
  <c r="AK93" i="105"/>
  <c r="AJ104" i="105"/>
  <c r="R108" i="105"/>
  <c r="R126" i="105"/>
  <c r="AI97" i="105"/>
  <c r="AM97" i="105"/>
  <c r="AH94" i="105"/>
  <c r="K116" i="53"/>
  <c r="K504" i="53" s="1"/>
  <c r="K78" i="83" s="1"/>
  <c r="T118" i="53"/>
  <c r="R271" i="53"/>
  <c r="K261" i="53"/>
  <c r="R269" i="53"/>
  <c r="Q272" i="53"/>
  <c r="N118" i="53"/>
  <c r="M260" i="53"/>
  <c r="Q271" i="53"/>
  <c r="Q269" i="53"/>
  <c r="S260" i="53"/>
  <c r="U264" i="53"/>
  <c r="AP269" i="53"/>
  <c r="T259" i="53"/>
  <c r="R270" i="53"/>
  <c r="R272" i="53"/>
  <c r="S258" i="53"/>
  <c r="S261" i="53"/>
  <c r="T270" i="53"/>
  <c r="AP271" i="53"/>
  <c r="L261" i="53"/>
  <c r="U260" i="53"/>
  <c r="H49" i="80"/>
  <c r="M118" i="53"/>
  <c r="L504" i="53"/>
  <c r="L78" i="83" s="1"/>
  <c r="L118" i="53"/>
  <c r="AL282" i="53"/>
  <c r="L21" i="31"/>
  <c r="L23" i="31" s="1"/>
  <c r="M20" i="31"/>
  <c r="Q258" i="53"/>
  <c r="AP260" i="53"/>
  <c r="AM77" i="22"/>
  <c r="AM37" i="53" s="1"/>
  <c r="L260" i="53"/>
  <c r="AL271" i="53"/>
  <c r="R260" i="53"/>
  <c r="R504" i="53"/>
  <c r="R78" i="83" s="1"/>
  <c r="AL260" i="53"/>
  <c r="AL261" i="53"/>
  <c r="Q261" i="53"/>
  <c r="P504" i="53"/>
  <c r="P78" i="83" s="1"/>
  <c r="P118" i="53"/>
  <c r="R258" i="53"/>
  <c r="Q260" i="53"/>
  <c r="R259" i="53"/>
  <c r="K263" i="53"/>
  <c r="R261" i="53"/>
  <c r="K259" i="53"/>
  <c r="K260" i="53"/>
  <c r="H105" i="87"/>
  <c r="AL272" i="53"/>
  <c r="AP280" i="53"/>
  <c r="AP282" i="53"/>
  <c r="S269" i="53"/>
  <c r="S271" i="53"/>
  <c r="V272" i="53"/>
  <c r="V271" i="53"/>
  <c r="U280" i="53"/>
  <c r="U282" i="53"/>
  <c r="U283" i="53"/>
  <c r="U286" i="53"/>
  <c r="U269" i="53"/>
  <c r="U271" i="53"/>
  <c r="U275" i="53"/>
  <c r="U272" i="53"/>
  <c r="H104" i="87"/>
  <c r="V260" i="53"/>
  <c r="V261" i="53"/>
  <c r="U258" i="53"/>
  <c r="U261" i="53"/>
  <c r="W280" i="53"/>
  <c r="W281" i="53"/>
  <c r="W282" i="53"/>
  <c r="W287" i="53"/>
  <c r="T281" i="53"/>
  <c r="W269" i="53"/>
  <c r="W276" i="53"/>
  <c r="W271" i="53"/>
  <c r="W270" i="53"/>
  <c r="W258" i="53"/>
  <c r="W265" i="53"/>
  <c r="W259" i="53"/>
  <c r="W260" i="53"/>
  <c r="V282" i="53"/>
  <c r="V283" i="53"/>
  <c r="Z247" i="53"/>
  <c r="Z288" i="53" s="1"/>
  <c r="AH65" i="22"/>
  <c r="O504" i="53"/>
  <c r="O78" i="83"/>
  <c r="O118" i="53"/>
  <c r="O86" i="22"/>
  <c r="AC134" i="22"/>
  <c r="AB247" i="53"/>
  <c r="AB288" i="53" s="1"/>
  <c r="AM64" i="22"/>
  <c r="AO134" i="22"/>
  <c r="Y247" i="53"/>
  <c r="Y288" i="53" s="1"/>
  <c r="O199" i="31"/>
  <c r="O31" i="81"/>
  <c r="N48" i="82"/>
  <c r="X266" i="53"/>
  <c r="AC76" i="22"/>
  <c r="M134" i="22"/>
  <c r="AA247" i="53"/>
  <c r="AF65" i="22"/>
  <c r="M112" i="22"/>
  <c r="AL75" i="22"/>
  <c r="AP76" i="22"/>
  <c r="AI75" i="22"/>
  <c r="AL76" i="22"/>
  <c r="AP86" i="22"/>
  <c r="X237" i="53"/>
  <c r="X275" i="53" s="1"/>
  <c r="Z237" i="53"/>
  <c r="Z286" i="53" s="1"/>
  <c r="AB237" i="53"/>
  <c r="AB275" i="53" s="1"/>
  <c r="Y237" i="53"/>
  <c r="Y264" i="53" s="1"/>
  <c r="AA237" i="53"/>
  <c r="AA286" i="53" s="1"/>
  <c r="Z123" i="22"/>
  <c r="AP136" i="22"/>
  <c r="AP35" i="41" s="1"/>
  <c r="Y123" i="22"/>
  <c r="AE114" i="22"/>
  <c r="AJ113" i="22"/>
  <c r="AH113" i="22"/>
  <c r="AC86" i="22"/>
  <c r="AC88" i="22" s="1"/>
  <c r="AN76" i="22"/>
  <c r="AN77" i="22" s="1"/>
  <c r="AJ64" i="22"/>
  <c r="AH75" i="22"/>
  <c r="AP123" i="22"/>
  <c r="AD75" i="22"/>
  <c r="AN86" i="22"/>
  <c r="AD76" i="22"/>
  <c r="AF75" i="22"/>
  <c r="AP64" i="22"/>
  <c r="Y212" i="53"/>
  <c r="AA212" i="53"/>
  <c r="X212" i="53"/>
  <c r="Z212" i="53"/>
  <c r="AB212" i="53"/>
  <c r="AB270" i="53" s="1"/>
  <c r="X217" i="53"/>
  <c r="X260" i="53" s="1"/>
  <c r="Z217" i="53"/>
  <c r="AB217" i="53"/>
  <c r="Y217" i="53"/>
  <c r="AA217" i="53"/>
  <c r="X232" i="53"/>
  <c r="Z232" i="53"/>
  <c r="AB232" i="53"/>
  <c r="Y232" i="53"/>
  <c r="AA232" i="53"/>
  <c r="X227" i="53"/>
  <c r="Z227" i="53"/>
  <c r="AB227" i="53"/>
  <c r="Y227" i="53"/>
  <c r="AA227" i="53"/>
  <c r="AH123" i="22"/>
  <c r="AH125" i="22" s="1"/>
  <c r="AH136" i="22"/>
  <c r="AH35" i="41" s="1"/>
  <c r="AG123" i="22"/>
  <c r="AG125" i="22" s="1"/>
  <c r="AP113" i="22"/>
  <c r="AP114" i="22" s="1"/>
  <c r="AD101" i="22"/>
  <c r="AH101" i="22"/>
  <c r="AL101" i="22"/>
  <c r="AP101" i="22"/>
  <c r="AL123" i="22"/>
  <c r="AL125" i="22" s="1"/>
  <c r="AL136" i="22"/>
  <c r="AL35" i="41" s="1"/>
  <c r="AK123" i="22"/>
  <c r="AK125" i="22" s="1"/>
  <c r="AD113" i="22"/>
  <c r="AD114" i="22" s="1"/>
  <c r="AE87" i="22"/>
  <c r="AE88" i="22" s="1"/>
  <c r="AK64" i="22"/>
  <c r="AF101" i="22"/>
  <c r="AJ101" i="22"/>
  <c r="AN101" i="22"/>
  <c r="AO75" i="22"/>
  <c r="AJ65" i="22"/>
  <c r="AJ86" i="22"/>
  <c r="AD123" i="22"/>
  <c r="AD125" i="22" s="1"/>
  <c r="AD136" i="22"/>
  <c r="AD35" i="41" s="1"/>
  <c r="AC123" i="22"/>
  <c r="AC125" i="22" s="1"/>
  <c r="AI114" i="22"/>
  <c r="AN113" i="22"/>
  <c r="AN114" i="22" s="1"/>
  <c r="AF136" i="22"/>
  <c r="AF35" i="41" s="1"/>
  <c r="AC114" i="22"/>
  <c r="AG114" i="22"/>
  <c r="AL113" i="22"/>
  <c r="AL114" i="22" s="1"/>
  <c r="AD99" i="105"/>
  <c r="AL126" i="105"/>
  <c r="AN125" i="105"/>
  <c r="V125" i="105"/>
  <c r="AM125" i="105"/>
  <c r="AJ126" i="105"/>
  <c r="AP125" i="105"/>
  <c r="AL125" i="105"/>
  <c r="Q125" i="105"/>
  <c r="AI125" i="105"/>
  <c r="AJ125" i="105"/>
  <c r="AP109" i="105"/>
  <c r="AP126" i="105"/>
  <c r="AN126" i="105"/>
  <c r="AH99" i="105"/>
  <c r="K118" i="53"/>
  <c r="X264" i="53"/>
  <c r="AM30" i="41"/>
  <c r="AM57" i="80"/>
  <c r="X286" i="53"/>
  <c r="AC77" i="22"/>
  <c r="AC57" i="80" s="1"/>
  <c r="AB286" i="53"/>
  <c r="Z277" i="53"/>
  <c r="M21" i="31"/>
  <c r="N20" i="31"/>
  <c r="AA277" i="53"/>
  <c r="Y266" i="53"/>
  <c r="AI33" i="41"/>
  <c r="AI188" i="80"/>
  <c r="AD77" i="22"/>
  <c r="AD33" i="41"/>
  <c r="AD188" i="80"/>
  <c r="AA264" i="53"/>
  <c r="AG33" i="41"/>
  <c r="AG188" i="80"/>
  <c r="AL33" i="41"/>
  <c r="AL188" i="80"/>
  <c r="AN33" i="41"/>
  <c r="AN188" i="80"/>
  <c r="AD34" i="41"/>
  <c r="AD189" i="80"/>
  <c r="AM55" i="53"/>
  <c r="AM57" i="53"/>
  <c r="AM56" i="53"/>
  <c r="AF77" i="22"/>
  <c r="AE33" i="41"/>
  <c r="AE188" i="80"/>
  <c r="AB281" i="53"/>
  <c r="AE38" i="53"/>
  <c r="AE31" i="41"/>
  <c r="AE58" i="80"/>
  <c r="AF33" i="41"/>
  <c r="AF188" i="80"/>
  <c r="AM38" i="53"/>
  <c r="AM65" i="53" s="1"/>
  <c r="AM31" i="41"/>
  <c r="AM58" i="80"/>
  <c r="AN88" i="22"/>
  <c r="AI77" i="22"/>
  <c r="R125" i="105"/>
  <c r="AK125" i="105"/>
  <c r="AF125" i="105"/>
  <c r="W125" i="105"/>
  <c r="AO125" i="105"/>
  <c r="AH125" i="105"/>
  <c r="AD125" i="105"/>
  <c r="AC30" i="41"/>
  <c r="AC37" i="53"/>
  <c r="AC56" i="53" s="1"/>
  <c r="O20" i="31"/>
  <c r="N21" i="31"/>
  <c r="N23" i="31"/>
  <c r="M23" i="31"/>
  <c r="P22" i="31"/>
  <c r="P23" i="31" s="1"/>
  <c r="AM66" i="53"/>
  <c r="AM64" i="53"/>
  <c r="AF37" i="53"/>
  <c r="AF30" i="41"/>
  <c r="AF57" i="80"/>
  <c r="AN37" i="53"/>
  <c r="AN30" i="41"/>
  <c r="AN57" i="80"/>
  <c r="AN38" i="53"/>
  <c r="AN31" i="41"/>
  <c r="AN58" i="80"/>
  <c r="AI30" i="41"/>
  <c r="AE65" i="53"/>
  <c r="AE66" i="53"/>
  <c r="AE64" i="53"/>
  <c r="AD37" i="53"/>
  <c r="AD30" i="41"/>
  <c r="AD57" i="80"/>
  <c r="AC55" i="53"/>
  <c r="AC57" i="53"/>
  <c r="O21" i="31"/>
  <c r="O23" i="31" s="1"/>
  <c r="P20" i="31"/>
  <c r="AF55" i="53"/>
  <c r="AF57" i="53"/>
  <c r="AF56" i="53"/>
  <c r="AN65" i="53"/>
  <c r="AN64" i="53"/>
  <c r="AN66" i="53"/>
  <c r="AD56" i="53"/>
  <c r="AD55" i="53"/>
  <c r="AD57" i="53"/>
  <c r="AN55" i="53"/>
  <c r="AN57" i="53"/>
  <c r="AN56" i="53"/>
  <c r="Q20" i="31"/>
  <c r="P21" i="31"/>
  <c r="AO30" i="74"/>
  <c r="AO75" i="74" s="1"/>
  <c r="AN30" i="74"/>
  <c r="AN75" i="74"/>
  <c r="AO29" i="74"/>
  <c r="AO74" i="74" s="1"/>
  <c r="AF30" i="74"/>
  <c r="AF75" i="74"/>
  <c r="AH29" i="74"/>
  <c r="AH74" i="74"/>
  <c r="AG28" i="74"/>
  <c r="AG73" i="74"/>
  <c r="AK27" i="74"/>
  <c r="AK72" i="74" s="1"/>
  <c r="AO28" i="74"/>
  <c r="AO73" i="74"/>
  <c r="AL29" i="74"/>
  <c r="AL74" i="74"/>
  <c r="AM27" i="74"/>
  <c r="AM72" i="74"/>
  <c r="AF29" i="74"/>
  <c r="AF74" i="74" s="1"/>
  <c r="AD31" i="74"/>
  <c r="AD76" i="74"/>
  <c r="AE27" i="74"/>
  <c r="AE72" i="74"/>
  <c r="AK29" i="74"/>
  <c r="AK74" i="74"/>
  <c r="AP27" i="74"/>
  <c r="AP72" i="74" s="1"/>
  <c r="AE29" i="74"/>
  <c r="AE74" i="74"/>
  <c r="AP28" i="74"/>
  <c r="AP73" i="74"/>
  <c r="AI31" i="74"/>
  <c r="AI76" i="74"/>
  <c r="AH28" i="74"/>
  <c r="AH73" i="74" s="1"/>
  <c r="AK28" i="74"/>
  <c r="AK73" i="74"/>
  <c r="AI27" i="74"/>
  <c r="AI72" i="74" s="1"/>
  <c r="AL27" i="74"/>
  <c r="AL72" i="74"/>
  <c r="AK31" i="74"/>
  <c r="AK76" i="74" s="1"/>
  <c r="AL28" i="74"/>
  <c r="AL73" i="74"/>
  <c r="AH27" i="74"/>
  <c r="AH72" i="74" s="1"/>
  <c r="AF28" i="74"/>
  <c r="AF73" i="74"/>
  <c r="AF31" i="74"/>
  <c r="AF76" i="74" s="1"/>
  <c r="AI28" i="74"/>
  <c r="AI73" i="74"/>
  <c r="AM28" i="74"/>
  <c r="AM73" i="74"/>
  <c r="AN31" i="74"/>
  <c r="AN76" i="74"/>
  <c r="AM31" i="74"/>
  <c r="AM76" i="74" s="1"/>
  <c r="AJ29" i="74"/>
  <c r="AJ74" i="74"/>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76" i="74"/>
  <c r="AP29" i="74"/>
  <c r="AP74" i="74"/>
  <c r="AF27" i="74"/>
  <c r="AF72" i="74"/>
  <c r="AG31" i="74"/>
  <c r="AG76" i="74" s="1"/>
  <c r="AJ28" i="74"/>
  <c r="AJ73" i="74"/>
  <c r="AJ31" i="74"/>
  <c r="AJ76" i="74" s="1"/>
  <c r="AO31" i="74"/>
  <c r="AO76" i="74"/>
  <c r="AC31" i="74"/>
  <c r="AC76" i="74" s="1"/>
  <c r="AI29" i="74"/>
  <c r="AI74" i="74"/>
  <c r="AG27" i="74"/>
  <c r="AG72" i="74" s="1"/>
  <c r="AN28" i="74"/>
  <c r="AN73" i="74"/>
  <c r="AE28" i="74"/>
  <c r="AE73" i="74" s="1"/>
  <c r="AJ30" i="74"/>
  <c r="AJ75" i="74" s="1"/>
  <c r="AD30" i="74"/>
  <c r="AD75" i="74"/>
  <c r="AK30" i="74"/>
  <c r="AK75" i="74"/>
  <c r="AH30" i="74"/>
  <c r="AH75" i="74" s="1"/>
  <c r="AC30" i="74"/>
  <c r="AC75" i="74" s="1"/>
  <c r="AE30" i="74"/>
  <c r="AE75" i="74"/>
  <c r="AG30" i="74"/>
  <c r="AG75" i="74"/>
  <c r="AL30" i="74"/>
  <c r="AL75" i="74" s="1"/>
  <c r="AM30" i="74"/>
  <c r="AM75" i="74" s="1"/>
  <c r="AP30" i="74"/>
  <c r="AP75" i="74"/>
  <c r="AI30" i="74"/>
  <c r="AI75" i="74"/>
  <c r="H100" i="87" a="1"/>
  <c r="H100" i="87" s="1"/>
  <c r="AC39" i="74"/>
  <c r="AC84" i="74" s="1"/>
  <c r="AN39" i="74"/>
  <c r="AN84" i="74" s="1"/>
  <c r="AK39" i="74"/>
  <c r="AK84" i="74"/>
  <c r="AL32" i="74"/>
  <c r="AL77" i="74"/>
  <c r="AN32" i="74"/>
  <c r="AN77" i="74" s="1"/>
  <c r="AP39" i="74"/>
  <c r="AP84" i="74"/>
  <c r="AG39" i="74"/>
  <c r="AG84" i="74"/>
  <c r="AO32" i="74"/>
  <c r="AO77" i="74"/>
  <c r="AE32" i="74"/>
  <c r="AE77" i="74" s="1"/>
  <c r="AF32" i="74"/>
  <c r="AF77" i="74" s="1"/>
  <c r="AI39" i="74"/>
  <c r="AI84" i="74" s="1"/>
  <c r="AM39" i="74"/>
  <c r="AM84" i="74"/>
  <c r="AF39" i="74"/>
  <c r="AF84" i="74" s="1"/>
  <c r="AH39" i="74"/>
  <c r="AH84" i="74"/>
  <c r="AI32" i="74"/>
  <c r="AI77" i="74"/>
  <c r="AP32" i="74"/>
  <c r="AP77" i="74"/>
  <c r="AK32" i="74"/>
  <c r="AK77" i="74" s="1"/>
  <c r="AD32" i="74"/>
  <c r="AD77" i="74" s="1"/>
  <c r="AG32" i="74"/>
  <c r="AG77" i="74" s="1"/>
  <c r="AC32" i="74"/>
  <c r="AC77" i="74"/>
  <c r="AM32" i="74"/>
  <c r="AM77" i="74" s="1"/>
  <c r="AE39" i="74"/>
  <c r="AE84" i="74" s="1"/>
  <c r="AJ39" i="74"/>
  <c r="AJ84" i="74"/>
  <c r="AD39" i="74"/>
  <c r="AD84" i="74"/>
  <c r="AO39" i="74"/>
  <c r="AO84" i="74" s="1"/>
  <c r="AL39" i="74"/>
  <c r="AL84" i="74"/>
  <c r="AH32" i="74"/>
  <c r="AH77" i="74" s="1"/>
  <c r="AJ32" i="74"/>
  <c r="AJ77" i="74"/>
  <c r="AI45" i="74"/>
  <c r="AI90" i="74" s="1"/>
  <c r="AH45" i="74"/>
  <c r="AH90" i="74"/>
  <c r="AD45" i="74"/>
  <c r="AD90" i="74"/>
  <c r="AD43" i="74"/>
  <c r="AD88" i="74"/>
  <c r="AG43" i="74"/>
  <c r="AG88" i="74" s="1"/>
  <c r="AL43" i="74"/>
  <c r="AL88" i="74"/>
  <c r="AP43" i="74"/>
  <c r="AP88" i="74"/>
  <c r="AM45" i="74"/>
  <c r="AM90" i="74"/>
  <c r="AJ45" i="74"/>
  <c r="AJ90" i="74" s="1"/>
  <c r="AO45" i="74"/>
  <c r="AO90" i="74"/>
  <c r="AE43" i="74"/>
  <c r="AE88" i="74"/>
  <c r="AI43" i="74"/>
  <c r="AI88" i="74"/>
  <c r="AF43" i="74"/>
  <c r="AF88" i="74" s="1"/>
  <c r="AK43" i="74"/>
  <c r="AK88" i="74" s="1"/>
  <c r="AG45" i="74"/>
  <c r="AG90" i="74"/>
  <c r="AP45" i="74"/>
  <c r="AP90" i="74"/>
  <c r="AE45" i="74"/>
  <c r="AE90" i="74" s="1"/>
  <c r="AK45" i="74"/>
  <c r="AK90" i="74"/>
  <c r="AF45" i="74"/>
  <c r="AF90" i="74"/>
  <c r="AC43" i="74"/>
  <c r="AC88" i="74"/>
  <c r="AM43" i="74"/>
  <c r="AM88" i="74" s="1"/>
  <c r="AH43" i="74"/>
  <c r="AH88" i="74" s="1"/>
  <c r="AO43" i="74"/>
  <c r="AO88" i="74" s="1"/>
  <c r="AN43" i="74"/>
  <c r="AN88" i="74"/>
  <c r="AN45" i="74"/>
  <c r="AN90" i="74" s="1"/>
  <c r="AL45" i="74"/>
  <c r="AL90" i="74" s="1"/>
  <c r="AC45" i="74"/>
  <c r="AC90" i="74"/>
  <c r="AJ43" i="74"/>
  <c r="AJ88" i="74"/>
  <c r="AD33" i="74"/>
  <c r="AD78" i="74"/>
  <c r="AI33" i="74"/>
  <c r="AI78" i="74" s="1"/>
  <c r="AE33" i="74"/>
  <c r="AE78" i="74" s="1"/>
  <c r="AK33" i="74"/>
  <c r="AK78" i="74" s="1"/>
  <c r="AF33" i="74"/>
  <c r="AF78" i="74" s="1"/>
  <c r="AM33" i="74"/>
  <c r="AM78" i="74" s="1"/>
  <c r="AO33" i="74"/>
  <c r="AO78" i="74" s="1"/>
  <c r="AC33" i="74"/>
  <c r="AC78" i="74" s="1"/>
  <c r="AL33" i="74"/>
  <c r="AL78" i="74" s="1"/>
  <c r="AG33" i="74"/>
  <c r="AG78" i="74" s="1"/>
  <c r="AN33" i="74"/>
  <c r="AN78" i="74" s="1"/>
  <c r="AJ33" i="74"/>
  <c r="AJ78" i="74"/>
  <c r="AH33" i="74"/>
  <c r="AH78" i="74" s="1"/>
  <c r="AP33" i="74"/>
  <c r="AP78" i="74" s="1"/>
  <c r="AF42" i="74"/>
  <c r="AF87" i="74" s="1"/>
  <c r="AE42" i="74"/>
  <c r="AE87" i="74" s="1"/>
  <c r="AP41" i="74"/>
  <c r="AP86" i="74"/>
  <c r="AJ41" i="74"/>
  <c r="AJ86" i="74" s="1"/>
  <c r="AE41" i="74"/>
  <c r="AE86" i="74" s="1"/>
  <c r="AC41" i="74"/>
  <c r="AC86" i="74"/>
  <c r="AM41" i="74"/>
  <c r="AM86" i="74" s="1"/>
  <c r="AF41" i="74"/>
  <c r="AF86" i="74" s="1"/>
  <c r="AF40" i="74"/>
  <c r="AF85" i="74" s="1"/>
  <c r="AD40" i="74"/>
  <c r="AD85" i="74" s="1"/>
  <c r="AH40" i="74"/>
  <c r="AH85" i="74"/>
  <c r="AF44" i="74"/>
  <c r="AF89" i="74" s="1"/>
  <c r="AL44" i="74"/>
  <c r="AL89" i="74" s="1"/>
  <c r="AP44" i="74"/>
  <c r="AP89" i="74"/>
  <c r="AG42" i="74"/>
  <c r="AG87" i="74" s="1"/>
  <c r="AN42" i="74"/>
  <c r="AN87" i="74" s="1"/>
  <c r="AD42" i="74"/>
  <c r="AD87" i="74" s="1"/>
  <c r="AI42" i="74"/>
  <c r="AI87" i="74" s="1"/>
  <c r="AC40" i="74"/>
  <c r="AC85" i="74"/>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P85" i="74"/>
  <c r="AN40" i="74"/>
  <c r="AN85" i="74" s="1"/>
  <c r="AG40" i="74"/>
  <c r="AG85" i="74" s="1"/>
  <c r="AJ40" i="74"/>
  <c r="AJ85" i="74" s="1"/>
  <c r="AM40" i="74"/>
  <c r="AM85" i="74" s="1"/>
  <c r="AN44" i="74"/>
  <c r="AN89" i="74"/>
  <c r="AI44" i="74"/>
  <c r="AI89" i="74" s="1"/>
  <c r="AJ44" i="74"/>
  <c r="AJ89" i="74" s="1"/>
  <c r="AO44" i="74"/>
  <c r="AO89" i="74"/>
  <c r="AJ42" i="74"/>
  <c r="AJ87" i="74" s="1"/>
  <c r="AC42" i="74"/>
  <c r="AC87" i="74" s="1"/>
  <c r="AP42" i="74"/>
  <c r="AP87" i="74" s="1"/>
  <c r="AL42" i="74"/>
  <c r="AL87" i="74" s="1"/>
  <c r="AH42" i="74"/>
  <c r="AH87" i="74"/>
  <c r="AK42" i="74"/>
  <c r="AK87" i="74" s="1"/>
  <c r="AI41" i="74"/>
  <c r="AI86" i="74" s="1"/>
  <c r="AK41" i="74"/>
  <c r="AK86" i="74"/>
  <c r="AH41" i="74"/>
  <c r="AH86" i="74" s="1"/>
  <c r="AG41" i="74"/>
  <c r="AG86" i="74" s="1"/>
  <c r="AN41" i="74"/>
  <c r="AN86" i="74" s="1"/>
  <c r="AK40" i="74"/>
  <c r="AK85" i="74" s="1"/>
  <c r="AL40" i="74"/>
  <c r="AL85" i="74"/>
  <c r="AC44" i="74"/>
  <c r="AC89" i="74" s="1"/>
  <c r="AH44" i="74"/>
  <c r="AH89" i="74" s="1"/>
  <c r="AK44" i="74"/>
  <c r="AK89" i="74" s="1"/>
  <c r="AG44" i="74"/>
  <c r="AG89" i="74" s="1"/>
  <c r="AM44" i="74"/>
  <c r="AM89" i="74" s="1"/>
  <c r="AE46" i="74"/>
  <c r="AE91" i="74" s="1"/>
  <c r="AM46" i="74"/>
  <c r="AM91" i="74" s="1"/>
  <c r="AO46" i="74"/>
  <c r="AO91" i="74" s="1"/>
  <c r="AC46" i="74"/>
  <c r="AC91" i="74" s="1"/>
  <c r="AD46" i="74"/>
  <c r="AD91" i="74" s="1"/>
  <c r="AG46" i="74"/>
  <c r="AG91" i="74" s="1"/>
  <c r="AH46" i="74"/>
  <c r="AH91" i="74" s="1"/>
  <c r="AI46" i="74"/>
  <c r="AI91" i="74"/>
  <c r="AN46" i="74"/>
  <c r="AN91" i="74" s="1"/>
  <c r="AL46" i="74"/>
  <c r="AL91" i="74" s="1"/>
  <c r="AF46" i="74"/>
  <c r="AF91" i="74" s="1"/>
  <c r="AJ46" i="74"/>
  <c r="AJ91" i="74" s="1"/>
  <c r="AK46" i="74"/>
  <c r="AK91" i="74" s="1"/>
  <c r="AP46" i="74"/>
  <c r="AP91" i="74" s="1"/>
  <c r="AH47" i="74"/>
  <c r="AH92" i="74" s="1"/>
  <c r="AJ47" i="74"/>
  <c r="AJ92" i="74" s="1"/>
  <c r="AO47" i="74"/>
  <c r="AO92" i="74" s="1"/>
  <c r="AN47" i="74"/>
  <c r="AN92" i="74" s="1"/>
  <c r="AD47" i="74"/>
  <c r="AD92" i="74" s="1"/>
  <c r="AL47" i="74"/>
  <c r="AL92" i="74"/>
  <c r="AC47" i="74"/>
  <c r="AC92" i="74" s="1"/>
  <c r="AM47" i="74"/>
  <c r="AM92" i="74" s="1"/>
  <c r="AI47" i="74"/>
  <c r="AI92" i="74" s="1"/>
  <c r="AP47" i="74"/>
  <c r="AP92" i="74" s="1"/>
  <c r="AK47" i="74"/>
  <c r="AK92" i="74" s="1"/>
  <c r="AF47" i="74"/>
  <c r="AF92" i="74" s="1"/>
  <c r="AE47" i="74"/>
  <c r="AE92" i="74" s="1"/>
  <c r="AG47" i="74"/>
  <c r="AG92" i="74"/>
  <c r="AK25" i="41"/>
  <c r="AP25" i="41"/>
  <c r="AM25" i="41"/>
  <c r="AD25" i="41"/>
  <c r="AD149" i="41"/>
  <c r="AH34" i="74"/>
  <c r="AH79" i="74" s="1"/>
  <c r="AN25" i="41"/>
  <c r="AC25" i="41"/>
  <c r="AL25" i="41"/>
  <c r="AJ25" i="41"/>
  <c r="AH25" i="41"/>
  <c r="AF25" i="41"/>
  <c r="AE25" i="41"/>
  <c r="AE34" i="74"/>
  <c r="AE79" i="74" s="1"/>
  <c r="AD34" i="74"/>
  <c r="AD79" i="74" s="1"/>
  <c r="AO25" i="41"/>
  <c r="AO25" i="65" s="1"/>
  <c r="AO83" i="65" s="1"/>
  <c r="AL34" i="74"/>
  <c r="AL79" i="74"/>
  <c r="AC34" i="74"/>
  <c r="AC79" i="74" s="1"/>
  <c r="AI25" i="41"/>
  <c r="AG25" i="41"/>
  <c r="AI34" i="74"/>
  <c r="AI79" i="74" s="1"/>
  <c r="AM34" i="74"/>
  <c r="AM79" i="74" s="1"/>
  <c r="AM25" i="65"/>
  <c r="AM83" i="65"/>
  <c r="AM94" i="65"/>
  <c r="AM112" i="65" s="1"/>
  <c r="AM68" i="105" s="1"/>
  <c r="AM107" i="105" s="1"/>
  <c r="AN34" i="74"/>
  <c r="AN79" i="74"/>
  <c r="AP25" i="65"/>
  <c r="AP83" i="65" s="1"/>
  <c r="AP94" i="65" s="1"/>
  <c r="AP50" i="105" s="1"/>
  <c r="AP87" i="105" s="1"/>
  <c r="AG34" i="74"/>
  <c r="AG79" i="74" s="1"/>
  <c r="AP34" i="74"/>
  <c r="AP79" i="74" s="1"/>
  <c r="AH25" i="65"/>
  <c r="AH83" i="65"/>
  <c r="AH94" i="65" s="1"/>
  <c r="AH50" i="105"/>
  <c r="AH87" i="105" s="1"/>
  <c r="AI25" i="65"/>
  <c r="AI83" i="65"/>
  <c r="AI94" i="65" s="1"/>
  <c r="AN25" i="65"/>
  <c r="AN83" i="65"/>
  <c r="AN94" i="65" s="1"/>
  <c r="AN50" i="105" s="1"/>
  <c r="AN87" i="105" s="1"/>
  <c r="AJ34" i="74"/>
  <c r="AJ79" i="74"/>
  <c r="AJ25" i="65"/>
  <c r="AJ83" i="65" s="1"/>
  <c r="AJ94" i="65" s="1"/>
  <c r="AJ50" i="105" s="1"/>
  <c r="AJ87" i="105" s="1"/>
  <c r="AK34" i="74"/>
  <c r="AK79" i="74"/>
  <c r="AF34" i="74"/>
  <c r="AF79" i="74" s="1"/>
  <c r="AO94" i="65"/>
  <c r="AO34" i="74"/>
  <c r="AO79" i="74" s="1"/>
  <c r="AM50" i="105"/>
  <c r="AM87" i="105"/>
  <c r="AI48" i="74"/>
  <c r="AI93" i="74" s="1"/>
  <c r="AI24" i="41"/>
  <c r="AN48" i="74"/>
  <c r="AN93" i="74"/>
  <c r="AN24" i="41"/>
  <c r="AF48" i="74"/>
  <c r="AF93" i="74" s="1"/>
  <c r="AF24" i="41"/>
  <c r="AM48" i="74"/>
  <c r="AM93" i="74"/>
  <c r="AM24" i="41"/>
  <c r="AL48" i="74"/>
  <c r="AL93" i="74" s="1"/>
  <c r="AL24" i="41"/>
  <c r="AL148" i="41" s="1"/>
  <c r="AO24" i="41"/>
  <c r="AO48" i="74"/>
  <c r="AO93" i="74" s="1"/>
  <c r="AG24" i="41"/>
  <c r="AG49" i="41" s="1"/>
  <c r="AG48" i="74"/>
  <c r="AG93" i="74"/>
  <c r="AP24" i="41"/>
  <c r="AP48" i="74"/>
  <c r="AP93" i="74" s="1"/>
  <c r="AD48" i="74"/>
  <c r="AD93" i="74" s="1"/>
  <c r="AD24" i="41"/>
  <c r="AD49" i="41" s="1"/>
  <c r="AC48" i="74"/>
  <c r="AC93" i="74"/>
  <c r="AC24" i="41"/>
  <c r="AC24" i="65" s="1"/>
  <c r="AC82" i="65" s="1"/>
  <c r="AC93" i="65" s="1"/>
  <c r="AK24" i="41"/>
  <c r="AK48" i="74"/>
  <c r="AK93" i="74" s="1"/>
  <c r="AE24" i="41"/>
  <c r="AE48" i="74"/>
  <c r="AE93" i="74" s="1"/>
  <c r="AJ24" i="41"/>
  <c r="AJ24" i="65" s="1"/>
  <c r="AJ48" i="74"/>
  <c r="AJ93" i="74"/>
  <c r="AH24" i="41"/>
  <c r="AH48" i="74"/>
  <c r="AH93" i="74" s="1"/>
  <c r="AM24" i="65"/>
  <c r="AM82" i="65"/>
  <c r="AM93" i="65" s="1"/>
  <c r="AD148" i="41"/>
  <c r="AD24" i="65"/>
  <c r="AD82" i="65" s="1"/>
  <c r="AD93" i="65" s="1"/>
  <c r="AP24" i="65"/>
  <c r="AP82" i="65" s="1"/>
  <c r="AP93" i="65" s="1"/>
  <c r="AP49" i="105" s="1"/>
  <c r="AP86" i="105" s="1"/>
  <c r="AO24" i="65"/>
  <c r="AO82" i="65" s="1"/>
  <c r="AO93" i="65" s="1"/>
  <c r="AN148" i="41"/>
  <c r="AE148" i="41"/>
  <c r="AE24" i="65"/>
  <c r="AE82" i="65" s="1"/>
  <c r="AE93" i="65" s="1"/>
  <c r="AE49" i="105" s="1"/>
  <c r="AE86" i="105" s="1"/>
  <c r="AE49" i="41"/>
  <c r="AH24" i="65"/>
  <c r="AH82" i="65"/>
  <c r="AH93" i="65"/>
  <c r="AH49" i="105"/>
  <c r="AJ82" i="65"/>
  <c r="AJ93" i="65" s="1"/>
  <c r="AJ49" i="105" s="1"/>
  <c r="AJ86" i="105" s="1"/>
  <c r="AL49" i="41"/>
  <c r="AL24" i="65"/>
  <c r="AL82" i="65"/>
  <c r="AL93" i="65" s="1"/>
  <c r="AL49" i="105" s="1"/>
  <c r="AL86" i="105" s="1"/>
  <c r="AF148" i="41"/>
  <c r="AF24" i="65"/>
  <c r="AF82" i="65" s="1"/>
  <c r="AF93" i="65" s="1"/>
  <c r="AF49" i="105"/>
  <c r="AF86" i="105" s="1"/>
  <c r="AF49" i="41"/>
  <c r="K76" i="81"/>
  <c r="K108" i="81"/>
  <c r="AH86" i="105"/>
  <c r="AD49" i="105"/>
  <c r="AD86" i="105" s="1"/>
  <c r="AM49" i="105"/>
  <c r="AM86" i="105" s="1"/>
  <c r="Z157" i="74"/>
  <c r="Y156" i="74"/>
  <c r="AB156" i="74"/>
  <c r="Z156" i="74"/>
  <c r="AA157" i="74"/>
  <c r="AB157" i="74"/>
  <c r="AA156" i="74"/>
  <c r="Y157" i="74"/>
  <c r="X157" i="74"/>
  <c r="X156" i="74"/>
  <c r="X133" i="22" l="1"/>
  <c r="X58" i="65" s="1"/>
  <c r="U85" i="22"/>
  <c r="U54" i="65" s="1"/>
  <c r="AD111" i="65"/>
  <c r="AD67" i="105" s="1"/>
  <c r="AD106" i="105" s="1"/>
  <c r="X135" i="22"/>
  <c r="AA74" i="22"/>
  <c r="AA53" i="65" s="1"/>
  <c r="AA76" i="22"/>
  <c r="Z86" i="22"/>
  <c r="M133" i="22"/>
  <c r="M58" i="65" s="1"/>
  <c r="Z84" i="22"/>
  <c r="Z45" i="65" s="1"/>
  <c r="Z73" i="22"/>
  <c r="Z44" i="65" s="1"/>
  <c r="N133" i="22"/>
  <c r="N58" i="65" s="1"/>
  <c r="AK77" i="22"/>
  <c r="AK37" i="53" s="1"/>
  <c r="AK189" i="80"/>
  <c r="AK34" i="41"/>
  <c r="AC58" i="80"/>
  <c r="AC38" i="53"/>
  <c r="AC31" i="41"/>
  <c r="AL34" i="41"/>
  <c r="AL189" i="80"/>
  <c r="AL191" i="80" s="1"/>
  <c r="AL192" i="80" s="1"/>
  <c r="AH66" i="22"/>
  <c r="AH56" i="80" s="1"/>
  <c r="AB124" i="22"/>
  <c r="AH77" i="22"/>
  <c r="AH57" i="80" s="1"/>
  <c r="AL50" i="41"/>
  <c r="X124" i="22"/>
  <c r="W86" i="22"/>
  <c r="AJ66" i="22"/>
  <c r="AJ29" i="41" s="1"/>
  <c r="Z124" i="22"/>
  <c r="R112" i="22"/>
  <c r="X74" i="22"/>
  <c r="X53" i="65" s="1"/>
  <c r="Z122" i="22"/>
  <c r="Z57" i="65" s="1"/>
  <c r="Z111" i="22"/>
  <c r="K121" i="22"/>
  <c r="W73" i="22"/>
  <c r="U63" i="22"/>
  <c r="U52" i="65" s="1"/>
  <c r="U111" i="22"/>
  <c r="U56" i="65" s="1"/>
  <c r="R132" i="22"/>
  <c r="R49" i="65" s="1"/>
  <c r="Y73" i="22"/>
  <c r="K101" i="22"/>
  <c r="AF66" i="22"/>
  <c r="AF29" i="41" s="1"/>
  <c r="U76" i="22"/>
  <c r="AP77" i="22"/>
  <c r="AP30" i="41" s="1"/>
  <c r="X76" i="22"/>
  <c r="Y101" i="22"/>
  <c r="V111" i="22"/>
  <c r="V56" i="65" s="1"/>
  <c r="Z133" i="22"/>
  <c r="Z58" i="65" s="1"/>
  <c r="W110" i="22"/>
  <c r="W47" i="65" s="1"/>
  <c r="AN66" i="22"/>
  <c r="AN56" i="80" s="1"/>
  <c r="AC178" i="105"/>
  <c r="Z103" i="22"/>
  <c r="Z16" i="111" s="1"/>
  <c r="Z28" i="111" s="1"/>
  <c r="Z34" i="111" s="1"/>
  <c r="Y277" i="53"/>
  <c r="AF211" i="53"/>
  <c r="O211" i="53"/>
  <c r="O259" i="53" s="1"/>
  <c r="AI211" i="53"/>
  <c r="AI281" i="53" s="1"/>
  <c r="J211" i="53"/>
  <c r="J270" i="53" s="1"/>
  <c r="V211" i="53"/>
  <c r="AN211" i="53"/>
  <c r="U211" i="53"/>
  <c r="M226" i="53"/>
  <c r="AK227" i="53"/>
  <c r="AL227" i="53"/>
  <c r="Z260" i="53"/>
  <c r="AE233" i="53"/>
  <c r="AN233" i="53"/>
  <c r="AA275" i="53"/>
  <c r="X277" i="53"/>
  <c r="AM270" i="53"/>
  <c r="J281" i="53"/>
  <c r="AH282" i="53"/>
  <c r="AE211" i="53"/>
  <c r="N211" i="53"/>
  <c r="AK211" i="53"/>
  <c r="AK270" i="53" s="1"/>
  <c r="AL211" i="53"/>
  <c r="AP211" i="53"/>
  <c r="S211" i="53"/>
  <c r="AH211" i="53"/>
  <c r="AI221" i="53"/>
  <c r="AI283" i="53" s="1"/>
  <c r="M221" i="53"/>
  <c r="AE221" i="53"/>
  <c r="Q226" i="53"/>
  <c r="AF226" i="53"/>
  <c r="J227" i="53"/>
  <c r="AO233" i="53"/>
  <c r="H177" i="53"/>
  <c r="AA233" i="53" s="1"/>
  <c r="AJ211" i="53"/>
  <c r="AJ281" i="53" s="1"/>
  <c r="L211" i="53"/>
  <c r="L259" i="53" s="1"/>
  <c r="M211" i="53"/>
  <c r="P211" i="53"/>
  <c r="P270" i="53" s="1"/>
  <c r="AO211" i="53"/>
  <c r="Q211" i="53"/>
  <c r="U226" i="53"/>
  <c r="J226" i="53"/>
  <c r="AG227" i="53"/>
  <c r="T227" i="53"/>
  <c r="Q233" i="53"/>
  <c r="M233" i="53"/>
  <c r="U259" i="53"/>
  <c r="AF124" i="105"/>
  <c r="AF190" i="105" s="1"/>
  <c r="AC154" i="105"/>
  <c r="L178" i="105"/>
  <c r="Q182" i="105"/>
  <c r="Q179" i="105"/>
  <c r="L166" i="105"/>
  <c r="L171" i="105"/>
  <c r="L172" i="105"/>
  <c r="L182" i="105"/>
  <c r="L181" i="105"/>
  <c r="L124" i="105"/>
  <c r="L190" i="105" s="1"/>
  <c r="L68" i="82" s="1"/>
  <c r="L179" i="105"/>
  <c r="L183" i="105"/>
  <c r="AC179" i="105"/>
  <c r="AC124" i="105"/>
  <c r="AC190" i="105" s="1"/>
  <c r="AC68" i="82" s="1"/>
  <c r="AC180" i="105"/>
  <c r="AC177" i="105"/>
  <c r="AC166" i="105"/>
  <c r="AC172" i="105"/>
  <c r="AC183" i="105"/>
  <c r="AC181" i="105"/>
  <c r="AC171" i="105"/>
  <c r="AC132" i="105"/>
  <c r="AC167" i="105"/>
  <c r="AC168" i="105"/>
  <c r="X154" i="105"/>
  <c r="AC169" i="105"/>
  <c r="AC170" i="105"/>
  <c r="L168" i="105"/>
  <c r="L169" i="105"/>
  <c r="L170" i="105"/>
  <c r="Q168" i="105"/>
  <c r="AK103" i="22"/>
  <c r="AK16" i="111" s="1"/>
  <c r="AK27" i="111" s="1"/>
  <c r="AK33" i="111" s="1"/>
  <c r="L177" i="105"/>
  <c r="L167" i="105"/>
  <c r="AO136" i="22"/>
  <c r="AO35" i="41" s="1"/>
  <c r="Q171" i="105"/>
  <c r="Q181" i="105"/>
  <c r="Z154" i="105"/>
  <c r="Q170" i="105"/>
  <c r="AF182" i="105"/>
  <c r="Q116" i="53"/>
  <c r="AD124" i="105"/>
  <c r="AD191" i="105" s="1"/>
  <c r="AD69" i="82" s="1"/>
  <c r="AG132" i="105"/>
  <c r="AH166" i="105"/>
  <c r="AN92" i="22"/>
  <c r="AN17" i="111" s="1"/>
  <c r="AD183" i="105"/>
  <c r="AN170" i="105"/>
  <c r="AP172" i="105"/>
  <c r="AJ182" i="105"/>
  <c r="AG66" i="22"/>
  <c r="AG56" i="80" s="1"/>
  <c r="AP166" i="105"/>
  <c r="AP177" i="105"/>
  <c r="AN178" i="105"/>
  <c r="AP181" i="105"/>
  <c r="AN183" i="105"/>
  <c r="AD103" i="22"/>
  <c r="AD16" i="111" s="1"/>
  <c r="AD28" i="111" s="1"/>
  <c r="AD34" i="111" s="1"/>
  <c r="AP170" i="105"/>
  <c r="AP178" i="105"/>
  <c r="AP182" i="105"/>
  <c r="AN179" i="105"/>
  <c r="AN168" i="105"/>
  <c r="AN124" i="105"/>
  <c r="AN191" i="105" s="1"/>
  <c r="Z18" i="74"/>
  <c r="AP167" i="105"/>
  <c r="AP179" i="105"/>
  <c r="AP183" i="105"/>
  <c r="AN167" i="105"/>
  <c r="AN180" i="105"/>
  <c r="AN169" i="105"/>
  <c r="O182" i="105"/>
  <c r="AP124" i="105"/>
  <c r="AP190" i="105" s="1"/>
  <c r="AP88" i="22"/>
  <c r="AP38" i="53" s="1"/>
  <c r="AP66" i="53" s="1"/>
  <c r="AP169" i="105"/>
  <c r="AP171" i="105"/>
  <c r="AP180" i="105"/>
  <c r="AN171" i="105"/>
  <c r="AN182" i="105"/>
  <c r="AN166" i="105"/>
  <c r="AD170" i="105"/>
  <c r="M154" i="105"/>
  <c r="AK132" i="105"/>
  <c r="Q172" i="105"/>
  <c r="AH38" i="53"/>
  <c r="AH65" i="53" s="1"/>
  <c r="AH58" i="80"/>
  <c r="AH31" i="41"/>
  <c r="AM136" i="22"/>
  <c r="AM35" i="41" s="1"/>
  <c r="AG77" i="22"/>
  <c r="AG30" i="41" s="1"/>
  <c r="AC66" i="22"/>
  <c r="AC92" i="22" s="1"/>
  <c r="AC17" i="111" s="1"/>
  <c r="AH103" i="22"/>
  <c r="AH18" i="74" s="1"/>
  <c r="AF172" i="105"/>
  <c r="V171" i="105"/>
  <c r="AJ169" i="105"/>
  <c r="W167" i="105"/>
  <c r="O166" i="105"/>
  <c r="O170" i="105"/>
  <c r="O124" i="105"/>
  <c r="O191" i="105" s="1"/>
  <c r="O69" i="82" s="1"/>
  <c r="AJ124" i="105"/>
  <c r="AJ190" i="105" s="1"/>
  <c r="AH29" i="41"/>
  <c r="AN103" i="22"/>
  <c r="AN16" i="111" s="1"/>
  <c r="AN27" i="111" s="1"/>
  <c r="AN33" i="111" s="1"/>
  <c r="AJ154" i="105"/>
  <c r="AJ156" i="105" s="1"/>
  <c r="V172" i="105"/>
  <c r="AL124" i="105"/>
  <c r="AL191" i="105" s="1"/>
  <c r="O183" i="105"/>
  <c r="O168" i="105"/>
  <c r="AF178" i="105"/>
  <c r="AJ178" i="105"/>
  <c r="AG88" i="22"/>
  <c r="AG38" i="53" s="1"/>
  <c r="AG66" i="53" s="1"/>
  <c r="AO168" i="105"/>
  <c r="AE136" i="22"/>
  <c r="AE35" i="41" s="1"/>
  <c r="AI136" i="22"/>
  <c r="AI35" i="41" s="1"/>
  <c r="U154" i="105"/>
  <c r="R169" i="105"/>
  <c r="Q180" i="105"/>
  <c r="Q167" i="105"/>
  <c r="AI154" i="105"/>
  <c r="AK154" i="105"/>
  <c r="T154" i="105"/>
  <c r="AM66" i="22"/>
  <c r="AM29" i="41" s="1"/>
  <c r="AN36" i="53"/>
  <c r="AN39" i="53" s="1"/>
  <c r="AN70" i="53" s="1"/>
  <c r="AN88" i="53" s="1"/>
  <c r="AN90" i="53" s="1"/>
  <c r="AN120" i="53" s="1"/>
  <c r="AN122" i="53" s="1"/>
  <c r="AD167" i="105"/>
  <c r="AD172" i="105"/>
  <c r="AH178" i="105"/>
  <c r="R167" i="105"/>
  <c r="R172" i="105"/>
  <c r="R178" i="105"/>
  <c r="AI166" i="105"/>
  <c r="W172" i="105"/>
  <c r="AB131" i="105"/>
  <c r="O167" i="105"/>
  <c r="O169" i="105"/>
  <c r="O181" i="105"/>
  <c r="AN59" i="80"/>
  <c r="AN29" i="41"/>
  <c r="AJ103" i="22"/>
  <c r="AJ32" i="41" s="1"/>
  <c r="AD177" i="105"/>
  <c r="AH179" i="105"/>
  <c r="AO166" i="105"/>
  <c r="AK168" i="105"/>
  <c r="AG131" i="105"/>
  <c r="R171" i="105"/>
  <c r="R179" i="105"/>
  <c r="O177" i="105"/>
  <c r="O179" i="105"/>
  <c r="O178" i="105"/>
  <c r="AH124" i="105"/>
  <c r="AH191" i="105" s="1"/>
  <c r="O180" i="105"/>
  <c r="O172" i="105"/>
  <c r="AF103" i="22"/>
  <c r="AF18" i="74" s="1"/>
  <c r="AD182" i="105"/>
  <c r="AH181" i="105"/>
  <c r="AK166" i="105"/>
  <c r="R166" i="105"/>
  <c r="R180" i="105"/>
  <c r="K154" i="105"/>
  <c r="AN177" i="105"/>
  <c r="AN181" i="105"/>
  <c r="W154" i="105"/>
  <c r="Q178" i="105"/>
  <c r="W168" i="105"/>
  <c r="AM170" i="105"/>
  <c r="W171" i="105"/>
  <c r="AI172" i="105"/>
  <c r="AC103" i="22"/>
  <c r="AC32" i="41" s="1"/>
  <c r="Q169" i="105"/>
  <c r="W170" i="105"/>
  <c r="Q177" i="105"/>
  <c r="AL130" i="105"/>
  <c r="W166" i="105"/>
  <c r="N154" i="105"/>
  <c r="S154" i="105"/>
  <c r="AG154" i="105"/>
  <c r="N285" i="53"/>
  <c r="N274" i="53"/>
  <c r="N263" i="53"/>
  <c r="AB280" i="53"/>
  <c r="AB269" i="53"/>
  <c r="AA263" i="53"/>
  <c r="AA285" i="53"/>
  <c r="X271" i="53"/>
  <c r="Z271" i="53"/>
  <c r="Y275" i="53"/>
  <c r="Z275" i="53"/>
  <c r="Z266" i="53"/>
  <c r="H160" i="53"/>
  <c r="AB241" i="53"/>
  <c r="AA241" i="53"/>
  <c r="T236" i="53"/>
  <c r="K236" i="53"/>
  <c r="AD226" i="53"/>
  <c r="AN226" i="53"/>
  <c r="R226" i="53"/>
  <c r="AG226" i="53"/>
  <c r="K226" i="53"/>
  <c r="AP226" i="53"/>
  <c r="AJ226" i="53"/>
  <c r="Y218" i="53"/>
  <c r="Y282" i="53" s="1"/>
  <c r="R227" i="53"/>
  <c r="AM227" i="53"/>
  <c r="P227" i="53"/>
  <c r="AP227" i="53"/>
  <c r="AJ227" i="53"/>
  <c r="N227" i="53"/>
  <c r="AC227" i="53"/>
  <c r="AJ233" i="53"/>
  <c r="AM233" i="53"/>
  <c r="L233" i="53"/>
  <c r="P233" i="53"/>
  <c r="P274" i="53" s="1"/>
  <c r="AD233" i="53"/>
  <c r="T233" i="53"/>
  <c r="AH233" i="53"/>
  <c r="H53" i="86"/>
  <c r="Y260" i="53"/>
  <c r="Z264" i="53"/>
  <c r="Y286" i="53"/>
  <c r="AB277" i="53"/>
  <c r="AB221" i="53"/>
  <c r="AA221" i="53"/>
  <c r="H192" i="53"/>
  <c r="Q236" i="53"/>
  <c r="S226" i="53"/>
  <c r="N226" i="53"/>
  <c r="W226" i="53"/>
  <c r="AH226" i="53"/>
  <c r="P226" i="53"/>
  <c r="P273" i="53" s="1"/>
  <c r="AE226" i="53"/>
  <c r="AO226" i="53"/>
  <c r="AA218" i="53"/>
  <c r="AA260" i="53" s="1"/>
  <c r="W227" i="53"/>
  <c r="M227" i="53"/>
  <c r="K227" i="53"/>
  <c r="Q227" i="53"/>
  <c r="AE227" i="53"/>
  <c r="AO227" i="53"/>
  <c r="S227" i="53"/>
  <c r="AL233" i="53"/>
  <c r="AP233" i="53"/>
  <c r="R233" i="53"/>
  <c r="R285" i="53" s="1"/>
  <c r="V233" i="53"/>
  <c r="AC233" i="53"/>
  <c r="O233" i="53"/>
  <c r="AG233" i="53"/>
  <c r="AG263" i="53" s="1"/>
  <c r="X282" i="53"/>
  <c r="AA274" i="53"/>
  <c r="Z282" i="53"/>
  <c r="Z221" i="53"/>
  <c r="AL226" i="53"/>
  <c r="AI226" i="53"/>
  <c r="AI284" i="53" s="1"/>
  <c r="AC226" i="53"/>
  <c r="AC284" i="53" s="1"/>
  <c r="L226" i="53"/>
  <c r="V226" i="53"/>
  <c r="AK226" i="53"/>
  <c r="AB218" i="53"/>
  <c r="AB282" i="53" s="1"/>
  <c r="L227" i="53"/>
  <c r="AH227" i="53"/>
  <c r="AF227" i="53"/>
  <c r="AD227" i="53"/>
  <c r="O227" i="53"/>
  <c r="O284" i="53" s="1"/>
  <c r="U227" i="53"/>
  <c r="S233" i="53"/>
  <c r="AF233" i="53"/>
  <c r="AK233" i="53"/>
  <c r="AI233" i="53"/>
  <c r="AI285" i="53" s="1"/>
  <c r="J233" i="53"/>
  <c r="W233" i="53"/>
  <c r="AP33" i="41"/>
  <c r="AP148" i="41" s="1"/>
  <c r="AP188" i="80"/>
  <c r="AH34" i="41"/>
  <c r="AH50" i="41" s="1"/>
  <c r="AH189" i="80"/>
  <c r="AG34" i="41"/>
  <c r="AG189" i="80"/>
  <c r="AG191" i="80" s="1"/>
  <c r="AG192" i="80" s="1"/>
  <c r="K56" i="65"/>
  <c r="K113" i="22"/>
  <c r="AC189" i="80"/>
  <c r="AC34" i="41"/>
  <c r="M54" i="65"/>
  <c r="M87" i="22"/>
  <c r="AM111" i="65"/>
  <c r="AM67" i="105" s="1"/>
  <c r="AM182" i="105"/>
  <c r="AD191" i="80"/>
  <c r="AD192" i="80" s="1"/>
  <c r="AA87" i="22"/>
  <c r="N65" i="22"/>
  <c r="AJ88" i="22"/>
  <c r="AJ58" i="80" s="1"/>
  <c r="AO114" i="22"/>
  <c r="AP49" i="41"/>
  <c r="AH149" i="41"/>
  <c r="AP103" i="22"/>
  <c r="AP18" i="74" s="1"/>
  <c r="AN136" i="22"/>
  <c r="AN35" i="41" s="1"/>
  <c r="AL77" i="22"/>
  <c r="AL30" i="41" s="1"/>
  <c r="AP66" i="22"/>
  <c r="AP56" i="80" s="1"/>
  <c r="AJ125" i="22"/>
  <c r="AE125" i="22"/>
  <c r="M63" i="22"/>
  <c r="M52" i="65" s="1"/>
  <c r="AA100" i="22"/>
  <c r="AA55" i="65" s="1"/>
  <c r="K100" i="22"/>
  <c r="K55" i="65" s="1"/>
  <c r="AG149" i="41"/>
  <c r="AE66" i="22"/>
  <c r="AE36" i="53" s="1"/>
  <c r="AO66" i="22"/>
  <c r="AO56" i="80" s="1"/>
  <c r="Z125" i="22"/>
  <c r="K102" i="22"/>
  <c r="K133" i="22"/>
  <c r="AJ136" i="22"/>
  <c r="AJ35" i="41" s="1"/>
  <c r="K63" i="22"/>
  <c r="AK57" i="80"/>
  <c r="AD154" i="105"/>
  <c r="AD156" i="105" s="1"/>
  <c r="AD59" i="82" s="1"/>
  <c r="AF179" i="105"/>
  <c r="AF183" i="105"/>
  <c r="AF169" i="105"/>
  <c r="V168" i="105"/>
  <c r="AJ167" i="105"/>
  <c r="AJ179" i="105"/>
  <c r="AJ183" i="105"/>
  <c r="AJ166" i="105"/>
  <c r="AG136" i="22"/>
  <c r="AG35" i="41" s="1"/>
  <c r="Z27" i="111"/>
  <c r="AN154" i="105"/>
  <c r="AN156" i="105" s="1"/>
  <c r="AL171" i="105"/>
  <c r="AF171" i="105"/>
  <c r="AF180" i="105"/>
  <c r="AF167" i="105"/>
  <c r="AF166" i="105"/>
  <c r="V170" i="105"/>
  <c r="AJ171" i="105"/>
  <c r="AJ180" i="105"/>
  <c r="AJ168" i="105"/>
  <c r="AJ170" i="105"/>
  <c r="AH130" i="105"/>
  <c r="AF154" i="105"/>
  <c r="AF156" i="105" s="1"/>
  <c r="AF177" i="105"/>
  <c r="AF181" i="105"/>
  <c r="AF168" i="105"/>
  <c r="V167" i="105"/>
  <c r="AJ177" i="105"/>
  <c r="AJ181" i="105"/>
  <c r="V154" i="105"/>
  <c r="Q166" i="105"/>
  <c r="AG103" i="22"/>
  <c r="AG32" i="41" s="1"/>
  <c r="AI103" i="22"/>
  <c r="AI16" i="111" s="1"/>
  <c r="AM103" i="22"/>
  <c r="AM18" i="74" s="1"/>
  <c r="AO77" i="22"/>
  <c r="AO37" i="53" s="1"/>
  <c r="AL66" i="22"/>
  <c r="AK66" i="22"/>
  <c r="AO88" i="22"/>
  <c r="AK136" i="22"/>
  <c r="AK35" i="41" s="1"/>
  <c r="AO103" i="22"/>
  <c r="AO18" i="74" s="1"/>
  <c r="J154" i="105"/>
  <c r="AI66" i="22"/>
  <c r="AI92" i="22" s="1"/>
  <c r="AI17" i="111" s="1"/>
  <c r="R168" i="105"/>
  <c r="R177" i="105"/>
  <c r="AI34" i="41"/>
  <c r="AI50" i="41" s="1"/>
  <c r="AI189" i="80"/>
  <c r="AI191" i="80" s="1"/>
  <c r="AI192" i="80" s="1"/>
  <c r="AJ38" i="53"/>
  <c r="AJ31" i="41"/>
  <c r="AM99" i="105"/>
  <c r="AN109" i="105"/>
  <c r="AI31" i="41"/>
  <c r="AI58" i="80"/>
  <c r="AI38" i="53"/>
  <c r="AJ77" i="22"/>
  <c r="AJ109" i="105"/>
  <c r="AL109" i="105"/>
  <c r="AI149" i="41"/>
  <c r="Z34" i="41"/>
  <c r="Z189" i="80"/>
  <c r="AF109" i="105"/>
  <c r="Z66" i="22"/>
  <c r="Z29" i="41" s="1"/>
  <c r="Z76" i="41" s="1"/>
  <c r="Z97" i="41" s="1"/>
  <c r="V166" i="105"/>
  <c r="AO154" i="105"/>
  <c r="AF125" i="22"/>
  <c r="AF88" i="22"/>
  <c r="AL103" i="22"/>
  <c r="R170" i="105"/>
  <c r="O154" i="105"/>
  <c r="AM154" i="105"/>
  <c r="Z88" i="22"/>
  <c r="AH114" i="22"/>
  <c r="AM125" i="22"/>
  <c r="AJ130" i="105"/>
  <c r="AN125" i="22"/>
  <c r="AO99" i="105"/>
  <c r="AK114" i="22"/>
  <c r="AA154" i="105"/>
  <c r="Z131" i="105"/>
  <c r="L154" i="105"/>
  <c r="AC136" i="22"/>
  <c r="AC35" i="41" s="1"/>
  <c r="AM114" i="22"/>
  <c r="AK88" i="22"/>
  <c r="AK31" i="41" s="1"/>
  <c r="AD88" i="22"/>
  <c r="AL88" i="22"/>
  <c r="AE103" i="22"/>
  <c r="AE154" i="105"/>
  <c r="AB154" i="105"/>
  <c r="H103" i="87"/>
  <c r="H107" i="87" s="1"/>
  <c r="AB116" i="53"/>
  <c r="AB504" i="53" s="1"/>
  <c r="AB78" i="83" s="1"/>
  <c r="Z116" i="53"/>
  <c r="Z504" i="53" s="1"/>
  <c r="Z78" i="83" s="1"/>
  <c r="X116" i="53"/>
  <c r="X504" i="53" s="1"/>
  <c r="X78" i="83" s="1"/>
  <c r="W116" i="53"/>
  <c r="U116" i="53"/>
  <c r="AA116" i="53"/>
  <c r="AA504" i="53" s="1"/>
  <c r="AA78" i="83" s="1"/>
  <c r="Y116" i="53"/>
  <c r="Y504" i="53" s="1"/>
  <c r="Y78" i="83" s="1"/>
  <c r="U504" i="53"/>
  <c r="U78" i="83" s="1"/>
  <c r="U118" i="53"/>
  <c r="Q504" i="53"/>
  <c r="Q78" i="83" s="1"/>
  <c r="Q118" i="53"/>
  <c r="V504" i="53"/>
  <c r="V78" i="83" s="1"/>
  <c r="AD281" i="53"/>
  <c r="AI269" i="53"/>
  <c r="P281" i="53"/>
  <c r="L284" i="53"/>
  <c r="AK281" i="53"/>
  <c r="R281" i="53"/>
  <c r="AK260" i="53"/>
  <c r="AG274" i="53"/>
  <c r="J274" i="53"/>
  <c r="L272" i="53"/>
  <c r="AI271" i="53"/>
  <c r="O281" i="53"/>
  <c r="AI272" i="53"/>
  <c r="AC272" i="53"/>
  <c r="AD275" i="53"/>
  <c r="K286" i="53"/>
  <c r="S282" i="53"/>
  <c r="AI270" i="53"/>
  <c r="P285" i="53"/>
  <c r="M270" i="53"/>
  <c r="P269" i="53"/>
  <c r="M282" i="53"/>
  <c r="AH274" i="53"/>
  <c r="Q282" i="53"/>
  <c r="AN282" i="53"/>
  <c r="O270" i="53"/>
  <c r="M274" i="53"/>
  <c r="Q283" i="53"/>
  <c r="Q286" i="53"/>
  <c r="AH270" i="53"/>
  <c r="AD274" i="53"/>
  <c r="AD280" i="53"/>
  <c r="S280" i="53"/>
  <c r="L281" i="53"/>
  <c r="AC270" i="53"/>
  <c r="X45" i="70"/>
  <c r="M82" i="31"/>
  <c r="O114" i="31"/>
  <c r="N102" i="31"/>
  <c r="P186" i="31"/>
  <c r="O102" i="31"/>
  <c r="M40" i="81"/>
  <c r="M48" i="81" s="1"/>
  <c r="M55" i="81" s="1"/>
  <c r="M56" i="81" s="1"/>
  <c r="M114" i="81" s="1"/>
  <c r="N40" i="81"/>
  <c r="N48" i="81" s="1"/>
  <c r="O40" i="81"/>
  <c r="O48" i="81" s="1"/>
  <c r="R109" i="105"/>
  <c r="AP99" i="105"/>
  <c r="R222" i="31"/>
  <c r="H52" i="80"/>
  <c r="R224" i="31"/>
  <c r="R214" i="31"/>
  <c r="R31" i="81"/>
  <c r="R40" i="81" s="1"/>
  <c r="R48" i="81" s="1"/>
  <c r="R199" i="31"/>
  <c r="Q199" i="31"/>
  <c r="P31" i="81"/>
  <c r="P40" i="81" s="1"/>
  <c r="P48" i="81" s="1"/>
  <c r="O48" i="82"/>
  <c r="P199" i="31"/>
  <c r="H50" i="80"/>
  <c r="L31" i="81"/>
  <c r="L40" i="81" s="1"/>
  <c r="L48" i="81" s="1"/>
  <c r="L55" i="81" s="1"/>
  <c r="L56" i="81" s="1"/>
  <c r="L114" i="81" s="1"/>
  <c r="H43" i="83" a="1"/>
  <c r="H35" i="72" a="1"/>
  <c r="K48" i="82"/>
  <c r="H46" i="80"/>
  <c r="H37" i="73" a="1"/>
  <c r="H56" i="86"/>
  <c r="A3" i="80"/>
  <c r="AC49" i="105"/>
  <c r="AC86" i="105" s="1"/>
  <c r="AC102" i="65"/>
  <c r="AC58" i="105" s="1"/>
  <c r="AC96" i="105" s="1"/>
  <c r="AC111" i="65"/>
  <c r="AC67" i="105" s="1"/>
  <c r="AC106" i="105" s="1"/>
  <c r="AK24" i="65"/>
  <c r="AK82" i="65" s="1"/>
  <c r="AK93" i="65" s="1"/>
  <c r="AI148" i="41"/>
  <c r="AI24" i="65"/>
  <c r="AI82" i="65" s="1"/>
  <c r="AI93" i="65" s="1"/>
  <c r="AK149" i="41"/>
  <c r="AK25" i="65"/>
  <c r="AK83" i="65" s="1"/>
  <c r="AK94" i="65" s="1"/>
  <c r="AC50" i="41"/>
  <c r="AC149" i="41"/>
  <c r="AC25" i="65"/>
  <c r="AC83" i="65" s="1"/>
  <c r="AC94" i="65" s="1"/>
  <c r="AI49" i="41"/>
  <c r="AO50" i="105"/>
  <c r="AO87" i="105" s="1"/>
  <c r="AO112" i="65"/>
  <c r="AO68" i="105" s="1"/>
  <c r="AI50" i="105"/>
  <c r="AI87" i="105" s="1"/>
  <c r="AI112" i="65"/>
  <c r="AI68" i="105" s="1"/>
  <c r="AE25" i="65"/>
  <c r="AE83" i="65" s="1"/>
  <c r="AE94" i="65" s="1"/>
  <c r="AF25" i="65"/>
  <c r="AF83" i="65" s="1"/>
  <c r="AF94" i="65" s="1"/>
  <c r="AF50" i="105" s="1"/>
  <c r="AF87" i="105" s="1"/>
  <c r="AG148" i="41"/>
  <c r="AG24" i="65"/>
  <c r="AG82" i="65" s="1"/>
  <c r="AG93" i="65" s="1"/>
  <c r="AE102" i="65"/>
  <c r="AE58" i="105" s="1"/>
  <c r="AN49" i="41"/>
  <c r="AN24" i="65"/>
  <c r="AN82" i="65" s="1"/>
  <c r="AN93" i="65" s="1"/>
  <c r="AN49" i="105" s="1"/>
  <c r="AN86" i="105" s="1"/>
  <c r="AG25" i="65"/>
  <c r="AG83" i="65" s="1"/>
  <c r="AG94" i="65" s="1"/>
  <c r="AD25" i="65"/>
  <c r="AD83" i="65" s="1"/>
  <c r="AD94" i="65" s="1"/>
  <c r="AD50" i="41"/>
  <c r="AK50" i="41"/>
  <c r="AL25" i="65"/>
  <c r="AL83" i="65" s="1"/>
  <c r="AL94" i="65" s="1"/>
  <c r="AL50" i="105" s="1"/>
  <c r="AL87" i="105" s="1"/>
  <c r="AG50" i="41"/>
  <c r="AO49" i="105"/>
  <c r="AO86" i="105" s="1"/>
  <c r="AO111" i="65"/>
  <c r="AO67" i="105" s="1"/>
  <c r="AE111" i="65"/>
  <c r="AE67" i="105" s="1"/>
  <c r="AL149" i="41"/>
  <c r="R20" i="31"/>
  <c r="Q21" i="31"/>
  <c r="Q23" i="31" s="1"/>
  <c r="AI57" i="80"/>
  <c r="AI37" i="53"/>
  <c r="AC33" i="41"/>
  <c r="AC188" i="80"/>
  <c r="AC191" i="80" s="1"/>
  <c r="AC192" i="80" s="1"/>
  <c r="AK30" i="41"/>
  <c r="AA288" i="53"/>
  <c r="AA266" i="53"/>
  <c r="AO125" i="22"/>
  <c r="V93" i="105"/>
  <c r="V99" i="105" s="1"/>
  <c r="V131" i="105"/>
  <c r="W504" i="53"/>
  <c r="W78" i="83" s="1"/>
  <c r="W118" i="53"/>
  <c r="X288" i="53"/>
  <c r="T285" i="53"/>
  <c r="T286" i="53"/>
  <c r="P260" i="53"/>
  <c r="P262" i="53"/>
  <c r="P259" i="53"/>
  <c r="P263" i="53"/>
  <c r="P258" i="53"/>
  <c r="AP125" i="22"/>
  <c r="H39" i="73"/>
  <c r="H46" i="73"/>
  <c r="H38" i="73"/>
  <c r="H37" i="73"/>
  <c r="H43" i="73"/>
  <c r="H44" i="73"/>
  <c r="H45" i="73"/>
  <c r="H40" i="73"/>
  <c r="H42" i="73"/>
  <c r="AE77" i="22"/>
  <c r="P55" i="81"/>
  <c r="P56" i="81" s="1"/>
  <c r="P114" i="81" s="1"/>
  <c r="P129" i="81"/>
  <c r="AL183" i="105"/>
  <c r="AL167" i="105"/>
  <c r="AL182" i="105"/>
  <c r="AL170" i="105"/>
  <c r="AL181" i="105"/>
  <c r="AL166" i="105"/>
  <c r="AL180" i="105"/>
  <c r="AL169" i="105"/>
  <c r="AL154" i="105"/>
  <c r="AL156" i="105" s="1"/>
  <c r="AL179" i="105"/>
  <c r="AL178" i="105"/>
  <c r="AL172" i="105"/>
  <c r="AL177" i="105"/>
  <c r="AD66" i="22"/>
  <c r="Q154" i="105"/>
  <c r="N55" i="81"/>
  <c r="N56" i="81" s="1"/>
  <c r="N114" i="81" s="1"/>
  <c r="N129" i="81"/>
  <c r="S116" i="53"/>
  <c r="AJ114" i="22"/>
  <c r="S272" i="53"/>
  <c r="S270" i="53"/>
  <c r="H41" i="73"/>
  <c r="P154" i="105"/>
  <c r="R154" i="105"/>
  <c r="AN93" i="105"/>
  <c r="AN99" i="105" s="1"/>
  <c r="AN131" i="105"/>
  <c r="AD131" i="105"/>
  <c r="AD171" i="105"/>
  <c r="AD168" i="105"/>
  <c r="AH169" i="105"/>
  <c r="AH180" i="105"/>
  <c r="Q103" i="105"/>
  <c r="Q132" i="105"/>
  <c r="AI171" i="105"/>
  <c r="AI170" i="105"/>
  <c r="AI169" i="105"/>
  <c r="AI168" i="105"/>
  <c r="S224" i="31"/>
  <c r="S212" i="31"/>
  <c r="S220" i="31"/>
  <c r="S208" i="31"/>
  <c r="S211" i="31"/>
  <c r="S202" i="31"/>
  <c r="S206" i="31"/>
  <c r="H53" i="80"/>
  <c r="S216" i="31"/>
  <c r="S31" i="81"/>
  <c r="S40" i="81" s="1"/>
  <c r="S48" i="81" s="1"/>
  <c r="S210" i="31"/>
  <c r="S226" i="31"/>
  <c r="S201" i="31"/>
  <c r="S222" i="31"/>
  <c r="H48" i="80"/>
  <c r="AK169" i="105"/>
  <c r="AK171" i="105"/>
  <c r="AK170" i="105"/>
  <c r="H47" i="80"/>
  <c r="AD178" i="105"/>
  <c r="AH170" i="105"/>
  <c r="AH182" i="105"/>
  <c r="L48" i="82"/>
  <c r="AK172" i="105"/>
  <c r="Q109" i="105"/>
  <c r="Y154" i="105"/>
  <c r="O132" i="105"/>
  <c r="AI94" i="105"/>
  <c r="AI99" i="105" s="1"/>
  <c r="AI131" i="105"/>
  <c r="AM166" i="105"/>
  <c r="AM169" i="105"/>
  <c r="AM168" i="105"/>
  <c r="AM172" i="105"/>
  <c r="AM171" i="105"/>
  <c r="AD179" i="105"/>
  <c r="AH167" i="105"/>
  <c r="AH183" i="105"/>
  <c r="AO171" i="105"/>
  <c r="AO167" i="105"/>
  <c r="AO170" i="105"/>
  <c r="AO169" i="105"/>
  <c r="AE131" i="105"/>
  <c r="AH154" i="105"/>
  <c r="AH156" i="105" s="1"/>
  <c r="AD169" i="105"/>
  <c r="AD180" i="105"/>
  <c r="AH171" i="105"/>
  <c r="AH168" i="105"/>
  <c r="AD166" i="105"/>
  <c r="AH177" i="105"/>
  <c r="AK167" i="105"/>
  <c r="AD269" i="53"/>
  <c r="AD285" i="53"/>
  <c r="H110" i="89"/>
  <c r="H109" i="89"/>
  <c r="AN43" i="53"/>
  <c r="AN44" i="53"/>
  <c r="AC44" i="53"/>
  <c r="AE44" i="53"/>
  <c r="AD45" i="53"/>
  <c r="AM43" i="53"/>
  <c r="AI44" i="53"/>
  <c r="AM45" i="53"/>
  <c r="AF43" i="53"/>
  <c r="AM44" i="53"/>
  <c r="AE45" i="53"/>
  <c r="AC45" i="53"/>
  <c r="AI45" i="53"/>
  <c r="AF282" i="53"/>
  <c r="AO260" i="53"/>
  <c r="AH281" i="53"/>
  <c r="AI273" i="53"/>
  <c r="AH285" i="53"/>
  <c r="AJ269" i="53"/>
  <c r="AO281" i="53"/>
  <c r="AK271" i="53"/>
  <c r="AC43" i="53"/>
  <c r="AE43" i="53"/>
  <c r="AD44" i="53"/>
  <c r="AO282" i="53"/>
  <c r="AH271" i="53"/>
  <c r="R282" i="53"/>
  <c r="AI43" i="53"/>
  <c r="AJ45" i="53"/>
  <c r="R280" i="53"/>
  <c r="AO271" i="53"/>
  <c r="AE282" i="53"/>
  <c r="AN45" i="53"/>
  <c r="J259" i="53"/>
  <c r="AJ43"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V85" i="22"/>
  <c r="V54" i="65" s="1"/>
  <c r="V74" i="22"/>
  <c r="V122" i="22"/>
  <c r="V100" i="22"/>
  <c r="V55" i="65" s="1"/>
  <c r="V133" i="22"/>
  <c r="V58" i="65" s="1"/>
  <c r="AB63" i="22"/>
  <c r="AB100" i="22"/>
  <c r="AB55" i="65" s="1"/>
  <c r="AB133" i="22"/>
  <c r="AB111" i="22"/>
  <c r="AB74" i="22"/>
  <c r="AC273" i="53"/>
  <c r="M121" i="22"/>
  <c r="M84" i="22"/>
  <c r="K274" i="53"/>
  <c r="S246" i="53"/>
  <c r="AE246" i="53"/>
  <c r="AE288" i="53" s="1"/>
  <c r="L246" i="53"/>
  <c r="AP246" i="53"/>
  <c r="P246" i="53"/>
  <c r="AF246" i="53"/>
  <c r="AL246" i="53"/>
  <c r="O246" i="53"/>
  <c r="W246" i="53"/>
  <c r="J246" i="53"/>
  <c r="J266" i="53" s="1"/>
  <c r="R246" i="53"/>
  <c r="AI246" i="53"/>
  <c r="AI288" i="53" s="1"/>
  <c r="AO246" i="53"/>
  <c r="AC246" i="53"/>
  <c r="N246" i="53"/>
  <c r="AG246" i="53"/>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Y62" i="22"/>
  <c r="Y132" i="22"/>
  <c r="Y110" i="22"/>
  <c r="Y47" i="65" s="1"/>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X63" i="22"/>
  <c r="X85" i="22"/>
  <c r="X111" i="22"/>
  <c r="X56" i="65" s="1"/>
  <c r="U133" i="22"/>
  <c r="U58" i="65" s="1"/>
  <c r="U122" i="22"/>
  <c r="U57" i="65" s="1"/>
  <c r="L283" i="53"/>
  <c r="V246" i="53"/>
  <c r="Y233" i="53"/>
  <c r="Y263" i="53" s="1"/>
  <c r="X233" i="53"/>
  <c r="Z233" i="53"/>
  <c r="AB233" i="53"/>
  <c r="AA111" i="22"/>
  <c r="AA63" i="22"/>
  <c r="AA133" i="22"/>
  <c r="M111" i="22"/>
  <c r="M56" i="65" s="1"/>
  <c r="M74" i="22"/>
  <c r="M100" i="22"/>
  <c r="M55" i="65" s="1"/>
  <c r="M122" i="22"/>
  <c r="R73" i="22"/>
  <c r="R99" i="22"/>
  <c r="R46" i="65" s="1"/>
  <c r="M105" i="31"/>
  <c r="M90" i="31"/>
  <c r="M170" i="31"/>
  <c r="M187" i="31"/>
  <c r="M155" i="31"/>
  <c r="M178" i="31"/>
  <c r="M158" i="31"/>
  <c r="M97" i="31"/>
  <c r="M163" i="31"/>
  <c r="M94" i="31"/>
  <c r="M168" i="31"/>
  <c r="M114" i="31"/>
  <c r="M109" i="31"/>
  <c r="M92" i="31"/>
  <c r="K85" i="22"/>
  <c r="K54" i="65" s="1"/>
  <c r="K74" i="22"/>
  <c r="K53" i="65" s="1"/>
  <c r="W62" i="22"/>
  <c r="W99" i="22"/>
  <c r="K132" i="22"/>
  <c r="K84" i="22"/>
  <c r="K110" i="22"/>
  <c r="K47" i="65" s="1"/>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F242" i="53"/>
  <c r="K242" i="53"/>
  <c r="K265" i="53" s="1"/>
  <c r="AO242" i="53"/>
  <c r="AD242" i="53"/>
  <c r="AM242" i="53"/>
  <c r="T242" i="53"/>
  <c r="AG242" i="53"/>
  <c r="L242" i="53"/>
  <c r="L287" i="53" s="1"/>
  <c r="AC242" i="53"/>
  <c r="AP242" i="53"/>
  <c r="AJ242" i="53"/>
  <c r="J242" i="53"/>
  <c r="J265" i="53" s="1"/>
  <c r="AE242" i="53"/>
  <c r="V242" i="53"/>
  <c r="U242" i="53"/>
  <c r="Q210" i="31"/>
  <c r="Q221" i="31"/>
  <c r="Q31" i="81"/>
  <c r="Q40" i="81" s="1"/>
  <c r="Q48" i="81" s="1"/>
  <c r="R96" i="73"/>
  <c r="R25" i="80"/>
  <c r="R83" i="72"/>
  <c r="Z98" i="73"/>
  <c r="Z85" i="72"/>
  <c r="Z116" i="71"/>
  <c r="P118" i="71"/>
  <c r="P100" i="73"/>
  <c r="Y29" i="80"/>
  <c r="Y87" i="72"/>
  <c r="Y100" i="73"/>
  <c r="AJ504" i="53"/>
  <c r="AJ78" i="83" s="1"/>
  <c r="AJ118" i="53"/>
  <c r="Y223" i="53"/>
  <c r="AA223" i="53"/>
  <c r="Z223" i="53"/>
  <c r="X223" i="53"/>
  <c r="Z213" i="53"/>
  <c r="X213" i="53"/>
  <c r="X281" i="53" s="1"/>
  <c r="AA213" i="53"/>
  <c r="AA259" i="53" s="1"/>
  <c r="Y213" i="53"/>
  <c r="Y259" i="53" s="1"/>
  <c r="H70" i="89"/>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Y207" i="53"/>
  <c r="X87" i="72"/>
  <c r="Q83" i="72"/>
  <c r="T27" i="80"/>
  <c r="T116" i="71"/>
  <c r="AM236" i="53"/>
  <c r="AM275" i="53" s="1"/>
  <c r="AM228" i="53"/>
  <c r="AM273" i="53" s="1"/>
  <c r="AH228" i="53"/>
  <c r="K228" i="53"/>
  <c r="AP228" i="53"/>
  <c r="T228" i="53"/>
  <c r="M228" i="53"/>
  <c r="AD228" i="53"/>
  <c r="AF228" i="53"/>
  <c r="AK228" i="53"/>
  <c r="AN228" i="53"/>
  <c r="S228" i="53"/>
  <c r="AE228" i="53"/>
  <c r="AG228" i="53"/>
  <c r="R228" i="53"/>
  <c r="U228" i="53"/>
  <c r="AJ228" i="53"/>
  <c r="H169" i="53"/>
  <c r="J228" i="53"/>
  <c r="N112" i="31"/>
  <c r="N159" i="31"/>
  <c r="AB30" i="80"/>
  <c r="O87" i="72"/>
  <c r="U115" i="71"/>
  <c r="AA120" i="71"/>
  <c r="N119" i="71"/>
  <c r="T98" i="73"/>
  <c r="L27" i="80"/>
  <c r="L116" i="71"/>
  <c r="V236" i="53"/>
  <c r="AO228" i="53"/>
  <c r="AO273" i="53" s="1"/>
  <c r="AE504" i="53"/>
  <c r="AE78" i="83" s="1"/>
  <c r="O221" i="53"/>
  <c r="Q45" i="70"/>
  <c r="L45" i="70"/>
  <c r="AE238" i="53"/>
  <c r="L238" i="53"/>
  <c r="AF238" i="53"/>
  <c r="AC238" i="53"/>
  <c r="AO238" i="53"/>
  <c r="AI238" i="53"/>
  <c r="AH238" i="53"/>
  <c r="AE232" i="53"/>
  <c r="AP232" i="53"/>
  <c r="O232" i="53"/>
  <c r="AN232" i="53"/>
  <c r="AN274" i="53" s="1"/>
  <c r="S232" i="53"/>
  <c r="AM232" i="53"/>
  <c r="AC232" i="53"/>
  <c r="AJ223" i="53"/>
  <c r="AM223" i="53"/>
  <c r="O223" i="53"/>
  <c r="AE223" i="53"/>
  <c r="AK223" i="53"/>
  <c r="M223" i="53"/>
  <c r="AP223" i="53"/>
  <c r="W45" i="70"/>
  <c r="P221" i="53"/>
  <c r="AG221" i="53"/>
  <c r="AO221" i="53"/>
  <c r="AM221" i="53"/>
  <c r="AP221" i="53"/>
  <c r="J221" i="53"/>
  <c r="J261" i="53" s="1"/>
  <c r="N221" i="53"/>
  <c r="AH221" i="53"/>
  <c r="AJ231" i="53"/>
  <c r="AF231" i="53"/>
  <c r="AF274" i="53" s="1"/>
  <c r="AC231" i="53"/>
  <c r="U231" i="53"/>
  <c r="AE231" i="53"/>
  <c r="AK231" i="53"/>
  <c r="AK285" i="53" s="1"/>
  <c r="AP231" i="53"/>
  <c r="AO206" i="53"/>
  <c r="AO269" i="53" s="1"/>
  <c r="AL206" i="53"/>
  <c r="AC206" i="53"/>
  <c r="AE206" i="53"/>
  <c r="AF206" i="53"/>
  <c r="J206" i="53"/>
  <c r="J258" i="53" s="1"/>
  <c r="AM206" i="53"/>
  <c r="AH208" i="53"/>
  <c r="AN208" i="53"/>
  <c r="AN280" i="53" s="1"/>
  <c r="AG208" i="53"/>
  <c r="AF208" i="53"/>
  <c r="N208" i="53"/>
  <c r="K208" i="53"/>
  <c r="AK208" i="53"/>
  <c r="AJ248" i="53"/>
  <c r="AG248" i="53"/>
  <c r="AD248" i="53"/>
  <c r="R248" i="53"/>
  <c r="O248" i="53"/>
  <c r="AO248" i="53"/>
  <c r="V248" i="53"/>
  <c r="AF504" i="53"/>
  <c r="AF78" i="83" s="1"/>
  <c r="AF118" i="53"/>
  <c r="K45" i="70"/>
  <c r="Y45" i="70"/>
  <c r="T45" i="70"/>
  <c r="O45" i="70"/>
  <c r="J45" i="70"/>
  <c r="O207" i="53"/>
  <c r="T207" i="53"/>
  <c r="L207" i="53"/>
  <c r="V207" i="53"/>
  <c r="AM207" i="53"/>
  <c r="AG207" i="53"/>
  <c r="AG269" i="53" s="1"/>
  <c r="M207" i="53"/>
  <c r="AC217" i="53"/>
  <c r="AC282" i="53" s="1"/>
  <c r="T217" i="53"/>
  <c r="O217" i="53"/>
  <c r="N217" i="53"/>
  <c r="J217" i="53"/>
  <c r="AG217" i="53"/>
  <c r="AJ217" i="53"/>
  <c r="T221" i="53"/>
  <c r="W221" i="53"/>
  <c r="AK221" i="53"/>
  <c r="AK261" i="53" s="1"/>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47" i="31"/>
  <c r="M184" i="31" s="1"/>
  <c r="P118" i="31"/>
  <c r="P155" i="31" s="1"/>
  <c r="R123" i="31"/>
  <c r="R160" i="31" s="1"/>
  <c r="R129" i="31"/>
  <c r="R166" i="31" s="1"/>
  <c r="J135" i="31"/>
  <c r="J172" i="31" s="1"/>
  <c r="P140" i="31"/>
  <c r="P177" i="31" s="1"/>
  <c r="Q126" i="31"/>
  <c r="Q163" i="31" s="1"/>
  <c r="K149" i="31"/>
  <c r="K186" i="31" s="1"/>
  <c r="O67" i="31"/>
  <c r="O103" i="31" s="1"/>
  <c r="O215" i="31" s="1"/>
  <c r="S133" i="31"/>
  <c r="S170" i="31" s="1"/>
  <c r="M56" i="31"/>
  <c r="K139" i="31"/>
  <c r="K176" i="31" s="1"/>
  <c r="Q128" i="31"/>
  <c r="Q165" i="31" s="1"/>
  <c r="R56" i="31"/>
  <c r="R92" i="31" s="1"/>
  <c r="L46" i="31"/>
  <c r="L82" i="31" s="1"/>
  <c r="M77" i="31"/>
  <c r="M113" i="31" s="1"/>
  <c r="M75" i="31"/>
  <c r="M111" i="31" s="1"/>
  <c r="M73" i="31"/>
  <c r="M71" i="31"/>
  <c r="M107" i="31" s="1"/>
  <c r="M69" i="31"/>
  <c r="M67" i="31"/>
  <c r="M103" i="31" s="1"/>
  <c r="M215" i="31" s="1"/>
  <c r="M65" i="31"/>
  <c r="M101" i="31" s="1"/>
  <c r="M63" i="31"/>
  <c r="M99" i="31" s="1"/>
  <c r="M61" i="3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215" i="31" s="1"/>
  <c r="N54" i="31"/>
  <c r="N90" i="31" s="1"/>
  <c r="N202" i="31" s="1"/>
  <c r="K65" i="31"/>
  <c r="K101" i="31" s="1"/>
  <c r="R68" i="31"/>
  <c r="R104" i="31" s="1"/>
  <c r="R216" i="31" s="1"/>
  <c r="P72" i="31"/>
  <c r="P108" i="31" s="1"/>
  <c r="L48" i="31"/>
  <c r="L84" i="31" s="1"/>
  <c r="N59" i="31"/>
  <c r="N95" i="31" s="1"/>
  <c r="L47" i="31"/>
  <c r="L83" i="31" s="1"/>
  <c r="L62" i="31"/>
  <c r="L98" i="31" s="1"/>
  <c r="J76" i="31"/>
  <c r="J112" i="31" s="1"/>
  <c r="J124" i="31"/>
  <c r="J161" i="31" s="1"/>
  <c r="P127" i="31"/>
  <c r="P164" i="31" s="1"/>
  <c r="P131" i="31"/>
  <c r="P168" i="31" s="1"/>
  <c r="J138" i="31"/>
  <c r="J175" i="31" s="1"/>
  <c r="L143" i="31"/>
  <c r="L180" i="31" s="1"/>
  <c r="M131" i="31"/>
  <c r="J119" i="31"/>
  <c r="J156" i="31" s="1"/>
  <c r="L126" i="31"/>
  <c r="L163" i="31" s="1"/>
  <c r="L148" i="31"/>
  <c r="L185" i="31" s="1"/>
  <c r="S129" i="31"/>
  <c r="S166" i="31" s="1"/>
  <c r="Q62" i="31"/>
  <c r="Q98" i="31" s="1"/>
  <c r="Q78" i="31"/>
  <c r="Q114" i="31" s="1"/>
  <c r="Q226" i="31" s="1"/>
  <c r="M140" i="31"/>
  <c r="M177" i="31" s="1"/>
  <c r="O77" i="31"/>
  <c r="O113" i="31" s="1"/>
  <c r="M142" i="31"/>
  <c r="M179" i="31" s="1"/>
  <c r="S131" i="31"/>
  <c r="S168" i="31" s="1"/>
  <c r="AH45" i="53"/>
  <c r="S58" i="31"/>
  <c r="S94"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P223"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N49" i="31"/>
  <c r="N85"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M186" i="31" s="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N206" i="31" s="1"/>
  <c r="J46" i="31"/>
  <c r="J82" i="31" s="1"/>
  <c r="K61" i="31"/>
  <c r="K97" i="31" s="1"/>
  <c r="P76" i="31"/>
  <c r="P112" i="31" s="1"/>
  <c r="S49" i="31"/>
  <c r="S85" i="31" s="1"/>
  <c r="S197" i="31" s="1"/>
  <c r="M48" i="31"/>
  <c r="M84" i="31" s="1"/>
  <c r="N65" i="31"/>
  <c r="N101" i="31" s="1"/>
  <c r="N74" i="31"/>
  <c r="N110" i="31" s="1"/>
  <c r="N222" i="31" s="1"/>
  <c r="N50" i="31"/>
  <c r="N86" i="31" s="1"/>
  <c r="L54" i="31"/>
  <c r="L90" i="31" s="1"/>
  <c r="P52" i="31"/>
  <c r="P88" i="31" s="1"/>
  <c r="R64" i="31"/>
  <c r="R100" i="31" s="1"/>
  <c r="R71" i="31"/>
  <c r="R107" i="31" s="1"/>
  <c r="P78" i="31"/>
  <c r="P114" i="31" s="1"/>
  <c r="J75" i="31"/>
  <c r="J111" i="31" s="1"/>
  <c r="P68" i="31"/>
  <c r="P104" i="31" s="1"/>
  <c r="J78" i="31"/>
  <c r="J114" i="31" s="1"/>
  <c r="R73" i="31"/>
  <c r="R109" i="31" s="1"/>
  <c r="K53" i="31"/>
  <c r="K89" i="31" s="1"/>
  <c r="L73" i="31"/>
  <c r="L109" i="31" s="1"/>
  <c r="N68" i="31"/>
  <c r="N104" i="31" s="1"/>
  <c r="N60" i="31"/>
  <c r="N96" i="31" s="1"/>
  <c r="N208" i="31" s="1"/>
  <c r="M50" i="31"/>
  <c r="M86" i="31" s="1"/>
  <c r="M198" i="31" s="1"/>
  <c r="N73" i="31"/>
  <c r="N109" i="31" s="1"/>
  <c r="N75" i="31"/>
  <c r="N111" i="31" s="1"/>
  <c r="N223" i="31" s="1"/>
  <c r="K71" i="31"/>
  <c r="K107" i="31" s="1"/>
  <c r="P63" i="31"/>
  <c r="P99" i="31" s="1"/>
  <c r="P211" i="31" s="1"/>
  <c r="N51" i="31"/>
  <c r="N87" i="31" s="1"/>
  <c r="N199"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Q216" i="31" s="1"/>
  <c r="J66" i="31"/>
  <c r="J102" i="31" s="1"/>
  <c r="N63" i="31"/>
  <c r="N99" i="31" s="1"/>
  <c r="Q60" i="31"/>
  <c r="Q96" i="31" s="1"/>
  <c r="J58" i="31"/>
  <c r="J94" i="31" s="1"/>
  <c r="N55" i="31"/>
  <c r="N91" i="31" s="1"/>
  <c r="Q52" i="31"/>
  <c r="Q88" i="31" s="1"/>
  <c r="Q200" i="31" s="1"/>
  <c r="J50" i="31"/>
  <c r="J86" i="31" s="1"/>
  <c r="J198" i="31" s="1"/>
  <c r="N47" i="31"/>
  <c r="N83" i="31" s="1"/>
  <c r="M47" i="31"/>
  <c r="M83" i="31" s="1"/>
  <c r="M49" i="31"/>
  <c r="M85" i="31" s="1"/>
  <c r="M51" i="31"/>
  <c r="M87" i="31" s="1"/>
  <c r="M199" i="31" s="1"/>
  <c r="M53" i="31"/>
  <c r="M89" i="31" s="1"/>
  <c r="M55" i="31"/>
  <c r="M91" i="31" s="1"/>
  <c r="M57" i="31"/>
  <c r="M93" i="31" s="1"/>
  <c r="M205" i="31" s="1"/>
  <c r="M59" i="31"/>
  <c r="M95" i="31" s="1"/>
  <c r="O75" i="31"/>
  <c r="O111" i="31" s="1"/>
  <c r="R72" i="31"/>
  <c r="R108" i="31" s="1"/>
  <c r="R220" i="31" s="1"/>
  <c r="J59" i="31"/>
  <c r="J95" i="31" s="1"/>
  <c r="K77" i="31"/>
  <c r="K113" i="31" s="1"/>
  <c r="Q70" i="31"/>
  <c r="Q106" i="31" s="1"/>
  <c r="Q218" i="31" s="1"/>
  <c r="S57" i="31"/>
  <c r="S93" i="31" s="1"/>
  <c r="M72" i="31"/>
  <c r="M108" i="31" s="1"/>
  <c r="M220" i="31" s="1"/>
  <c r="P61" i="31"/>
  <c r="P97" i="31" s="1"/>
  <c r="P209" i="31" s="1"/>
  <c r="R48" i="31"/>
  <c r="R84" i="31" s="1"/>
  <c r="P62" i="31"/>
  <c r="P98" i="31" s="1"/>
  <c r="K55" i="31"/>
  <c r="K91" i="31" s="1"/>
  <c r="R49" i="31"/>
  <c r="R85" i="31" s="1"/>
  <c r="P47" i="31"/>
  <c r="P83" i="31" s="1"/>
  <c r="M76" i="31"/>
  <c r="M112" i="31" s="1"/>
  <c r="J71" i="31"/>
  <c r="J107" i="31" s="1"/>
  <c r="M68" i="31"/>
  <c r="M104" i="31" s="1"/>
  <c r="M216" i="31" s="1"/>
  <c r="J63" i="31"/>
  <c r="J99" i="31" s="1"/>
  <c r="M60" i="31"/>
  <c r="M96" i="31" s="1"/>
  <c r="J55" i="31"/>
  <c r="J91" i="31" s="1"/>
  <c r="M52" i="31"/>
  <c r="M88" i="31" s="1"/>
  <c r="J47" i="31"/>
  <c r="J83" i="31" s="1"/>
  <c r="S67" i="31"/>
  <c r="S103" i="31" s="1"/>
  <c r="L64" i="31"/>
  <c r="L100" i="31" s="1"/>
  <c r="L212"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83" i="31" s="1"/>
  <c r="M138" i="31"/>
  <c r="M175" i="31" s="1"/>
  <c r="M130" i="31"/>
  <c r="M167" i="31" s="1"/>
  <c r="M122" i="31"/>
  <c r="M159" i="31" s="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M181" i="31" s="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80" i="31" s="1"/>
  <c r="M135" i="31"/>
  <c r="M172" i="31" s="1"/>
  <c r="M127" i="31"/>
  <c r="M164" i="31" s="1"/>
  <c r="M119" i="31"/>
  <c r="M156" i="31" s="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J147" i="31"/>
  <c r="J184" i="31" s="1"/>
  <c r="P142" i="31"/>
  <c r="P179" i="31" s="1"/>
  <c r="R137" i="31"/>
  <c r="R174" i="31" s="1"/>
  <c r="L134" i="31"/>
  <c r="L171" i="31" s="1"/>
  <c r="R125" i="31"/>
  <c r="R162" i="31" s="1"/>
  <c r="J121" i="31"/>
  <c r="J158" i="31" s="1"/>
  <c r="S146" i="31"/>
  <c r="S183" i="31" s="1"/>
  <c r="O142" i="31"/>
  <c r="O179" i="31" s="1"/>
  <c r="M129" i="31"/>
  <c r="M166" i="31" s="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M161" i="31" s="1"/>
  <c r="Q150" i="31"/>
  <c r="Q187" i="31" s="1"/>
  <c r="M136" i="31"/>
  <c r="M173" i="31" s="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N194" i="31" s="1"/>
  <c r="K59" i="31"/>
  <c r="K95" i="31" s="1"/>
  <c r="M62" i="31"/>
  <c r="M98" i="31" s="1"/>
  <c r="M210" i="31" s="1"/>
  <c r="P66" i="31"/>
  <c r="P102" i="31" s="1"/>
  <c r="J73" i="31"/>
  <c r="J109" i="31" s="1"/>
  <c r="R50" i="31"/>
  <c r="R86" i="31" s="1"/>
  <c r="R58" i="31"/>
  <c r="R94" i="31" s="1"/>
  <c r="R206" i="31" s="1"/>
  <c r="L65" i="31"/>
  <c r="L101" i="31" s="1"/>
  <c r="P70" i="31"/>
  <c r="P106" i="31" s="1"/>
  <c r="K49" i="31"/>
  <c r="K85" i="31" s="1"/>
  <c r="R52" i="31"/>
  <c r="R88" i="31" s="1"/>
  <c r="R200" i="31" s="1"/>
  <c r="P56" i="31"/>
  <c r="P92" i="31" s="1"/>
  <c r="P204"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M110" i="31" s="1"/>
  <c r="M222" i="31" s="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Q203" i="31" s="1"/>
  <c r="S50" i="31"/>
  <c r="S86" i="31" s="1"/>
  <c r="S198" i="31" s="1"/>
  <c r="O48" i="31"/>
  <c r="O84" i="31" s="1"/>
  <c r="J49" i="31"/>
  <c r="J85" i="31" s="1"/>
  <c r="L52" i="31"/>
  <c r="L88" i="31" s="1"/>
  <c r="L200" i="31" s="1"/>
  <c r="S55" i="31"/>
  <c r="S91" i="31" s="1"/>
  <c r="S203" i="31" s="1"/>
  <c r="P59" i="31"/>
  <c r="P95" i="31" s="1"/>
  <c r="R69" i="31"/>
  <c r="R105" i="31" s="1"/>
  <c r="R217" i="31" s="1"/>
  <c r="O73" i="31"/>
  <c r="O109" i="31" s="1"/>
  <c r="O221" i="31" s="1"/>
  <c r="L77" i="31"/>
  <c r="L113" i="31" s="1"/>
  <c r="N52" i="31"/>
  <c r="N88" i="31" s="1"/>
  <c r="M66" i="31"/>
  <c r="M102" i="31" s="1"/>
  <c r="P71" i="31"/>
  <c r="P107" i="31" s="1"/>
  <c r="P219"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26" i="31"/>
  <c r="N163" i="31" s="1"/>
  <c r="L133" i="31"/>
  <c r="L170" i="31" s="1"/>
  <c r="L137" i="31"/>
  <c r="L174" i="31" s="1"/>
  <c r="L141" i="31"/>
  <c r="L178" i="31" s="1"/>
  <c r="M123" i="31"/>
  <c r="M160" i="31" s="1"/>
  <c r="M145" i="31"/>
  <c r="M182" i="31" s="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H293" i="73" s="1"/>
  <c r="AN293" i="73"/>
  <c r="M44" i="23"/>
  <c r="M33" i="23"/>
  <c r="M23" i="23"/>
  <c r="K29" i="23"/>
  <c r="J38" i="23"/>
  <c r="L51" i="23"/>
  <c r="L40" i="23"/>
  <c r="L29" i="23"/>
  <c r="K51" i="23"/>
  <c r="K38" i="23"/>
  <c r="J50" i="23"/>
  <c r="J32" i="23"/>
  <c r="AB44" i="53"/>
  <c r="AB45" i="53"/>
  <c r="H169" i="90"/>
  <c r="H174" i="90" s="1"/>
  <c r="A3" i="72"/>
  <c r="A3" i="86"/>
  <c r="A3" i="90"/>
  <c r="A3" i="83"/>
  <c r="A3" i="41"/>
  <c r="A3" i="89"/>
  <c r="C86" i="65"/>
  <c r="G193" i="85" s="1"/>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V113" i="22" l="1"/>
  <c r="U87" i="22"/>
  <c r="U113" i="22"/>
  <c r="N135" i="22"/>
  <c r="Z75" i="22"/>
  <c r="Z77" i="22" s="1"/>
  <c r="M135" i="22"/>
  <c r="M136" i="22" s="1"/>
  <c r="M35" i="41" s="1"/>
  <c r="AH36" i="53"/>
  <c r="AH47" i="53" s="1"/>
  <c r="H78" i="89"/>
  <c r="AH16" i="111"/>
  <c r="AF56" i="80"/>
  <c r="AH92" i="22"/>
  <c r="AH17" i="111" s="1"/>
  <c r="AH30" i="41"/>
  <c r="AJ56" i="80"/>
  <c r="AF92" i="22"/>
  <c r="AF17" i="111" s="1"/>
  <c r="AF36" i="53"/>
  <c r="AF47" i="53" s="1"/>
  <c r="K103" i="22"/>
  <c r="K16" i="111" s="1"/>
  <c r="AJ36" i="53"/>
  <c r="AJ47" i="53" s="1"/>
  <c r="AH37" i="53"/>
  <c r="AH56" i="53" s="1"/>
  <c r="AP37" i="53"/>
  <c r="AP55" i="53" s="1"/>
  <c r="AP57" i="80"/>
  <c r="Y44" i="65"/>
  <c r="Y75" i="22"/>
  <c r="W75" i="22"/>
  <c r="W44" i="65"/>
  <c r="AC64" i="53"/>
  <c r="AC66" i="53"/>
  <c r="AC65" i="53"/>
  <c r="K48" i="65"/>
  <c r="K123" i="22"/>
  <c r="K125" i="22" s="1"/>
  <c r="Z56" i="65"/>
  <c r="Z113" i="22"/>
  <c r="Z114" i="22" s="1"/>
  <c r="R134" i="22"/>
  <c r="W112" i="22"/>
  <c r="Z135" i="22"/>
  <c r="Z136" i="22" s="1"/>
  <c r="Z35" i="41" s="1"/>
  <c r="U65" i="22"/>
  <c r="AK32" i="41"/>
  <c r="Z32" i="41"/>
  <c r="AH32" i="41"/>
  <c r="AK18" i="74"/>
  <c r="AP64" i="53"/>
  <c r="AO259" i="53"/>
  <c r="AO270" i="53"/>
  <c r="AL259" i="53"/>
  <c r="AL281" i="53"/>
  <c r="AL270" i="53"/>
  <c r="U270" i="53"/>
  <c r="U281" i="53"/>
  <c r="M263" i="53"/>
  <c r="M285" i="53"/>
  <c r="AK259" i="53"/>
  <c r="AN270" i="53"/>
  <c r="AN281" i="53"/>
  <c r="AN316" i="53" s="1"/>
  <c r="AN532" i="53" s="1"/>
  <c r="AI276" i="53"/>
  <c r="AI274" i="53"/>
  <c r="Y271" i="53"/>
  <c r="Q274" i="53"/>
  <c r="Q285" i="53"/>
  <c r="Q263" i="53"/>
  <c r="M281" i="53"/>
  <c r="M259" i="53"/>
  <c r="AO285" i="53"/>
  <c r="AO263" i="53"/>
  <c r="AO274" i="53"/>
  <c r="S259" i="53"/>
  <c r="S281" i="53"/>
  <c r="N259" i="53"/>
  <c r="N270" i="53"/>
  <c r="N281" i="53"/>
  <c r="V270" i="53"/>
  <c r="V259" i="53"/>
  <c r="V281" i="53"/>
  <c r="AF270" i="53"/>
  <c r="AF281" i="53"/>
  <c r="AG288" i="53"/>
  <c r="AJ270" i="53"/>
  <c r="Q270" i="53"/>
  <c r="Q259" i="53"/>
  <c r="Q281" i="53"/>
  <c r="AP270" i="53"/>
  <c r="AP259" i="53"/>
  <c r="AP281" i="53"/>
  <c r="AE270" i="53"/>
  <c r="AE281" i="53"/>
  <c r="AF191" i="105"/>
  <c r="AC57" i="82"/>
  <c r="AC191" i="105"/>
  <c r="AC69" i="82" s="1"/>
  <c r="AP58" i="80"/>
  <c r="AP31" i="41"/>
  <c r="AD27" i="111"/>
  <c r="AD33" i="111" s="1"/>
  <c r="AP65" i="53"/>
  <c r="AD18" i="74"/>
  <c r="L173" i="105"/>
  <c r="AC173" i="105"/>
  <c r="L57" i="82"/>
  <c r="AN305" i="53"/>
  <c r="AN521" i="53" s="1"/>
  <c r="AN94" i="80" s="1"/>
  <c r="L184" i="105"/>
  <c r="AC184" i="105"/>
  <c r="L191" i="105"/>
  <c r="L69" i="82" s="1"/>
  <c r="AK28" i="111"/>
  <c r="AK34" i="111" s="1"/>
  <c r="AL190" i="105"/>
  <c r="AH66" i="53"/>
  <c r="AG57" i="80"/>
  <c r="AH64" i="53"/>
  <c r="AD190" i="105"/>
  <c r="AD57" i="82"/>
  <c r="AP92" i="22"/>
  <c r="AP17" i="111" s="1"/>
  <c r="AD32" i="41"/>
  <c r="AG31" i="41"/>
  <c r="AP191" i="105"/>
  <c r="O57" i="82"/>
  <c r="AO29" i="41"/>
  <c r="AH59" i="80"/>
  <c r="AP173" i="105"/>
  <c r="AP184" i="105"/>
  <c r="AG92" i="22"/>
  <c r="AG17" i="111" s="1"/>
  <c r="AM92" i="22"/>
  <c r="AM17" i="111" s="1"/>
  <c r="AJ191" i="105"/>
  <c r="AM36" i="53"/>
  <c r="AM48" i="53" s="1"/>
  <c r="AM75" i="53" s="1"/>
  <c r="AG37" i="53"/>
  <c r="AN190" i="105"/>
  <c r="AG36" i="53"/>
  <c r="AG47" i="53" s="1"/>
  <c r="AG29" i="41"/>
  <c r="AN48" i="53"/>
  <c r="AN75" i="53" s="1"/>
  <c r="AH39" i="53"/>
  <c r="AH72" i="53" s="1"/>
  <c r="AN173" i="105"/>
  <c r="AG18" i="74"/>
  <c r="AN315" i="53"/>
  <c r="AN531" i="53" s="1"/>
  <c r="AN116" i="80" s="1"/>
  <c r="AN47" i="53"/>
  <c r="AN74" i="53" s="1"/>
  <c r="AN28" i="111"/>
  <c r="AN34" i="111" s="1"/>
  <c r="AN307" i="53"/>
  <c r="AN523" i="53" s="1"/>
  <c r="AN97" i="83" s="1"/>
  <c r="AN32" i="41"/>
  <c r="AC56" i="80"/>
  <c r="AC59" i="80" s="1"/>
  <c r="AN71" i="53"/>
  <c r="AN321" i="53"/>
  <c r="AN537" i="53" s="1"/>
  <c r="AN112" i="83" s="1"/>
  <c r="AH46" i="53"/>
  <c r="AN317" i="53"/>
  <c r="AN533" i="53" s="1"/>
  <c r="AN118" i="80" s="1"/>
  <c r="AC36" i="53"/>
  <c r="AC39" i="53" s="1"/>
  <c r="AN72" i="53"/>
  <c r="AF16" i="111"/>
  <c r="AH48" i="53"/>
  <c r="AN309" i="53"/>
  <c r="AN525" i="53" s="1"/>
  <c r="AN99" i="83" s="1"/>
  <c r="AN306" i="53"/>
  <c r="AN522" i="53" s="1"/>
  <c r="AN95" i="80" s="1"/>
  <c r="AH190" i="105"/>
  <c r="AN318" i="53"/>
  <c r="AN534" i="53" s="1"/>
  <c r="AN109" i="83" s="1"/>
  <c r="AN18" i="74"/>
  <c r="AC29" i="41"/>
  <c r="AP29" i="41"/>
  <c r="AC18" i="74"/>
  <c r="AM56" i="80"/>
  <c r="AM59" i="80" s="1"/>
  <c r="O184" i="105"/>
  <c r="O173" i="105"/>
  <c r="AG58" i="80"/>
  <c r="AP36" i="53"/>
  <c r="AO36" i="53"/>
  <c r="AO47" i="53" s="1"/>
  <c r="R184" i="105"/>
  <c r="AC16" i="111"/>
  <c r="O190" i="105"/>
  <c r="O68" i="82" s="1"/>
  <c r="Q173" i="105"/>
  <c r="AF32" i="41"/>
  <c r="AN184" i="105"/>
  <c r="Q184" i="105"/>
  <c r="AE56" i="80"/>
  <c r="AK38" i="53"/>
  <c r="AK65" i="53" s="1"/>
  <c r="AG64" i="53"/>
  <c r="AK58" i="80"/>
  <c r="AM16" i="111"/>
  <c r="AM27" i="111" s="1"/>
  <c r="AM33" i="111" s="1"/>
  <c r="AG65" i="53"/>
  <c r="AP16" i="111"/>
  <c r="W173" i="105"/>
  <c r="AJ16" i="111"/>
  <c r="AJ18" i="74"/>
  <c r="AJ173" i="105"/>
  <c r="AF173" i="105"/>
  <c r="AP32" i="41"/>
  <c r="AL37" i="53"/>
  <c r="AL56" i="53" s="1"/>
  <c r="AE47" i="53"/>
  <c r="AE48" i="53"/>
  <c r="AO30" i="41"/>
  <c r="AL57" i="80"/>
  <c r="AE29" i="41"/>
  <c r="R173" i="105"/>
  <c r="AO32" i="41"/>
  <c r="AO92" i="22"/>
  <c r="AO17" i="111" s="1"/>
  <c r="AM286" i="53"/>
  <c r="AN269" i="53"/>
  <c r="AN304" i="53" s="1"/>
  <c r="AN520" i="53" s="1"/>
  <c r="AN93" i="83" s="1"/>
  <c r="J263" i="53"/>
  <c r="J285" i="53"/>
  <c r="P284" i="53"/>
  <c r="T275" i="53"/>
  <c r="T264" i="53"/>
  <c r="AM272" i="53"/>
  <c r="K287" i="53"/>
  <c r="AI277" i="53"/>
  <c r="K276" i="53"/>
  <c r="V284" i="53"/>
  <c r="V273" i="53"/>
  <c r="V262" i="53"/>
  <c r="AL284" i="53"/>
  <c r="AL262" i="53"/>
  <c r="AL273" i="53"/>
  <c r="AL285" i="53"/>
  <c r="AL274" i="53"/>
  <c r="AL263" i="53"/>
  <c r="Q273" i="53"/>
  <c r="Q262" i="53"/>
  <c r="AA271" i="53"/>
  <c r="AA282" i="53"/>
  <c r="Q275" i="53"/>
  <c r="Q264" i="53"/>
  <c r="L263" i="53"/>
  <c r="L274" i="53"/>
  <c r="L285" i="53"/>
  <c r="L273" i="53"/>
  <c r="L262" i="53"/>
  <c r="V263" i="53"/>
  <c r="V274" i="53"/>
  <c r="V285" i="53"/>
  <c r="W284" i="53"/>
  <c r="W273" i="53"/>
  <c r="W262" i="53"/>
  <c r="Q284" i="53"/>
  <c r="AG285" i="53"/>
  <c r="AB271" i="53"/>
  <c r="T263" i="53"/>
  <c r="T274" i="53"/>
  <c r="O262" i="53"/>
  <c r="AM269" i="53"/>
  <c r="AE277" i="53"/>
  <c r="AN285" i="53"/>
  <c r="AN320" i="53" s="1"/>
  <c r="AN536" i="53" s="1"/>
  <c r="AN121" i="80" s="1"/>
  <c r="W285" i="53"/>
  <c r="W274" i="53"/>
  <c r="W263" i="53"/>
  <c r="R263" i="53"/>
  <c r="R274" i="53"/>
  <c r="N262" i="53"/>
  <c r="N284" i="53"/>
  <c r="N273" i="53"/>
  <c r="O273" i="53"/>
  <c r="Y242" i="53"/>
  <c r="X242" i="53"/>
  <c r="AA242" i="53"/>
  <c r="Z242" i="53"/>
  <c r="AB242" i="53"/>
  <c r="K275" i="53"/>
  <c r="K264" i="53"/>
  <c r="Z222" i="53"/>
  <c r="AB222" i="53"/>
  <c r="AB283" i="53" s="1"/>
  <c r="Y222" i="53"/>
  <c r="X222" i="53"/>
  <c r="X272" i="53" s="1"/>
  <c r="AA222" i="53"/>
  <c r="AE106" i="105"/>
  <c r="AE181" i="105"/>
  <c r="AO16" i="111"/>
  <c r="AA102" i="22"/>
  <c r="Z37" i="53"/>
  <c r="Z30" i="41"/>
  <c r="Z77" i="41" s="1"/>
  <c r="BG97" i="41" s="1"/>
  <c r="Z57" i="80"/>
  <c r="AM181" i="105"/>
  <c r="AM106" i="105"/>
  <c r="M113" i="22"/>
  <c r="M114" i="22" s="1"/>
  <c r="AO106" i="105"/>
  <c r="AO181" i="105"/>
  <c r="AI107" i="105"/>
  <c r="AI182" i="105"/>
  <c r="AI18" i="74"/>
  <c r="K52" i="65"/>
  <c r="K65" i="22"/>
  <c r="K66" i="22" s="1"/>
  <c r="AE189" i="80"/>
  <c r="AE191" i="80" s="1"/>
  <c r="AE192" i="80" s="1"/>
  <c r="AE34" i="41"/>
  <c r="K112" i="22"/>
  <c r="K114" i="22" s="1"/>
  <c r="Y112" i="22"/>
  <c r="N113" i="22"/>
  <c r="AI32" i="41"/>
  <c r="M65" i="22"/>
  <c r="M66" i="22" s="1"/>
  <c r="AJ189" i="80"/>
  <c r="AJ34" i="41"/>
  <c r="AO188" i="80"/>
  <c r="AO33" i="41"/>
  <c r="K76" i="22"/>
  <c r="K77" i="22" s="1"/>
  <c r="K241" i="83" s="1"/>
  <c r="N87" i="22"/>
  <c r="AE96" i="105"/>
  <c r="AE170" i="105"/>
  <c r="AO107" i="105"/>
  <c r="AO182" i="105"/>
  <c r="K58" i="65"/>
  <c r="K135" i="22"/>
  <c r="Z92" i="22"/>
  <c r="Z17" i="111" s="1"/>
  <c r="Z29" i="111" s="1"/>
  <c r="Z33" i="111" s="1"/>
  <c r="V173" i="105"/>
  <c r="AG16" i="111"/>
  <c r="AG28" i="111" s="1"/>
  <c r="AG34" i="111" s="1"/>
  <c r="AP57" i="53"/>
  <c r="AO57" i="80"/>
  <c r="AJ184" i="105"/>
  <c r="AF184" i="105"/>
  <c r="AK57" i="53"/>
  <c r="AK56" i="53"/>
  <c r="AK55" i="53"/>
  <c r="AO57" i="53"/>
  <c r="AO56" i="53"/>
  <c r="AO55" i="53"/>
  <c r="AO38" i="53"/>
  <c r="AO65" i="53" s="1"/>
  <c r="AM32" i="41"/>
  <c r="AO58" i="80"/>
  <c r="AI56" i="80"/>
  <c r="AI59" i="80" s="1"/>
  <c r="AI36" i="53"/>
  <c r="AI48" i="53" s="1"/>
  <c r="AI29" i="41"/>
  <c r="AI28" i="111"/>
  <c r="AI34" i="111" s="1"/>
  <c r="AI27" i="111"/>
  <c r="AI33" i="111" s="1"/>
  <c r="AK36" i="53"/>
  <c r="AK29" i="41"/>
  <c r="AK56" i="80"/>
  <c r="AO31" i="41"/>
  <c r="AL29" i="41"/>
  <c r="AL56" i="80"/>
  <c r="AL36" i="53"/>
  <c r="AE16" i="111"/>
  <c r="AE18" i="74"/>
  <c r="AE32" i="41"/>
  <c r="AI66" i="53"/>
  <c r="AI65" i="53"/>
  <c r="AI64" i="53"/>
  <c r="K189" i="80"/>
  <c r="K34" i="41"/>
  <c r="AM33" i="41"/>
  <c r="AM188" i="80"/>
  <c r="AK33" i="41"/>
  <c r="AK188" i="80"/>
  <c r="AK191" i="80" s="1"/>
  <c r="AK192" i="80" s="1"/>
  <c r="AM189" i="80"/>
  <c r="AM34" i="41"/>
  <c r="Z58" i="80"/>
  <c r="Z38" i="53"/>
  <c r="Z31" i="41"/>
  <c r="Z78" i="41" s="1"/>
  <c r="CN97" i="41" s="1"/>
  <c r="AL18" i="74"/>
  <c r="AL32" i="41"/>
  <c r="AL16" i="111"/>
  <c r="AL92" i="22"/>
  <c r="AL17" i="111" s="1"/>
  <c r="AL38" i="53"/>
  <c r="AL31" i="41"/>
  <c r="AL58" i="80"/>
  <c r="AK92" i="22"/>
  <c r="AK17" i="111" s="1"/>
  <c r="AH33" i="41"/>
  <c r="AH188" i="80"/>
  <c r="AH191" i="80" s="1"/>
  <c r="AH192" i="80" s="1"/>
  <c r="AF38" i="53"/>
  <c r="AF31" i="41"/>
  <c r="AF58" i="80"/>
  <c r="AJ64" i="53"/>
  <c r="AJ66" i="53"/>
  <c r="AJ65" i="53"/>
  <c r="AD58" i="80"/>
  <c r="AD38" i="53"/>
  <c r="AD31" i="41"/>
  <c r="AN34" i="41"/>
  <c r="AN189" i="80"/>
  <c r="AN191" i="80" s="1"/>
  <c r="AN192" i="80" s="1"/>
  <c r="AF189" i="80"/>
  <c r="AF191" i="80" s="1"/>
  <c r="AF192" i="80" s="1"/>
  <c r="AF34" i="41"/>
  <c r="Z36" i="53"/>
  <c r="Z56" i="80"/>
  <c r="Z59" i="80" s="1"/>
  <c r="Z200" i="80" s="1"/>
  <c r="Z20" i="74" s="1"/>
  <c r="AJ30" i="41"/>
  <c r="AJ57" i="80"/>
  <c r="AJ59" i="80" s="1"/>
  <c r="AJ37" i="53"/>
  <c r="AJ92" i="22"/>
  <c r="AJ17" i="111" s="1"/>
  <c r="J35" i="55"/>
  <c r="A4" i="87"/>
  <c r="M200" i="31"/>
  <c r="L218" i="31"/>
  <c r="J199" i="31"/>
  <c r="N224" i="31"/>
  <c r="L217" i="31"/>
  <c r="M214" i="31"/>
  <c r="M196" i="31"/>
  <c r="M226" i="31"/>
  <c r="M203" i="31"/>
  <c r="M213" i="31"/>
  <c r="N221" i="31"/>
  <c r="N197" i="31"/>
  <c r="J224" i="31"/>
  <c r="X24" i="80"/>
  <c r="X113" i="71"/>
  <c r="X95" i="73"/>
  <c r="X82" i="72"/>
  <c r="O129" i="81"/>
  <c r="O55" i="81"/>
  <c r="O56" i="81" s="1"/>
  <c r="O114" i="81" s="1"/>
  <c r="AD263" i="53"/>
  <c r="AD261" i="53"/>
  <c r="AD264" i="53"/>
  <c r="AD260" i="53"/>
  <c r="AD258" i="53"/>
  <c r="AD259" i="53"/>
  <c r="R55" i="81"/>
  <c r="R56" i="81" s="1"/>
  <c r="R114" i="81" s="1"/>
  <c r="R129" i="81"/>
  <c r="H40" i="72"/>
  <c r="H42" i="72"/>
  <c r="H36" i="72"/>
  <c r="H38" i="72"/>
  <c r="H43" i="72"/>
  <c r="H39" i="72"/>
  <c r="H37" i="72"/>
  <c r="H35" i="72"/>
  <c r="H44" i="72"/>
  <c r="H41" i="72"/>
  <c r="H51" i="83"/>
  <c r="H52" i="83"/>
  <c r="H46" i="83"/>
  <c r="H47" i="83"/>
  <c r="H43" i="83"/>
  <c r="H49" i="83"/>
  <c r="H48" i="83"/>
  <c r="H45" i="83"/>
  <c r="H50" i="83"/>
  <c r="H44" i="83"/>
  <c r="A4" i="86"/>
  <c r="J36" i="55"/>
  <c r="M208" i="31"/>
  <c r="L208" i="31"/>
  <c r="A4" i="90"/>
  <c r="J34" i="55"/>
  <c r="M221" i="31"/>
  <c r="M201" i="31"/>
  <c r="L201" i="31"/>
  <c r="M223" i="31"/>
  <c r="L223" i="31"/>
  <c r="M197" i="31"/>
  <c r="Q213" i="31"/>
  <c r="R213" i="31"/>
  <c r="J223" i="31"/>
  <c r="Z274" i="53"/>
  <c r="Z285" i="53"/>
  <c r="Y49" i="65"/>
  <c r="Y134" i="22"/>
  <c r="U288" i="53"/>
  <c r="U266" i="53"/>
  <c r="U277" i="53"/>
  <c r="AL277" i="53"/>
  <c r="AL288" i="53"/>
  <c r="AL266" i="53"/>
  <c r="AE260" i="53"/>
  <c r="AE262" i="53"/>
  <c r="AE266" i="53"/>
  <c r="AE261" i="53"/>
  <c r="AE263" i="53"/>
  <c r="AE265" i="53"/>
  <c r="AE258" i="53"/>
  <c r="AE264" i="53"/>
  <c r="AE259" i="53"/>
  <c r="AE46" i="53"/>
  <c r="AD50" i="105"/>
  <c r="AD87" i="105" s="1"/>
  <c r="AD112" i="65"/>
  <c r="AD68" i="105" s="1"/>
  <c r="AD107"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J205"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308" i="53" s="1"/>
  <c r="AN524" i="53" s="1"/>
  <c r="AN284" i="53"/>
  <c r="AN319" i="53" s="1"/>
  <c r="AN535" i="53" s="1"/>
  <c r="AH262" i="53"/>
  <c r="AH273" i="53"/>
  <c r="AH284" i="53"/>
  <c r="Y280" i="53"/>
  <c r="Y269" i="53"/>
  <c r="Y258"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K49" i="65"/>
  <c r="K134" i="22"/>
  <c r="K136" i="22" s="1"/>
  <c r="K35" i="41" s="1"/>
  <c r="M204" i="31"/>
  <c r="R44" i="65"/>
  <c r="R75" i="22"/>
  <c r="AB285" i="53"/>
  <c r="AB274" i="53"/>
  <c r="L85" i="22"/>
  <c r="L100" i="22"/>
  <c r="L111" i="22"/>
  <c r="L63" i="22"/>
  <c r="L133" i="22"/>
  <c r="L74" i="22"/>
  <c r="L122" i="22"/>
  <c r="AN288" i="53"/>
  <c r="AN323" i="53" s="1"/>
  <c r="AN539" i="53" s="1"/>
  <c r="AN277" i="53"/>
  <c r="AN312" i="53" s="1"/>
  <c r="AN528" i="53" s="1"/>
  <c r="AG277" i="53"/>
  <c r="AG266" i="53"/>
  <c r="O277" i="53"/>
  <c r="O288" i="53"/>
  <c r="O266" i="53"/>
  <c r="AB58" i="65"/>
  <c r="AB135" i="22"/>
  <c r="AM284" i="53"/>
  <c r="AN275" i="53"/>
  <c r="AN310" i="53" s="1"/>
  <c r="AN526" i="53" s="1"/>
  <c r="AM261" i="53"/>
  <c r="AM260" i="53"/>
  <c r="AM265" i="53"/>
  <c r="AM266" i="53"/>
  <c r="AM258" i="53"/>
  <c r="AM259" i="53"/>
  <c r="AM264" i="53"/>
  <c r="AM263" i="53"/>
  <c r="AM262" i="53"/>
  <c r="AP34" i="41"/>
  <c r="AP189" i="80"/>
  <c r="AP191" i="80" s="1"/>
  <c r="AP192" i="80" s="1"/>
  <c r="AN96" i="83"/>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W43" i="65"/>
  <c r="W64" i="22"/>
  <c r="X274" i="53"/>
  <c r="X263" i="53"/>
  <c r="AF288" i="53"/>
  <c r="AF277" i="53"/>
  <c r="AF266" i="53"/>
  <c r="AB52" i="65"/>
  <c r="AB65" i="22"/>
  <c r="AJ263" i="53"/>
  <c r="AJ260" i="53"/>
  <c r="AJ262" i="53"/>
  <c r="AJ261" i="53"/>
  <c r="AJ266" i="53"/>
  <c r="AJ259" i="53"/>
  <c r="AJ264" i="53"/>
  <c r="AJ258" i="53"/>
  <c r="AJ265" i="53"/>
  <c r="AC261" i="53"/>
  <c r="AC260" i="53"/>
  <c r="AC266" i="53"/>
  <c r="AC264" i="53"/>
  <c r="AC258" i="53"/>
  <c r="AC263" i="53"/>
  <c r="AC262" i="53"/>
  <c r="AC259" i="53"/>
  <c r="AC265" i="53"/>
  <c r="M33" i="41"/>
  <c r="M188" i="80"/>
  <c r="Z263" i="53"/>
  <c r="AG50" i="105"/>
  <c r="AG87" i="105" s="1"/>
  <c r="AG112" i="65"/>
  <c r="AG68" i="105" s="1"/>
  <c r="AG103" i="65"/>
  <c r="AG59" i="105" s="1"/>
  <c r="AK111" i="65"/>
  <c r="AK67"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P222" i="31"/>
  <c r="Q222" i="31"/>
  <c r="O222" i="31"/>
  <c r="N200" i="31"/>
  <c r="N196" i="31"/>
  <c r="O196" i="31"/>
  <c r="J218" i="31"/>
  <c r="K218" i="31"/>
  <c r="Q220" i="31"/>
  <c r="K197" i="31"/>
  <c r="K207" i="31"/>
  <c r="Q215" i="31"/>
  <c r="P215" i="31"/>
  <c r="S215" i="31"/>
  <c r="R215" i="31"/>
  <c r="L224" i="31"/>
  <c r="M224" i="31"/>
  <c r="R205" i="31"/>
  <c r="P205" i="31"/>
  <c r="S205" i="31"/>
  <c r="N203" i="31"/>
  <c r="L222" i="31"/>
  <c r="N216" i="31"/>
  <c r="Q219" i="31"/>
  <c r="R219" i="31"/>
  <c r="J217" i="31"/>
  <c r="K217" i="31"/>
  <c r="L220" i="31"/>
  <c r="K199" i="31"/>
  <c r="L199" i="31"/>
  <c r="N225" i="31"/>
  <c r="O225" i="31"/>
  <c r="L195" i="31"/>
  <c r="J210" i="31"/>
  <c r="K198" i="31"/>
  <c r="L219" i="31"/>
  <c r="L205"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M77" i="22" s="1"/>
  <c r="Y285" i="53"/>
  <c r="Y274" i="53"/>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F285" i="53"/>
  <c r="AI173" i="105"/>
  <c r="V87" i="22"/>
  <c r="K87" i="22"/>
  <c r="AD92" i="22"/>
  <c r="AD17" i="111" s="1"/>
  <c r="AD36" i="53"/>
  <c r="AD29" i="41"/>
  <c r="AD56" i="80"/>
  <c r="AL173" i="105"/>
  <c r="V135" i="22"/>
  <c r="AO189" i="80"/>
  <c r="AO191" i="80" s="1"/>
  <c r="AO192" i="80" s="1"/>
  <c r="AO34" i="41"/>
  <c r="AI56" i="53"/>
  <c r="AI55" i="53"/>
  <c r="AI57" i="53"/>
  <c r="AH27" i="111"/>
  <c r="AH33" i="111" s="1"/>
  <c r="AH28" i="111"/>
  <c r="AH34" i="111" s="1"/>
  <c r="AC50" i="105"/>
  <c r="AC87" i="105" s="1"/>
  <c r="AC112" i="65"/>
  <c r="AC68" i="105" s="1"/>
  <c r="AC107" i="105" s="1"/>
  <c r="AC103" i="65"/>
  <c r="AC59" i="105" s="1"/>
  <c r="AC97" i="105" s="1"/>
  <c r="L96" i="23"/>
  <c r="P96" i="23"/>
  <c r="N96" i="23"/>
  <c r="S96" i="23"/>
  <c r="O96" i="23"/>
  <c r="R96" i="23"/>
  <c r="M96" i="23"/>
  <c r="Q96" i="23"/>
  <c r="Q202" i="31"/>
  <c r="P202" i="31"/>
  <c r="S225" i="31"/>
  <c r="R225" i="31"/>
  <c r="P225" i="31"/>
  <c r="K216" i="31"/>
  <c r="J216"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Y64" i="22"/>
  <c r="W133" i="22"/>
  <c r="W122" i="22"/>
  <c r="W85" i="22"/>
  <c r="W74" i="22"/>
  <c r="W111" i="22"/>
  <c r="W63" i="22"/>
  <c r="W100" i="22"/>
  <c r="AD266" i="53"/>
  <c r="AD277" i="53"/>
  <c r="AD288" i="53"/>
  <c r="AC288" i="53"/>
  <c r="AC277" i="53"/>
  <c r="M45" i="65"/>
  <c r="M86" i="22"/>
  <c r="M88" i="22" s="1"/>
  <c r="AB258" i="53"/>
  <c r="AB261" i="53"/>
  <c r="AB266" i="53"/>
  <c r="AB260" i="53"/>
  <c r="AB259" i="53"/>
  <c r="AB264"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K215" i="31"/>
  <c r="J215" i="31"/>
  <c r="L215" i="31"/>
  <c r="L225" i="31"/>
  <c r="J220" i="31"/>
  <c r="K220" i="31"/>
  <c r="Q211" i="31"/>
  <c r="R211" i="31"/>
  <c r="O218" i="31"/>
  <c r="P218" i="31"/>
  <c r="M194" i="31"/>
  <c r="O194" i="31"/>
  <c r="J195" i="31"/>
  <c r="P195" i="31"/>
  <c r="J206" i="31"/>
  <c r="O195" i="31"/>
  <c r="K221" i="31"/>
  <c r="L221" i="31"/>
  <c r="Q212" i="31"/>
  <c r="R212" i="31"/>
  <c r="O224" i="31"/>
  <c r="P224" i="31"/>
  <c r="P217" i="31"/>
  <c r="O217" i="31"/>
  <c r="N209" i="31"/>
  <c r="O209" i="31"/>
  <c r="J196" i="31"/>
  <c r="K200"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D184" i="105"/>
  <c r="AL184" i="105"/>
  <c r="M102" i="22"/>
  <c r="M103" i="22" s="1"/>
  <c r="U124" i="22"/>
  <c r="AA281" i="53"/>
  <c r="R21" i="31"/>
  <c r="R23" i="31" s="1"/>
  <c r="S20" i="31"/>
  <c r="S21" i="31" s="1"/>
  <c r="S23" i="31" s="1"/>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AJ188" i="80"/>
  <c r="AJ191" i="80" s="1"/>
  <c r="AJ192" i="80" s="1"/>
  <c r="AJ33" i="41"/>
  <c r="L76" i="23"/>
  <c r="S76" i="23"/>
  <c r="Q76" i="23"/>
  <c r="P76" i="23"/>
  <c r="N76" i="23"/>
  <c r="O76" i="23"/>
  <c r="R76" i="23"/>
  <c r="M76" i="23"/>
  <c r="L85" i="23"/>
  <c r="S85" i="23"/>
  <c r="Q85" i="23"/>
  <c r="P85" i="23"/>
  <c r="O85" i="23"/>
  <c r="R85" i="23"/>
  <c r="M85" i="23"/>
  <c r="N85" i="23"/>
  <c r="J212" i="31"/>
  <c r="Q194" i="31"/>
  <c r="P194" i="31"/>
  <c r="Q197" i="31"/>
  <c r="R197" i="31"/>
  <c r="K225" i="31"/>
  <c r="J225" i="31"/>
  <c r="Q208" i="31"/>
  <c r="O208" i="31"/>
  <c r="P208" i="31"/>
  <c r="L198" i="31"/>
  <c r="K201" i="31"/>
  <c r="K209" i="31"/>
  <c r="J209" i="31"/>
  <c r="J201" i="31"/>
  <c r="N204" i="31"/>
  <c r="O204" i="31"/>
  <c r="K196" i="31"/>
  <c r="L196"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K212" i="31"/>
  <c r="AC276" i="53"/>
  <c r="AC287" i="53"/>
  <c r="AF287" i="53"/>
  <c r="AF276" i="53"/>
  <c r="AN276" i="53"/>
  <c r="AN311" i="53" s="1"/>
  <c r="AN527" i="53" s="1"/>
  <c r="AN287" i="53"/>
  <c r="AN322" i="53" s="1"/>
  <c r="AN538" i="53" s="1"/>
  <c r="J84" i="22"/>
  <c r="J62" i="22"/>
  <c r="J73" i="22"/>
  <c r="J121" i="22"/>
  <c r="J132" i="22"/>
  <c r="J99" i="22"/>
  <c r="J110" i="22"/>
  <c r="Q62" i="22"/>
  <c r="Q110" i="22"/>
  <c r="Q132" i="22"/>
  <c r="Q84" i="22"/>
  <c r="Q99" i="22"/>
  <c r="Q73" i="22"/>
  <c r="Q121" i="22"/>
  <c r="K195" i="31"/>
  <c r="M209" i="31"/>
  <c r="AA58" i="65"/>
  <c r="AA135" i="22"/>
  <c r="Y63" i="22"/>
  <c r="Y74" i="22"/>
  <c r="Y133" i="22"/>
  <c r="Y85" i="22"/>
  <c r="Y100" i="22"/>
  <c r="Y122" i="22"/>
  <c r="Y111" i="22"/>
  <c r="Q288" i="53"/>
  <c r="Q277" i="53"/>
  <c r="Q266" i="53"/>
  <c r="T277" i="53"/>
  <c r="T266" i="53"/>
  <c r="T288" i="53"/>
  <c r="R288" i="53"/>
  <c r="R277" i="53"/>
  <c r="R266" i="53"/>
  <c r="L288" i="53"/>
  <c r="L277" i="53"/>
  <c r="L266" i="53"/>
  <c r="V57" i="65"/>
  <c r="V124" i="22"/>
  <c r="M202" i="31"/>
  <c r="AH173" i="105"/>
  <c r="K204" i="31"/>
  <c r="M217" i="31"/>
  <c r="AB102" i="22"/>
  <c r="AB263" i="53"/>
  <c r="X113" i="22"/>
  <c r="AA270" i="53"/>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08" i="31"/>
  <c r="K224" i="31"/>
  <c r="H224" i="31" s="1"/>
  <c r="L204" i="31"/>
  <c r="Q201" i="31"/>
  <c r="P201" i="31"/>
  <c r="O201" i="31"/>
  <c r="J203" i="31"/>
  <c r="K203" i="31"/>
  <c r="J207" i="31"/>
  <c r="N211" i="31"/>
  <c r="O203" i="31"/>
  <c r="K219" i="31"/>
  <c r="R221" i="31"/>
  <c r="P221" i="31"/>
  <c r="K202" i="31"/>
  <c r="L202" i="31"/>
  <c r="J202" i="31"/>
  <c r="J194"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Y272" i="53"/>
  <c r="Y261" i="53"/>
  <c r="Y283" i="53"/>
  <c r="Q55" i="81"/>
  <c r="Q56" i="81" s="1"/>
  <c r="Q114" i="81" s="1"/>
  <c r="Q129" i="81"/>
  <c r="Q205" i="31"/>
  <c r="L276" i="53"/>
  <c r="L265" i="53"/>
  <c r="AI287" i="53"/>
  <c r="R287" i="53"/>
  <c r="R265" i="53"/>
  <c r="R276" i="53"/>
  <c r="P121" i="22"/>
  <c r="P110" i="22"/>
  <c r="P73" i="22"/>
  <c r="P62" i="22"/>
  <c r="P84" i="22"/>
  <c r="P132" i="22"/>
  <c r="P99" i="22"/>
  <c r="L79" i="23"/>
  <c r="AA52" i="65"/>
  <c r="AA65" i="22"/>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J204" i="31"/>
  <c r="M219" i="31"/>
  <c r="V102" i="22"/>
  <c r="S504" i="53"/>
  <c r="S78" i="83" s="1"/>
  <c r="S118" i="53"/>
  <c r="AE57" i="80"/>
  <c r="AE37" i="53"/>
  <c r="AE92" i="22"/>
  <c r="AE17" i="111" s="1"/>
  <c r="AE30" i="41"/>
  <c r="N76" i="22"/>
  <c r="U135" i="22"/>
  <c r="R101" i="22"/>
  <c r="X261" i="53"/>
  <c r="Y270" i="53"/>
  <c r="AC148" i="41"/>
  <c r="AC49" i="41"/>
  <c r="AK50" i="105"/>
  <c r="AK87" i="105" s="1"/>
  <c r="AK112" i="65"/>
  <c r="AK68"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X270" i="53"/>
  <c r="X259" i="53"/>
  <c r="AE276" i="53"/>
  <c r="AE287" i="53"/>
  <c r="AA62" i="22"/>
  <c r="AA73" i="22"/>
  <c r="AA110" i="22"/>
  <c r="AA84" i="22"/>
  <c r="AA132" i="22"/>
  <c r="AA99" i="22"/>
  <c r="AA121" i="22"/>
  <c r="K269" i="53"/>
  <c r="K33" i="41"/>
  <c r="K188" i="80"/>
  <c r="K191" i="80" s="1"/>
  <c r="K192" i="80" s="1"/>
  <c r="L82" i="23"/>
  <c r="S82" i="23"/>
  <c r="O82" i="23"/>
  <c r="R82" i="23"/>
  <c r="M82" i="23"/>
  <c r="Q82" i="23"/>
  <c r="P82" i="23"/>
  <c r="N82" i="23"/>
  <c r="L89" i="23"/>
  <c r="Q89" i="23"/>
  <c r="P89" i="23"/>
  <c r="O89" i="23"/>
  <c r="R89" i="23"/>
  <c r="M89" i="23"/>
  <c r="N89" i="23"/>
  <c r="S89" i="23"/>
  <c r="K222" i="31"/>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M195" i="31"/>
  <c r="J214" i="31"/>
  <c r="H214" i="31" s="1"/>
  <c r="L206" i="31"/>
  <c r="J226" i="31"/>
  <c r="N198" i="31"/>
  <c r="N217" i="31"/>
  <c r="L216" i="31"/>
  <c r="M212" i="31"/>
  <c r="N212" i="31"/>
  <c r="M211" i="31"/>
  <c r="K194" i="31"/>
  <c r="L194" i="31"/>
  <c r="K205"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K88" i="22" s="1"/>
  <c r="M206" i="31"/>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95" i="53" s="1"/>
  <c r="AN511" i="53" s="1"/>
  <c r="AN262" i="53"/>
  <c r="AN297" i="53" s="1"/>
  <c r="AN513" i="53" s="1"/>
  <c r="AN264" i="53"/>
  <c r="AN299" i="53" s="1"/>
  <c r="AN515" i="53" s="1"/>
  <c r="AN261" i="53"/>
  <c r="AN296" i="53" s="1"/>
  <c r="AN512" i="53" s="1"/>
  <c r="AN258" i="53"/>
  <c r="AN293" i="53" s="1"/>
  <c r="AN509" i="53" s="1"/>
  <c r="AN265" i="53"/>
  <c r="AN300" i="53" s="1"/>
  <c r="AN516" i="53" s="1"/>
  <c r="AN263" i="53"/>
  <c r="AN298" i="53" s="1"/>
  <c r="AN514" i="53" s="1"/>
  <c r="AN266" i="53"/>
  <c r="AN301" i="53" s="1"/>
  <c r="AN517" i="53" s="1"/>
  <c r="AN259" i="53"/>
  <c r="AN294" i="53" s="1"/>
  <c r="AN510" i="53" s="1"/>
  <c r="AN46" i="53"/>
  <c r="AN73" i="53" s="1"/>
  <c r="AD173" i="105"/>
  <c r="AO173" i="105"/>
  <c r="S55" i="81"/>
  <c r="S56" i="81" s="1"/>
  <c r="S114" i="81" s="1"/>
  <c r="S129" i="81"/>
  <c r="H129" i="81" s="1"/>
  <c r="Y281" i="53"/>
  <c r="X285" i="53"/>
  <c r="AM191" i="80" l="1"/>
  <c r="AM192" i="80" s="1"/>
  <c r="AH74" i="53"/>
  <c r="AF59" i="80"/>
  <c r="K32" i="41"/>
  <c r="AP56" i="53"/>
  <c r="AF46" i="53"/>
  <c r="K18" i="74"/>
  <c r="AJ48" i="53"/>
  <c r="AP39" i="53"/>
  <c r="AP72" i="53" s="1"/>
  <c r="AF48" i="53"/>
  <c r="AJ46" i="53"/>
  <c r="AP59" i="80"/>
  <c r="AH57" i="53"/>
  <c r="AH75" i="53" s="1"/>
  <c r="AH55" i="53"/>
  <c r="AH73" i="53" s="1"/>
  <c r="Z33" i="41"/>
  <c r="Z188" i="80"/>
  <c r="Z191" i="80" s="1"/>
  <c r="Z192" i="80" s="1"/>
  <c r="AN96" i="80"/>
  <c r="AH71" i="53"/>
  <c r="AG48" i="53"/>
  <c r="K30" i="41"/>
  <c r="K77" i="41" s="1"/>
  <c r="AR97" i="41" s="1"/>
  <c r="AP47" i="53"/>
  <c r="AP74" i="53" s="1"/>
  <c r="AN107" i="83"/>
  <c r="AN117" i="80"/>
  <c r="AN95" i="83"/>
  <c r="AG59" i="80"/>
  <c r="AK66" i="53"/>
  <c r="AM46" i="53"/>
  <c r="AM73" i="53" s="1"/>
  <c r="AK59" i="80"/>
  <c r="AN94" i="83"/>
  <c r="AN111" i="83"/>
  <c r="AN93" i="80"/>
  <c r="AN105" i="83"/>
  <c r="AG46" i="53"/>
  <c r="AH70" i="53"/>
  <c r="AH88" i="53" s="1"/>
  <c r="AH90" i="53" s="1"/>
  <c r="AH120" i="53" s="1"/>
  <c r="AH122" i="53" s="1"/>
  <c r="AH320" i="53" s="1"/>
  <c r="AH536" i="53" s="1"/>
  <c r="AH121" i="80" s="1"/>
  <c r="AM47" i="53"/>
  <c r="AM74" i="53" s="1"/>
  <c r="AO48" i="53"/>
  <c r="AN106" i="83"/>
  <c r="AM39" i="53"/>
  <c r="AO46" i="53"/>
  <c r="AG56" i="53"/>
  <c r="AG74" i="53" s="1"/>
  <c r="AG55" i="53"/>
  <c r="AG73" i="53" s="1"/>
  <c r="AG57" i="53"/>
  <c r="AN108" i="83"/>
  <c r="AG39" i="53"/>
  <c r="AG71" i="53" s="1"/>
  <c r="AM28" i="111"/>
  <c r="AM34" i="111" s="1"/>
  <c r="AN98" i="80"/>
  <c r="AN122" i="80"/>
  <c r="AP70" i="53"/>
  <c r="AP88" i="53" s="1"/>
  <c r="AP90" i="53" s="1"/>
  <c r="AP120" i="53" s="1"/>
  <c r="AP122" i="53" s="1"/>
  <c r="AP295" i="53" s="1"/>
  <c r="AP511" i="53" s="1"/>
  <c r="AC46" i="53"/>
  <c r="AC73" i="53" s="1"/>
  <c r="AP48" i="53"/>
  <c r="AP75" i="53" s="1"/>
  <c r="AC47" i="53"/>
  <c r="AC74" i="53" s="1"/>
  <c r="AI46" i="53"/>
  <c r="AI73" i="53" s="1"/>
  <c r="K37" i="53"/>
  <c r="K55" i="53" s="1"/>
  <c r="AF27" i="111"/>
  <c r="AF33" i="111" s="1"/>
  <c r="AF28" i="111"/>
  <c r="AF34" i="111" s="1"/>
  <c r="AI39" i="53"/>
  <c r="AI72" i="53" s="1"/>
  <c r="AC48" i="53"/>
  <c r="K57" i="80"/>
  <c r="AO39" i="53"/>
  <c r="AO71" i="53" s="1"/>
  <c r="AO64" i="53"/>
  <c r="AN119" i="80"/>
  <c r="AP46" i="53"/>
  <c r="AP73" i="53" s="1"/>
  <c r="AC27" i="111"/>
  <c r="AC33" i="111" s="1"/>
  <c r="AC28" i="111"/>
  <c r="AC34" i="111" s="1"/>
  <c r="AK64" i="53"/>
  <c r="AK39" i="53"/>
  <c r="AL55" i="53"/>
  <c r="AL57" i="53"/>
  <c r="AO74" i="53"/>
  <c r="AO66" i="53"/>
  <c r="AJ27" i="111"/>
  <c r="AJ33" i="111" s="1"/>
  <c r="AJ28" i="111"/>
  <c r="AJ34" i="111" s="1"/>
  <c r="AP27" i="111"/>
  <c r="AP33" i="111" s="1"/>
  <c r="AP28" i="111"/>
  <c r="AP34" i="111" s="1"/>
  <c r="AL59" i="80"/>
  <c r="AO59" i="80"/>
  <c r="AB272" i="53"/>
  <c r="X283" i="53"/>
  <c r="AE97" i="105"/>
  <c r="AE171" i="105"/>
  <c r="K29" i="41"/>
  <c r="K76" i="41" s="1"/>
  <c r="K97" i="41" s="1"/>
  <c r="K240" i="83"/>
  <c r="K267" i="83" s="1"/>
  <c r="K56" i="80"/>
  <c r="K36" i="53"/>
  <c r="Z55" i="53"/>
  <c r="Z56" i="53"/>
  <c r="Z57" i="53"/>
  <c r="K28" i="111"/>
  <c r="K34" i="111" s="1"/>
  <c r="K27" i="111"/>
  <c r="K33" i="111" s="1"/>
  <c r="AG96" i="105"/>
  <c r="AG170" i="105"/>
  <c r="AK106" i="105"/>
  <c r="AK181" i="105"/>
  <c r="AI106" i="105"/>
  <c r="AI181" i="105"/>
  <c r="AO148" i="41"/>
  <c r="AO49" i="41"/>
  <c r="M56" i="80"/>
  <c r="M29" i="41"/>
  <c r="M76" i="41" s="1"/>
  <c r="M97" i="41" s="1"/>
  <c r="M240" i="83"/>
  <c r="M267" i="83" s="1"/>
  <c r="M36" i="53"/>
  <c r="AO27" i="111"/>
  <c r="AO33" i="111" s="1"/>
  <c r="AO28" i="111"/>
  <c r="AO34" i="111" s="1"/>
  <c r="AK107" i="105"/>
  <c r="AK182" i="105"/>
  <c r="AG97" i="105"/>
  <c r="AG171" i="105"/>
  <c r="AE149" i="41"/>
  <c r="AE50" i="41"/>
  <c r="AE107" i="105"/>
  <c r="AE182" i="105"/>
  <c r="AG106" i="105"/>
  <c r="AG181" i="105"/>
  <c r="AG107" i="105"/>
  <c r="AG182" i="105"/>
  <c r="AJ149" i="41"/>
  <c r="AJ50" i="41"/>
  <c r="AG27" i="111"/>
  <c r="AG33" i="111" s="1"/>
  <c r="AI75" i="53"/>
  <c r="AK47" i="53"/>
  <c r="AK74" i="53" s="1"/>
  <c r="AK46" i="53"/>
  <c r="AK48" i="53"/>
  <c r="AI47" i="53"/>
  <c r="AI74" i="53" s="1"/>
  <c r="AL47" i="53"/>
  <c r="AL46" i="53"/>
  <c r="AL48" i="53"/>
  <c r="AD64" i="53"/>
  <c r="AD66" i="53"/>
  <c r="AD65" i="53"/>
  <c r="AF65" i="53"/>
  <c r="AF74" i="53" s="1"/>
  <c r="AF64" i="53"/>
  <c r="AF66" i="53"/>
  <c r="AF39" i="53"/>
  <c r="AK148" i="41"/>
  <c r="AK49" i="41"/>
  <c r="AM50" i="41"/>
  <c r="AM149" i="41"/>
  <c r="AE28" i="111"/>
  <c r="AE34" i="111" s="1"/>
  <c r="AE27" i="111"/>
  <c r="AE33" i="111" s="1"/>
  <c r="AJ55" i="53"/>
  <c r="AJ57" i="53"/>
  <c r="AJ56" i="53"/>
  <c r="AJ74" i="53" s="1"/>
  <c r="AJ39" i="53"/>
  <c r="Z47" i="53"/>
  <c r="Z46" i="53"/>
  <c r="Z39" i="53"/>
  <c r="Z48" i="53"/>
  <c r="AN50" i="41"/>
  <c r="AN149" i="41"/>
  <c r="AH49" i="41"/>
  <c r="AH148" i="41"/>
  <c r="AL64" i="53"/>
  <c r="AL66" i="53"/>
  <c r="AL65" i="53"/>
  <c r="AL39" i="53"/>
  <c r="AM148" i="41"/>
  <c r="AM49" i="41"/>
  <c r="AF73" i="53"/>
  <c r="AF50" i="41"/>
  <c r="AF149" i="41"/>
  <c r="AL27" i="111"/>
  <c r="AL33" i="111" s="1"/>
  <c r="AL28" i="111"/>
  <c r="AL34" i="111" s="1"/>
  <c r="Z65" i="53"/>
  <c r="Z66" i="53"/>
  <c r="Z64" i="53"/>
  <c r="H104" i="23" a="1"/>
  <c r="H104" i="23" s="1"/>
  <c r="A4" i="23" s="1"/>
  <c r="H214" i="80" a="1"/>
  <c r="H222" i="80" s="1"/>
  <c r="H51" i="72" a="1"/>
  <c r="H53" i="72" s="1"/>
  <c r="H20" i="83" a="1"/>
  <c r="H198" i="31"/>
  <c r="H199" i="31"/>
  <c r="H203" i="31"/>
  <c r="J234" i="31"/>
  <c r="Q234" i="31"/>
  <c r="N40" i="80" s="1"/>
  <c r="S234" i="31"/>
  <c r="N42" i="80" s="1"/>
  <c r="M234" i="31"/>
  <c r="N36" i="80" s="1"/>
  <c r="O234" i="31"/>
  <c r="N38" i="80" s="1"/>
  <c r="L234" i="31"/>
  <c r="N35" i="80" s="1"/>
  <c r="K234" i="31"/>
  <c r="N34" i="80" s="1"/>
  <c r="N234" i="31"/>
  <c r="N37" i="80" s="1"/>
  <c r="R234" i="31"/>
  <c r="N41" i="80" s="1"/>
  <c r="P234" i="31"/>
  <c r="N39" i="80" s="1"/>
  <c r="S235" i="31"/>
  <c r="O42" i="80" s="1"/>
  <c r="O235" i="31"/>
  <c r="O38" i="80" s="1"/>
  <c r="Q235" i="31"/>
  <c r="O40" i="80" s="1"/>
  <c r="K235" i="31"/>
  <c r="O34" i="80" s="1"/>
  <c r="M235" i="31"/>
  <c r="O36" i="80" s="1"/>
  <c r="R235" i="31"/>
  <c r="O41" i="80" s="1"/>
  <c r="L235" i="31"/>
  <c r="O35" i="80" s="1"/>
  <c r="P235" i="31"/>
  <c r="O39" i="80" s="1"/>
  <c r="N235" i="31"/>
  <c r="O37" i="80" s="1"/>
  <c r="J235" i="31"/>
  <c r="P53" i="65"/>
  <c r="P76" i="22"/>
  <c r="L44" i="65"/>
  <c r="L75" i="22"/>
  <c r="W54" i="65"/>
  <c r="W87" i="22"/>
  <c r="W88" i="22" s="1"/>
  <c r="T43" i="65"/>
  <c r="T64" i="22"/>
  <c r="AA287" i="53"/>
  <c r="AA276" i="53"/>
  <c r="AA265" i="53"/>
  <c r="L53" i="65"/>
  <c r="L76" i="22"/>
  <c r="U48" i="65"/>
  <c r="U123" i="22"/>
  <c r="U125" i="22" s="1"/>
  <c r="X45" i="65"/>
  <c r="X86" i="22"/>
  <c r="X88" i="22" s="1"/>
  <c r="P296" i="31"/>
  <c r="K296" i="31"/>
  <c r="L296" i="31"/>
  <c r="M296" i="31"/>
  <c r="M260" i="31"/>
  <c r="AN36" i="80" s="1"/>
  <c r="R296" i="31"/>
  <c r="R260" i="31"/>
  <c r="AN41" i="80" s="1"/>
  <c r="O296" i="31"/>
  <c r="S260" i="31"/>
  <c r="AN42" i="80" s="1"/>
  <c r="P260" i="31"/>
  <c r="AN39" i="80" s="1"/>
  <c r="J296" i="31"/>
  <c r="N260" i="31"/>
  <c r="AN37" i="80" s="1"/>
  <c r="S296" i="31"/>
  <c r="L260" i="31"/>
  <c r="AN35" i="80" s="1"/>
  <c r="Q296" i="31"/>
  <c r="K260" i="31"/>
  <c r="AN34" i="80" s="1"/>
  <c r="O260" i="31"/>
  <c r="AN38" i="80" s="1"/>
  <c r="J260" i="31"/>
  <c r="Q260" i="31"/>
  <c r="AN40" i="80" s="1"/>
  <c r="N296" i="31"/>
  <c r="AN78" i="80"/>
  <c r="AN90" i="83"/>
  <c r="O54" i="65"/>
  <c r="O87" i="22"/>
  <c r="O88" i="22" s="1"/>
  <c r="Q58" i="65"/>
  <c r="Q135" i="22"/>
  <c r="Q48" i="65"/>
  <c r="Q123" i="22"/>
  <c r="P58" i="65"/>
  <c r="P135" i="22"/>
  <c r="J87" i="22"/>
  <c r="J54" i="65"/>
  <c r="S43" i="65"/>
  <c r="S64" i="22"/>
  <c r="M125" i="22"/>
  <c r="R54" i="65"/>
  <c r="R87" i="22"/>
  <c r="R88" i="22" s="1"/>
  <c r="AN100" i="83"/>
  <c r="AN99" i="80"/>
  <c r="AN97" i="80"/>
  <c r="AN98" i="83"/>
  <c r="H223" i="31"/>
  <c r="O58" i="65"/>
  <c r="O135" i="22"/>
  <c r="O136" i="22" s="1"/>
  <c r="O35" i="41" s="1"/>
  <c r="AA47" i="65"/>
  <c r="AA112" i="22"/>
  <c r="AA114" i="22" s="1"/>
  <c r="P55" i="65"/>
  <c r="P102" i="22"/>
  <c r="L49" i="65"/>
  <c r="L134" i="22"/>
  <c r="S45" i="65"/>
  <c r="S86" i="22"/>
  <c r="AB47" i="65"/>
  <c r="AB112" i="22"/>
  <c r="AB114" i="22" s="1"/>
  <c r="H216" i="31"/>
  <c r="AO149" i="41"/>
  <c r="AO50" i="41"/>
  <c r="T56" i="65"/>
  <c r="T113" i="22"/>
  <c r="N46" i="65"/>
  <c r="N101" i="22"/>
  <c r="N103" i="22" s="1"/>
  <c r="T49" i="65"/>
  <c r="T134" i="22"/>
  <c r="H197" i="31"/>
  <c r="H53" i="73" a="1"/>
  <c r="L56" i="65"/>
  <c r="L113" i="22"/>
  <c r="U45" i="65"/>
  <c r="U86" i="22"/>
  <c r="U88" i="22" s="1"/>
  <c r="AN71" i="80"/>
  <c r="AN83" i="83"/>
  <c r="O57" i="65"/>
  <c r="O124" i="22"/>
  <c r="O125" i="22" s="1"/>
  <c r="Q54" i="65"/>
  <c r="Q87" i="22"/>
  <c r="V47" i="65"/>
  <c r="V112" i="22"/>
  <c r="V114" i="22" s="1"/>
  <c r="AA49" i="65"/>
  <c r="AA134" i="22"/>
  <c r="AA136" i="22" s="1"/>
  <c r="AA35" i="41" s="1"/>
  <c r="Y58" i="65"/>
  <c r="Y135" i="22"/>
  <c r="Y136" i="22" s="1"/>
  <c r="Y35" i="41" s="1"/>
  <c r="J47" i="65"/>
  <c r="J112" i="22"/>
  <c r="T52" i="65"/>
  <c r="T65" i="22"/>
  <c r="AP149" i="41"/>
  <c r="AP50" i="41"/>
  <c r="AN110" i="83"/>
  <c r="AN120" i="80"/>
  <c r="AA45" i="65"/>
  <c r="AA86" i="22"/>
  <c r="AA88" i="22" s="1"/>
  <c r="Z262" i="53"/>
  <c r="Z284" i="53"/>
  <c r="Z273" i="53"/>
  <c r="Y53" i="65"/>
  <c r="Y76" i="22"/>
  <c r="Y77" i="22" s="1"/>
  <c r="J101" i="22"/>
  <c r="J46" i="65"/>
  <c r="H212" i="31"/>
  <c r="M16" i="111"/>
  <c r="M18" i="74"/>
  <c r="M32" i="41"/>
  <c r="L43" i="65"/>
  <c r="L64" i="22"/>
  <c r="AB44" i="65"/>
  <c r="AB75" i="22"/>
  <c r="AB77" i="22" s="1"/>
  <c r="R58" i="65"/>
  <c r="R135" i="22"/>
  <c r="R136" i="22" s="1"/>
  <c r="R35" i="41" s="1"/>
  <c r="K268" i="83"/>
  <c r="L52" i="65"/>
  <c r="L65" i="22"/>
  <c r="U44" i="65"/>
  <c r="U75" i="22"/>
  <c r="U77" i="22" s="1"/>
  <c r="AN77" i="80"/>
  <c r="AN89" i="83"/>
  <c r="O52" i="65"/>
  <c r="O65" i="22"/>
  <c r="O66" i="22" s="1"/>
  <c r="Q56" i="65"/>
  <c r="Q113" i="22"/>
  <c r="V43" i="65"/>
  <c r="V64" i="22"/>
  <c r="V66" i="22" s="1"/>
  <c r="AA44" i="65"/>
  <c r="AA75" i="22"/>
  <c r="AA77" i="22" s="1"/>
  <c r="X262" i="53"/>
  <c r="X273" i="53"/>
  <c r="X284" i="53"/>
  <c r="S54" i="65"/>
  <c r="S87" i="22"/>
  <c r="P46" i="65"/>
  <c r="P101" i="22"/>
  <c r="Q46" i="65"/>
  <c r="Q101" i="22"/>
  <c r="J48" i="65"/>
  <c r="J123" i="22"/>
  <c r="H201" i="31"/>
  <c r="H225" i="31"/>
  <c r="AN81" i="83"/>
  <c r="AN70" i="80"/>
  <c r="AN82" i="83"/>
  <c r="O55" i="65"/>
  <c r="O102" i="22"/>
  <c r="O103" i="22" s="1"/>
  <c r="V46" i="65"/>
  <c r="V101" i="22"/>
  <c r="V103" i="22" s="1"/>
  <c r="AA43" i="65"/>
  <c r="AA64" i="22"/>
  <c r="AA66" i="22" s="1"/>
  <c r="H204" i="31"/>
  <c r="S53" i="65"/>
  <c r="S76" i="22"/>
  <c r="P49" i="65"/>
  <c r="P134" i="22"/>
  <c r="P136" i="22" s="1"/>
  <c r="P35" i="41" s="1"/>
  <c r="J69" i="83" a="1"/>
  <c r="J107" i="73" a="1"/>
  <c r="J109" i="72" a="1"/>
  <c r="Y56" i="65"/>
  <c r="Y113" i="22"/>
  <c r="Y114" i="22" s="1"/>
  <c r="Q45" i="65"/>
  <c r="Q86" i="22"/>
  <c r="Q88" i="22" s="1"/>
  <c r="J75" i="22"/>
  <c r="J44" i="65"/>
  <c r="H209" i="31"/>
  <c r="AJ148" i="41"/>
  <c r="AJ49" i="41"/>
  <c r="J56" i="65"/>
  <c r="J113" i="22"/>
  <c r="L47" i="65"/>
  <c r="L112" i="22"/>
  <c r="L114" i="22" s="1"/>
  <c r="S44" i="65"/>
  <c r="S75" i="22"/>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X136" i="22" s="1"/>
  <c r="X35" i="41" s="1"/>
  <c r="H200" i="31"/>
  <c r="AN84" i="83"/>
  <c r="AN72" i="80"/>
  <c r="K38" i="53"/>
  <c r="K31" i="41"/>
  <c r="K78" i="41" s="1"/>
  <c r="BY97" i="41" s="1"/>
  <c r="K58" i="80"/>
  <c r="K92" i="22"/>
  <c r="K17" i="111" s="1"/>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H196" i="31"/>
  <c r="T87" i="22"/>
  <c r="T54" i="65"/>
  <c r="T48" i="65"/>
  <c r="T123" i="22"/>
  <c r="L58" i="65"/>
  <c r="L135" i="22"/>
  <c r="Q53" i="65"/>
  <c r="Q76" i="22"/>
  <c r="V45" i="65"/>
  <c r="V86" i="22"/>
  <c r="V88" i="22" s="1"/>
  <c r="S55" i="65"/>
  <c r="S102" i="22"/>
  <c r="H215" i="31"/>
  <c r="AB46" i="65"/>
  <c r="AB101" i="22"/>
  <c r="AB103" i="22" s="1"/>
  <c r="AD46" i="53"/>
  <c r="AD73" i="53" s="1"/>
  <c r="AD48" i="53"/>
  <c r="AD75" i="53" s="1"/>
  <c r="AD47" i="53"/>
  <c r="AD74" i="53" s="1"/>
  <c r="AD39" i="53"/>
  <c r="N43" i="65"/>
  <c r="N64" i="22"/>
  <c r="N66" i="22" s="1"/>
  <c r="T44" i="65"/>
  <c r="T75" i="22"/>
  <c r="X47" i="65"/>
  <c r="X112" i="22"/>
  <c r="X114" i="22" s="1"/>
  <c r="AN73" i="80"/>
  <c r="AN85" i="83"/>
  <c r="Q52" i="65"/>
  <c r="Q65" i="22"/>
  <c r="V49" i="65"/>
  <c r="V134" i="22"/>
  <c r="V136" i="22" s="1"/>
  <c r="V35" i="41" s="1"/>
  <c r="H194" i="31"/>
  <c r="Y57" i="65"/>
  <c r="Y124" i="22"/>
  <c r="Y125" i="22" s="1"/>
  <c r="Q49" i="65"/>
  <c r="Q134" i="22"/>
  <c r="Q136" i="22" s="1"/>
  <c r="Q35" i="41" s="1"/>
  <c r="J64" i="22"/>
  <c r="J43" i="65"/>
  <c r="J52" i="65"/>
  <c r="J65" i="22"/>
  <c r="R55" i="65"/>
  <c r="R102" i="22"/>
  <c r="R103" i="22" s="1"/>
  <c r="L54" i="65"/>
  <c r="L87" i="22"/>
  <c r="U47" i="65"/>
  <c r="U112" i="22"/>
  <c r="U114" i="22" s="1"/>
  <c r="X44" i="65"/>
  <c r="X75" i="22"/>
  <c r="X77" i="22" s="1"/>
  <c r="H205" i="31"/>
  <c r="H211" i="31"/>
  <c r="AN88" i="83"/>
  <c r="AN76" i="80"/>
  <c r="O56" i="65"/>
  <c r="O113" i="22"/>
  <c r="O114" i="22" s="1"/>
  <c r="Q57" i="65"/>
  <c r="Q124" i="22"/>
  <c r="V48" i="65"/>
  <c r="V123" i="22"/>
  <c r="V125" i="22" s="1"/>
  <c r="H226" i="31"/>
  <c r="AA48" i="65"/>
  <c r="AA123" i="22"/>
  <c r="AA125" i="22" s="1"/>
  <c r="AE57" i="53"/>
  <c r="AE75" i="53" s="1"/>
  <c r="AE56" i="53"/>
  <c r="AE74" i="53" s="1"/>
  <c r="AE39" i="53"/>
  <c r="AE55" i="53"/>
  <c r="AE73" i="53" s="1"/>
  <c r="S56" i="65"/>
  <c r="S113" i="22"/>
  <c r="P43" i="65"/>
  <c r="P64" i="22"/>
  <c r="H202" i="31"/>
  <c r="H207" i="31"/>
  <c r="Y55" i="65"/>
  <c r="Y102" i="22"/>
  <c r="Y103" i="22" s="1"/>
  <c r="Q47" i="65"/>
  <c r="Q112" i="22"/>
  <c r="Q114" i="22" s="1"/>
  <c r="J86" i="22"/>
  <c r="J88" i="22" s="1"/>
  <c r="J45" i="65"/>
  <c r="P56" i="65"/>
  <c r="P113" i="22"/>
  <c r="J58" i="65"/>
  <c r="J135" i="22"/>
  <c r="S49" i="65"/>
  <c r="S134" i="22"/>
  <c r="W56" i="65"/>
  <c r="W113" i="22"/>
  <c r="W114" i="22" s="1"/>
  <c r="AB45" i="65"/>
  <c r="AB86" i="22"/>
  <c r="AB88" i="22" s="1"/>
  <c r="T55" i="65"/>
  <c r="T102" i="22"/>
  <c r="N44" i="65"/>
  <c r="N75" i="22"/>
  <c r="N77" i="22" s="1"/>
  <c r="T47" i="65"/>
  <c r="T112" i="22"/>
  <c r="T114" i="22" s="1"/>
  <c r="Y287" i="53"/>
  <c r="Y276" i="53"/>
  <c r="Y265" i="53"/>
  <c r="R57" i="65"/>
  <c r="R124" i="22"/>
  <c r="R125" i="22" s="1"/>
  <c r="AN114" i="83"/>
  <c r="AN124" i="80"/>
  <c r="U49" i="65"/>
  <c r="U134" i="22"/>
  <c r="U136" i="22" s="1"/>
  <c r="U35" i="41" s="1"/>
  <c r="X46" i="65"/>
  <c r="X101" i="22"/>
  <c r="X103" i="22" s="1"/>
  <c r="H213" i="31"/>
  <c r="L239" i="31"/>
  <c r="S35" i="80" s="1"/>
  <c r="R239" i="31"/>
  <c r="S41" i="80" s="1"/>
  <c r="S239" i="31"/>
  <c r="S42" i="80" s="1"/>
  <c r="O239" i="31"/>
  <c r="S38" i="80" s="1"/>
  <c r="Q239" i="31"/>
  <c r="S40" i="80" s="1"/>
  <c r="K239" i="31"/>
  <c r="S34" i="80" s="1"/>
  <c r="P239" i="31"/>
  <c r="S39" i="80" s="1"/>
  <c r="N239" i="31"/>
  <c r="S37" i="80" s="1"/>
  <c r="J239" i="31"/>
  <c r="M239" i="31"/>
  <c r="S36" i="80" s="1"/>
  <c r="AN100" i="80"/>
  <c r="AN101" i="83"/>
  <c r="J124" i="22"/>
  <c r="J57" i="65"/>
  <c r="S46" i="65"/>
  <c r="S101" i="22"/>
  <c r="AB48" i="65"/>
  <c r="AB123" i="22"/>
  <c r="AB125" i="22" s="1"/>
  <c r="AD59" i="80"/>
  <c r="R56" i="65"/>
  <c r="R113" i="22"/>
  <c r="R114" i="22" s="1"/>
  <c r="S52" i="65"/>
  <c r="S65" i="22"/>
  <c r="P48" i="65"/>
  <c r="P123" i="22"/>
  <c r="W57" i="65"/>
  <c r="W124" i="22"/>
  <c r="W125" i="22" s="1"/>
  <c r="N48" i="65"/>
  <c r="N123" i="22"/>
  <c r="N125" i="22" s="1"/>
  <c r="H222" i="31"/>
  <c r="H24" i="83"/>
  <c r="H26" i="83"/>
  <c r="H23" i="83"/>
  <c r="H22" i="83"/>
  <c r="H20" i="83"/>
  <c r="H21" i="83"/>
  <c r="H27" i="83"/>
  <c r="H25" i="83"/>
  <c r="U43" i="65"/>
  <c r="U64" i="22"/>
  <c r="U66" i="22" s="1"/>
  <c r="X48" i="65"/>
  <c r="X123" i="22"/>
  <c r="X125" i="22" s="1"/>
  <c r="AN87" i="83"/>
  <c r="AN75" i="80"/>
  <c r="Y284" i="53"/>
  <c r="Y273" i="53"/>
  <c r="Y262" i="53"/>
  <c r="Y52" i="65"/>
  <c r="Y65" i="22"/>
  <c r="Y66" i="22" s="1"/>
  <c r="Q44" i="65"/>
  <c r="Q75" i="22"/>
  <c r="J49" i="65"/>
  <c r="J134" i="22"/>
  <c r="J136" i="22" s="1"/>
  <c r="J35" i="41" s="1"/>
  <c r="P52" i="65"/>
  <c r="P65" i="22"/>
  <c r="J76" i="22"/>
  <c r="J53" i="65"/>
  <c r="L48" i="65"/>
  <c r="L123" i="22"/>
  <c r="S48" i="65"/>
  <c r="S123" i="22"/>
  <c r="S125" i="22" s="1"/>
  <c r="W58" i="65"/>
  <c r="W135" i="22"/>
  <c r="W136" i="22" s="1"/>
  <c r="W35" i="41" s="1"/>
  <c r="H219" i="31"/>
  <c r="H208" i="31"/>
  <c r="S58" i="65"/>
  <c r="S135" i="22"/>
  <c r="P45" i="65"/>
  <c r="P86" i="22"/>
  <c r="P54" i="65"/>
  <c r="P87" i="22"/>
  <c r="L46" i="65"/>
  <c r="L101" i="22"/>
  <c r="H206" i="31"/>
  <c r="M92" i="22"/>
  <c r="M17" i="111" s="1"/>
  <c r="M242" i="83"/>
  <c r="M269" i="83" s="1"/>
  <c r="M58" i="80"/>
  <c r="M38" i="53"/>
  <c r="M31" i="41"/>
  <c r="M78" i="41" s="1"/>
  <c r="CA97" i="41" s="1"/>
  <c r="W52" i="65"/>
  <c r="W65" i="22"/>
  <c r="W66" i="22" s="1"/>
  <c r="AB49" i="65"/>
  <c r="AB134" i="22"/>
  <c r="AB136" i="22" s="1"/>
  <c r="AB35" i="41" s="1"/>
  <c r="T57" i="65"/>
  <c r="T124" i="22"/>
  <c r="N45" i="65"/>
  <c r="N86" i="22"/>
  <c r="N88" i="22" s="1"/>
  <c r="T46" i="65"/>
  <c r="T101" i="22"/>
  <c r="X265" i="53"/>
  <c r="X276" i="53"/>
  <c r="X287" i="53"/>
  <c r="AN101" i="80"/>
  <c r="AN102" i="83"/>
  <c r="AN86" i="83"/>
  <c r="AN74" i="80"/>
  <c r="O53" i="65"/>
  <c r="O76" i="22"/>
  <c r="O77" i="22" s="1"/>
  <c r="Q55" i="65"/>
  <c r="Q102" i="22"/>
  <c r="V44" i="65"/>
  <c r="V75" i="22"/>
  <c r="V77" i="22" s="1"/>
  <c r="AA46" i="65"/>
  <c r="AA101" i="22"/>
  <c r="AA103" i="22" s="1"/>
  <c r="AB284" i="53"/>
  <c r="AB273" i="53"/>
  <c r="AB262" i="53"/>
  <c r="AE59" i="80"/>
  <c r="P44" i="65"/>
  <c r="P75" i="22"/>
  <c r="Y54" i="65"/>
  <c r="Y87" i="22"/>
  <c r="Y88" i="22" s="1"/>
  <c r="Q43" i="65"/>
  <c r="Q64" i="22"/>
  <c r="Q66" i="22" s="1"/>
  <c r="AN113" i="83"/>
  <c r="AN123" i="80"/>
  <c r="P57" i="65"/>
  <c r="P124" i="22"/>
  <c r="J102" i="22"/>
  <c r="J55" i="65"/>
  <c r="L45" i="65"/>
  <c r="L86" i="22"/>
  <c r="S47" i="65"/>
  <c r="S112" i="22"/>
  <c r="H195" i="31"/>
  <c r="H220" i="31"/>
  <c r="W53" i="65"/>
  <c r="W76" i="22"/>
  <c r="W77" i="22" s="1"/>
  <c r="T58" i="65"/>
  <c r="T135" i="22"/>
  <c r="M30" i="41"/>
  <c r="M77" i="41" s="1"/>
  <c r="AT97" i="41" s="1"/>
  <c r="M37" i="53"/>
  <c r="M241" i="83"/>
  <c r="M57" i="80"/>
  <c r="N49" i="65"/>
  <c r="N134" i="22"/>
  <c r="N136" i="22" s="1"/>
  <c r="N35" i="41" s="1"/>
  <c r="AB265" i="53"/>
  <c r="AB287" i="53"/>
  <c r="AB276" i="53"/>
  <c r="H218" i="31"/>
  <c r="R52" i="65"/>
  <c r="R65" i="22"/>
  <c r="R66" i="22" s="1"/>
  <c r="L57" i="65"/>
  <c r="L124" i="22"/>
  <c r="U46" i="65"/>
  <c r="U101" i="22"/>
  <c r="U103" i="22" s="1"/>
  <c r="X43" i="65"/>
  <c r="X64" i="22"/>
  <c r="X66" i="22" s="1"/>
  <c r="H221" i="31"/>
  <c r="AH319" i="53" l="1"/>
  <c r="AH535" i="53" s="1"/>
  <c r="AF75" i="53"/>
  <c r="AJ75" i="53"/>
  <c r="AJ73" i="53"/>
  <c r="AP71" i="53"/>
  <c r="AG75" i="53"/>
  <c r="AH307" i="53"/>
  <c r="AH523" i="53" s="1"/>
  <c r="AH96" i="80" s="1"/>
  <c r="S103" i="22"/>
  <c r="S18" i="74" s="1"/>
  <c r="AK75" i="53"/>
  <c r="H54" i="72"/>
  <c r="AI71" i="53"/>
  <c r="AM70" i="53"/>
  <c r="AM88" i="53" s="1"/>
  <c r="AM90" i="53" s="1"/>
  <c r="AM120" i="53" s="1"/>
  <c r="AM122" i="53" s="1"/>
  <c r="AM300" i="53" s="1"/>
  <c r="AM516" i="53" s="1"/>
  <c r="AM77" i="80" s="1"/>
  <c r="AH318" i="53"/>
  <c r="AH534" i="53" s="1"/>
  <c r="AH109" i="83" s="1"/>
  <c r="AH298" i="53"/>
  <c r="AH514" i="53" s="1"/>
  <c r="AH87" i="83" s="1"/>
  <c r="AH322" i="53"/>
  <c r="AH538" i="53" s="1"/>
  <c r="AH123" i="80" s="1"/>
  <c r="AH316" i="53"/>
  <c r="AH532" i="53" s="1"/>
  <c r="AH117" i="80" s="1"/>
  <c r="AH305" i="53"/>
  <c r="AH521" i="53" s="1"/>
  <c r="AH95" i="83" s="1"/>
  <c r="AH304" i="53"/>
  <c r="AH520" i="53" s="1"/>
  <c r="AH93" i="80" s="1"/>
  <c r="AH297" i="53"/>
  <c r="AH513" i="53" s="1"/>
  <c r="AH86" i="83" s="1"/>
  <c r="AH111" i="83"/>
  <c r="AI70" i="53"/>
  <c r="AI88" i="53" s="1"/>
  <c r="AI90" i="53" s="1"/>
  <c r="AI120" i="53" s="1"/>
  <c r="AI122" i="53" s="1"/>
  <c r="AI321" i="53" s="1"/>
  <c r="AI537" i="53" s="1"/>
  <c r="AI122" i="80" s="1"/>
  <c r="AG70" i="53"/>
  <c r="AG88" i="53" s="1"/>
  <c r="AG90" i="53" s="1"/>
  <c r="AG120" i="53" s="1"/>
  <c r="AG122" i="53" s="1"/>
  <c r="AG293" i="53" s="1"/>
  <c r="AG509" i="53" s="1"/>
  <c r="AG81" i="83" s="1"/>
  <c r="AO73" i="53"/>
  <c r="AC71" i="53"/>
  <c r="AH315" i="53"/>
  <c r="AH531" i="53" s="1"/>
  <c r="AH105" i="83" s="1"/>
  <c r="AH293" i="53"/>
  <c r="AH509" i="53" s="1"/>
  <c r="AH81" i="83" s="1"/>
  <c r="K59" i="80"/>
  <c r="K200" i="80" s="1"/>
  <c r="K20" i="74" s="1"/>
  <c r="AH299" i="53"/>
  <c r="AH515" i="53" s="1"/>
  <c r="AH88" i="83" s="1"/>
  <c r="AH306" i="53"/>
  <c r="AH522" i="53" s="1"/>
  <c r="AH96" i="83" s="1"/>
  <c r="AH309" i="53"/>
  <c r="AH525" i="53" s="1"/>
  <c r="AH99" i="83" s="1"/>
  <c r="AH317" i="53"/>
  <c r="AH533" i="53" s="1"/>
  <c r="AH108" i="83" s="1"/>
  <c r="AK72" i="53"/>
  <c r="AH323" i="53"/>
  <c r="AH539" i="53" s="1"/>
  <c r="AH124" i="80" s="1"/>
  <c r="AH300" i="53"/>
  <c r="AH516" i="53" s="1"/>
  <c r="AH89" i="83" s="1"/>
  <c r="AH295" i="53"/>
  <c r="AH511" i="53" s="1"/>
  <c r="AH72" i="80" s="1"/>
  <c r="AH294" i="53"/>
  <c r="AH510" i="53" s="1"/>
  <c r="AH71" i="80" s="1"/>
  <c r="AH321" i="53"/>
  <c r="AH537" i="53" s="1"/>
  <c r="AH112" i="83" s="1"/>
  <c r="AH311" i="53"/>
  <c r="AH527" i="53" s="1"/>
  <c r="AH101" i="83" s="1"/>
  <c r="AH308" i="53"/>
  <c r="AH524" i="53" s="1"/>
  <c r="AH97" i="80" s="1"/>
  <c r="AH310" i="53"/>
  <c r="AH526" i="53" s="1"/>
  <c r="AH99" i="80" s="1"/>
  <c r="AH301" i="53"/>
  <c r="AH517" i="53" s="1"/>
  <c r="AH90" i="83" s="1"/>
  <c r="AH312" i="53"/>
  <c r="AH528" i="53" s="1"/>
  <c r="AH101" i="80" s="1"/>
  <c r="AH296" i="53"/>
  <c r="AH512" i="53" s="1"/>
  <c r="AH73" i="80" s="1"/>
  <c r="AM72" i="53"/>
  <c r="AC70" i="53"/>
  <c r="AC88" i="53" s="1"/>
  <c r="AC90" i="53" s="1"/>
  <c r="AC120" i="53" s="1"/>
  <c r="AC122" i="53" s="1"/>
  <c r="AC319" i="53" s="1"/>
  <c r="AC535" i="53" s="1"/>
  <c r="AM71" i="53"/>
  <c r="AG72" i="53"/>
  <c r="K57" i="53"/>
  <c r="K56" i="53"/>
  <c r="K39" i="53"/>
  <c r="AP310" i="53"/>
  <c r="AP526" i="53" s="1"/>
  <c r="AP294" i="53"/>
  <c r="AP510" i="53" s="1"/>
  <c r="AP83" i="83" s="1"/>
  <c r="AP300" i="53"/>
  <c r="AP516" i="53" s="1"/>
  <c r="AP323" i="53"/>
  <c r="AP539" i="53" s="1"/>
  <c r="AP124" i="80" s="1"/>
  <c r="AP299" i="53"/>
  <c r="AP515" i="53" s="1"/>
  <c r="AP88" i="83" s="1"/>
  <c r="AP321" i="53"/>
  <c r="AP537" i="53" s="1"/>
  <c r="AP84" i="83"/>
  <c r="AP72" i="80"/>
  <c r="AP305" i="53"/>
  <c r="AP521" i="53" s="1"/>
  <c r="AP95" i="83" s="1"/>
  <c r="AP296" i="53"/>
  <c r="AP512" i="53" s="1"/>
  <c r="AP85" i="83" s="1"/>
  <c r="AP317" i="53"/>
  <c r="AP533" i="53" s="1"/>
  <c r="AP108" i="83" s="1"/>
  <c r="AP311" i="53"/>
  <c r="AP527" i="53" s="1"/>
  <c r="AP307" i="53"/>
  <c r="AP523" i="53" s="1"/>
  <c r="AP309" i="53"/>
  <c r="AP525" i="53" s="1"/>
  <c r="AP99" i="83" s="1"/>
  <c r="AP298" i="53"/>
  <c r="AP514" i="53" s="1"/>
  <c r="AP75" i="80" s="1"/>
  <c r="AO70" i="53"/>
  <c r="AO88" i="53" s="1"/>
  <c r="AO90" i="53" s="1"/>
  <c r="AO120" i="53" s="1"/>
  <c r="AO122" i="53" s="1"/>
  <c r="AO293" i="53" s="1"/>
  <c r="AO509" i="53" s="1"/>
  <c r="AO82" i="83" s="1"/>
  <c r="AP301" i="53"/>
  <c r="AP517" i="53" s="1"/>
  <c r="AP320" i="53"/>
  <c r="AP536" i="53" s="1"/>
  <c r="AP111" i="83" s="1"/>
  <c r="AP322" i="53"/>
  <c r="AP538" i="53" s="1"/>
  <c r="AP297" i="53"/>
  <c r="AP513" i="53" s="1"/>
  <c r="AP308" i="53"/>
  <c r="AP524" i="53" s="1"/>
  <c r="AP97" i="80" s="1"/>
  <c r="AP304" i="53"/>
  <c r="AP520" i="53" s="1"/>
  <c r="AP93" i="80" s="1"/>
  <c r="AP319" i="53"/>
  <c r="AP535" i="53" s="1"/>
  <c r="AP120" i="80" s="1"/>
  <c r="AP318" i="53"/>
  <c r="AP534" i="53" s="1"/>
  <c r="AP315" i="53"/>
  <c r="AP531" i="53" s="1"/>
  <c r="AP306" i="53"/>
  <c r="AP522" i="53" s="1"/>
  <c r="AP316" i="53"/>
  <c r="AP532" i="53" s="1"/>
  <c r="AP107" i="83" s="1"/>
  <c r="AP293" i="53"/>
  <c r="AP509" i="53" s="1"/>
  <c r="AP312" i="53"/>
  <c r="AP528" i="53" s="1"/>
  <c r="AK71" i="53"/>
  <c r="AO72" i="53"/>
  <c r="AC75" i="53"/>
  <c r="AC72" i="53"/>
  <c r="AK70" i="53"/>
  <c r="AK88" i="53" s="1"/>
  <c r="AK90" i="53" s="1"/>
  <c r="AK120" i="53" s="1"/>
  <c r="AK122" i="53" s="1"/>
  <c r="AK304" i="53" s="1"/>
  <c r="AK520" i="53" s="1"/>
  <c r="AK73" i="53"/>
  <c r="M59" i="80"/>
  <c r="M200" i="80" s="1"/>
  <c r="M20" i="74" s="1"/>
  <c r="AO75" i="53"/>
  <c r="Z75" i="53"/>
  <c r="AL73" i="53"/>
  <c r="Z73" i="53"/>
  <c r="AL74" i="53"/>
  <c r="M47" i="53"/>
  <c r="M46" i="53"/>
  <c r="M48" i="53"/>
  <c r="K46" i="53"/>
  <c r="K48" i="53"/>
  <c r="K47" i="53"/>
  <c r="H56" i="72"/>
  <c r="H57" i="72"/>
  <c r="H55" i="72"/>
  <c r="P77" i="22"/>
  <c r="P30" i="41" s="1"/>
  <c r="T77" i="22"/>
  <c r="T57" i="80" s="1"/>
  <c r="AL75" i="53"/>
  <c r="S77" i="22"/>
  <c r="S57" i="80" s="1"/>
  <c r="AC305" i="53"/>
  <c r="AC521" i="53" s="1"/>
  <c r="Z105" i="53"/>
  <c r="Z71" i="53"/>
  <c r="Z106" i="53"/>
  <c r="Z107" i="53" s="1"/>
  <c r="Z70" i="53"/>
  <c r="Z88" i="53" s="1"/>
  <c r="Z72" i="53"/>
  <c r="P88" i="22"/>
  <c r="P114" i="22"/>
  <c r="K243" i="83"/>
  <c r="AF71" i="53"/>
  <c r="AF70" i="53"/>
  <c r="AF88" i="53" s="1"/>
  <c r="AF90" i="53" s="1"/>
  <c r="AF120" i="53" s="1"/>
  <c r="AF122" i="53" s="1"/>
  <c r="AF72" i="53"/>
  <c r="L125" i="22"/>
  <c r="K270" i="83"/>
  <c r="Z74" i="53"/>
  <c r="P125" i="22"/>
  <c r="AL70" i="53"/>
  <c r="AL88" i="53" s="1"/>
  <c r="AL90" i="53" s="1"/>
  <c r="AL120" i="53" s="1"/>
  <c r="AL122" i="53" s="1"/>
  <c r="AL71" i="53"/>
  <c r="AL72" i="53"/>
  <c r="AJ72" i="53"/>
  <c r="AJ71" i="53"/>
  <c r="AJ70" i="53"/>
  <c r="AJ88" i="53" s="1"/>
  <c r="AJ90" i="53" s="1"/>
  <c r="AJ120" i="53" s="1"/>
  <c r="AJ122" i="53" s="1"/>
  <c r="J40" i="55"/>
  <c r="H217" i="80"/>
  <c r="H229" i="80" s="1"/>
  <c r="AN255" i="80" s="1"/>
  <c r="H215" i="80"/>
  <c r="H227" i="80" s="1"/>
  <c r="AD253" i="80" s="1"/>
  <c r="H219" i="80"/>
  <c r="H231" i="80" s="1"/>
  <c r="H29" i="73" s="1"/>
  <c r="H214" i="80"/>
  <c r="H226" i="80" s="1"/>
  <c r="H23" i="73" s="1"/>
  <c r="H216" i="80"/>
  <c r="H228" i="80" s="1"/>
  <c r="H26" i="73" s="1"/>
  <c r="H218" i="80"/>
  <c r="H230" i="80" s="1"/>
  <c r="H28" i="73" s="1"/>
  <c r="H58" i="72"/>
  <c r="H52" i="72"/>
  <c r="H221" i="80"/>
  <c r="H233" i="80" s="1"/>
  <c r="H31" i="73" s="1"/>
  <c r="H51" i="72"/>
  <c r="H220" i="80"/>
  <c r="H232" i="80" s="1"/>
  <c r="H30" i="73" s="1"/>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A16" i="111"/>
  <c r="AA32" i="41"/>
  <c r="AA18" i="74"/>
  <c r="W36" i="53"/>
  <c r="W56" i="80"/>
  <c r="W29" i="41"/>
  <c r="P31" i="41"/>
  <c r="P38" i="53"/>
  <c r="P58" i="80"/>
  <c r="W34" i="41"/>
  <c r="W189" i="80"/>
  <c r="R189" i="80"/>
  <c r="R34" i="41"/>
  <c r="T33" i="41"/>
  <c r="T188" i="80"/>
  <c r="AB31" i="41"/>
  <c r="AB78" i="41" s="1"/>
  <c r="CP97" i="41" s="1"/>
  <c r="AB58" i="80"/>
  <c r="AB92" i="22"/>
  <c r="AB17" i="111" s="1"/>
  <c r="AB29" i="111" s="1"/>
  <c r="AB38" i="53"/>
  <c r="J58" i="80"/>
  <c r="J242" i="83"/>
  <c r="J269" i="83" s="1"/>
  <c r="J31" i="41"/>
  <c r="J78" i="41" s="1"/>
  <c r="BX97" i="41" s="1"/>
  <c r="J38" i="53"/>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Y33" i="41"/>
  <c r="Y188" i="80"/>
  <c r="O29" i="41"/>
  <c r="O76" i="41" s="1"/>
  <c r="O97" i="41" s="1"/>
  <c r="O56" i="80"/>
  <c r="O240" i="83"/>
  <c r="O36" i="53"/>
  <c r="R30" i="41"/>
  <c r="R37" i="53"/>
  <c r="R57" i="80"/>
  <c r="AN132" i="80"/>
  <c r="AN86" i="80"/>
  <c r="AN109" i="80"/>
  <c r="L88" i="22"/>
  <c r="X34" i="41"/>
  <c r="X189"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O18" i="74"/>
  <c r="O16" i="111"/>
  <c r="O32" i="41"/>
  <c r="J103" i="22"/>
  <c r="AA38" i="53"/>
  <c r="AA92" i="22"/>
  <c r="AA17" i="111" s="1"/>
  <c r="AA29" i="111" s="1"/>
  <c r="AA31" i="41"/>
  <c r="AA78" i="41" s="1"/>
  <c r="CO97" i="41" s="1"/>
  <c r="AA58" i="80"/>
  <c r="V33" i="41"/>
  <c r="V188" i="80"/>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M270" i="83" s="1"/>
  <c r="M243" i="83"/>
  <c r="W37" i="53"/>
  <c r="W30" i="41"/>
  <c r="W57" i="80"/>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S34" i="41"/>
  <c r="S189" i="80"/>
  <c r="U29" i="41"/>
  <c r="U76" i="41" s="1"/>
  <c r="U97" i="41" s="1"/>
  <c r="U36" i="53"/>
  <c r="U56" i="80"/>
  <c r="N34" i="41"/>
  <c r="N189" i="80"/>
  <c r="Y32" i="41"/>
  <c r="Y16" i="111"/>
  <c r="Y18" i="74"/>
  <c r="AA34" i="41"/>
  <c r="AA189" i="80"/>
  <c r="V34" i="41"/>
  <c r="V189" i="80"/>
  <c r="AD204" i="80"/>
  <c r="AD202" i="80"/>
  <c r="T88" i="22"/>
  <c r="P103" i="22"/>
  <c r="M28" i="111"/>
  <c r="M34" i="111" s="1"/>
  <c r="M27" i="111"/>
  <c r="M33" i="111" s="1"/>
  <c r="Q125" i="22"/>
  <c r="AN129" i="80"/>
  <c r="AN106" i="80"/>
  <c r="AN83" i="80"/>
  <c r="T66" i="22"/>
  <c r="X29" i="41"/>
  <c r="X56" i="80"/>
  <c r="X36" i="53"/>
  <c r="M57" i="53"/>
  <c r="M39" i="53"/>
  <c r="M55" i="53"/>
  <c r="M56" i="53"/>
  <c r="P34" i="41"/>
  <c r="P189" i="80"/>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B33" i="41"/>
  <c r="AB188" i="80"/>
  <c r="X92" i="22"/>
  <c r="X17" i="111" s="1"/>
  <c r="X29" i="111" s="1"/>
  <c r="X38" i="53"/>
  <c r="X58" i="80"/>
  <c r="X31" i="41"/>
  <c r="N38" i="53"/>
  <c r="N31" i="41"/>
  <c r="N78" i="41" s="1"/>
  <c r="CB97" i="41" s="1"/>
  <c r="N242" i="83"/>
  <c r="N269" i="83" s="1"/>
  <c r="N58" i="80"/>
  <c r="N92" i="22"/>
  <c r="N17" i="111" s="1"/>
  <c r="L189" i="80"/>
  <c r="L34" i="41"/>
  <c r="R33" i="41"/>
  <c r="R188" i="80"/>
  <c r="R191" i="80" s="1"/>
  <c r="R192" i="80" s="1"/>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U92" i="22"/>
  <c r="U17" i="111" s="1"/>
  <c r="AA188" i="80"/>
  <c r="AA191" i="80" s="1"/>
  <c r="AA192" i="80" s="1"/>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AN131" i="80"/>
  <c r="AN85" i="80"/>
  <c r="AN108" i="80"/>
  <c r="L77" i="22"/>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U16" i="111"/>
  <c r="U32" i="41"/>
  <c r="U18" i="74"/>
  <c r="M66" i="53"/>
  <c r="M64" i="53"/>
  <c r="M65" i="53"/>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P243" i="31"/>
  <c r="W39" i="80" s="1"/>
  <c r="L243" i="31"/>
  <c r="W35" i="80" s="1"/>
  <c r="N243" i="31"/>
  <c r="W37" i="80" s="1"/>
  <c r="S243" i="31"/>
  <c r="W42" i="80" s="1"/>
  <c r="J243" i="31"/>
  <c r="Q243" i="31"/>
  <c r="W40" i="80" s="1"/>
  <c r="R243" i="31"/>
  <c r="W41" i="80" s="1"/>
  <c r="M243" i="31"/>
  <c r="W36" i="80" s="1"/>
  <c r="O243" i="31"/>
  <c r="W38" i="80" s="1"/>
  <c r="K243" i="31"/>
  <c r="W34" i="80" s="1"/>
  <c r="P66" i="22"/>
  <c r="U188" i="80"/>
  <c r="U33" i="41"/>
  <c r="S236" i="31"/>
  <c r="P42" i="80" s="1"/>
  <c r="Q236" i="31"/>
  <c r="P40" i="80" s="1"/>
  <c r="O236" i="31"/>
  <c r="P38" i="80" s="1"/>
  <c r="M236" i="31"/>
  <c r="P36" i="80" s="1"/>
  <c r="K236" i="31"/>
  <c r="P34" i="80" s="1"/>
  <c r="L236" i="31"/>
  <c r="P35" i="80" s="1"/>
  <c r="R236" i="31"/>
  <c r="P41" i="80" s="1"/>
  <c r="P236" i="31"/>
  <c r="P39" i="80" s="1"/>
  <c r="J236" i="31"/>
  <c r="N236" i="31"/>
  <c r="P37" i="80" s="1"/>
  <c r="Q38" i="53"/>
  <c r="Q31" i="41"/>
  <c r="Q58"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AH106" i="83"/>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R31" i="41"/>
  <c r="R38" i="53"/>
  <c r="R58" i="80"/>
  <c r="R92" i="22"/>
  <c r="R17" i="111" s="1"/>
  <c r="S66" i="22"/>
  <c r="AN134" i="80"/>
  <c r="AN111" i="80"/>
  <c r="AN88" i="80"/>
  <c r="U189" i="80"/>
  <c r="U34" i="41"/>
  <c r="AE71" i="53"/>
  <c r="AE70" i="53"/>
  <c r="AE88" i="53" s="1"/>
  <c r="AE90" i="53" s="1"/>
  <c r="AE120" i="53" s="1"/>
  <c r="AE122" i="53" s="1"/>
  <c r="AE72" i="53"/>
  <c r="X37" i="53"/>
  <c r="X57" i="80"/>
  <c r="X30" i="41"/>
  <c r="N36" i="53"/>
  <c r="N29" i="41"/>
  <c r="N76" i="41" s="1"/>
  <c r="N97" i="41" s="1"/>
  <c r="N240" i="83"/>
  <c r="N56" i="80"/>
  <c r="P33" i="41"/>
  <c r="P188" i="80"/>
  <c r="P191" i="80" s="1"/>
  <c r="P192" i="80" s="1"/>
  <c r="V56" i="80"/>
  <c r="V36" i="53"/>
  <c r="V29" i="41"/>
  <c r="V76" i="41" s="1"/>
  <c r="V97" i="41" s="1"/>
  <c r="J114" i="22"/>
  <c r="AN84" i="80"/>
  <c r="AN130" i="80"/>
  <c r="AN107" i="80"/>
  <c r="Q36" i="53"/>
  <c r="Q29" i="41"/>
  <c r="Q56" i="80"/>
  <c r="W16" i="111"/>
  <c r="W32" i="41"/>
  <c r="W18" i="74"/>
  <c r="N33" i="41"/>
  <c r="N188" i="80"/>
  <c r="N191" i="80" s="1"/>
  <c r="N192" i="80" s="1"/>
  <c r="J77" i="22"/>
  <c r="S114" i="22"/>
  <c r="Y38" i="53"/>
  <c r="Y92" i="22"/>
  <c r="Y17" i="111" s="1"/>
  <c r="Y29" i="111" s="1"/>
  <c r="Y31" i="41"/>
  <c r="Y58" i="80"/>
  <c r="O37" i="53"/>
  <c r="O30" i="41"/>
  <c r="O77" i="41" s="1"/>
  <c r="AV97" i="41" s="1"/>
  <c r="O57" i="80"/>
  <c r="O241" i="83"/>
  <c r="O268" i="83" s="1"/>
  <c r="Q77" i="22"/>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M238" i="31"/>
  <c r="R36" i="80" s="1"/>
  <c r="R238" i="31"/>
  <c r="R41" i="80" s="1"/>
  <c r="P238" i="31"/>
  <c r="R39" i="80" s="1"/>
  <c r="S238" i="31"/>
  <c r="R42" i="80" s="1"/>
  <c r="N238" i="31"/>
  <c r="R37" i="80" s="1"/>
  <c r="L238" i="31"/>
  <c r="R35" i="80" s="1"/>
  <c r="K238" i="31"/>
  <c r="R34" i="80" s="1"/>
  <c r="J238" i="31"/>
  <c r="Q238" i="31"/>
  <c r="R40" i="80" s="1"/>
  <c r="O238" i="31"/>
  <c r="R38" i="80" s="1"/>
  <c r="O33" i="41"/>
  <c r="O188" i="80"/>
  <c r="O191" i="80" s="1"/>
  <c r="O192" i="80" s="1"/>
  <c r="Q247" i="31"/>
  <c r="AA40" i="80" s="1"/>
  <c r="O247" i="31"/>
  <c r="AA38" i="80" s="1"/>
  <c r="M247" i="31"/>
  <c r="AA36" i="80" s="1"/>
  <c r="K247" i="31"/>
  <c r="AA34" i="80" s="1"/>
  <c r="P247" i="31"/>
  <c r="AA39" i="80" s="1"/>
  <c r="J247" i="31"/>
  <c r="S247" i="31"/>
  <c r="AA42" i="80" s="1"/>
  <c r="L247" i="31"/>
  <c r="AA35" i="80" s="1"/>
  <c r="N247" i="31"/>
  <c r="AA37" i="80" s="1"/>
  <c r="R247" i="31"/>
  <c r="AA41" i="80" s="1"/>
  <c r="AD71" i="53"/>
  <c r="AD70" i="53"/>
  <c r="AD88" i="53" s="1"/>
  <c r="AD90" i="53" s="1"/>
  <c r="AD120" i="53" s="1"/>
  <c r="AD122" i="53" s="1"/>
  <c r="AD72" i="53"/>
  <c r="AB16" i="111"/>
  <c r="AB18" i="74"/>
  <c r="AB32" i="41"/>
  <c r="V58" i="80"/>
  <c r="V38" i="53"/>
  <c r="V92" i="22"/>
  <c r="V17" i="111" s="1"/>
  <c r="V31" i="41"/>
  <c r="K64" i="53"/>
  <c r="K66" i="53"/>
  <c r="K65" i="53"/>
  <c r="AB56" i="80"/>
  <c r="AB36" i="53"/>
  <c r="AB29" i="41"/>
  <c r="Q245" i="31"/>
  <c r="Y40" i="80" s="1"/>
  <c r="S245" i="31"/>
  <c r="Y42" i="80" s="1"/>
  <c r="J245" i="31"/>
  <c r="R245" i="31"/>
  <c r="Y41" i="80" s="1"/>
  <c r="M245" i="31"/>
  <c r="Y36" i="80" s="1"/>
  <c r="O245" i="31"/>
  <c r="Y38" i="80" s="1"/>
  <c r="L245" i="31"/>
  <c r="Y35" i="80" s="1"/>
  <c r="N245" i="31"/>
  <c r="Y37" i="80" s="1"/>
  <c r="K245" i="31"/>
  <c r="Y34" i="80" s="1"/>
  <c r="P245" i="31"/>
  <c r="Y39" i="80" s="1"/>
  <c r="J125" i="22"/>
  <c r="U37" i="53"/>
  <c r="U30" i="41"/>
  <c r="U57" i="80"/>
  <c r="L66" i="22"/>
  <c r="T136" i="22"/>
  <c r="T35" i="41" s="1"/>
  <c r="S88" i="22"/>
  <c r="AN87" i="80"/>
  <c r="AN133" i="80"/>
  <c r="AN110" i="80"/>
  <c r="O38" i="53"/>
  <c r="O92" i="22"/>
  <c r="O17" i="111" s="1"/>
  <c r="O242" i="83"/>
  <c r="O269" i="83" s="1"/>
  <c r="O58" i="80"/>
  <c r="O31" i="41"/>
  <c r="O78" i="41" s="1"/>
  <c r="CC97" i="41" s="1"/>
  <c r="AN204" i="80"/>
  <c r="AN136" i="80"/>
  <c r="AN90" i="80"/>
  <c r="AN113" i="80"/>
  <c r="AN202" i="80"/>
  <c r="AN206" i="80" s="1"/>
  <c r="W31" i="41"/>
  <c r="W58" i="80"/>
  <c r="W38" i="53"/>
  <c r="W92" i="22"/>
  <c r="W17" i="111" s="1"/>
  <c r="N231" i="31"/>
  <c r="K37" i="80" s="1"/>
  <c r="S231" i="31"/>
  <c r="K42" i="80" s="1"/>
  <c r="K202" i="80" s="1"/>
  <c r="O231" i="31"/>
  <c r="K38" i="80" s="1"/>
  <c r="Q231" i="31"/>
  <c r="K40" i="80" s="1"/>
  <c r="L231" i="31"/>
  <c r="K35" i="80" s="1"/>
  <c r="R231" i="31"/>
  <c r="K41" i="80" s="1"/>
  <c r="M231" i="31"/>
  <c r="K36" i="80" s="1"/>
  <c r="P231" i="31"/>
  <c r="K39" i="80" s="1"/>
  <c r="K231" i="31"/>
  <c r="K34" i="80" s="1"/>
  <c r="J231" i="31"/>
  <c r="AB34" i="41"/>
  <c r="AB189" i="80"/>
  <c r="Q33" i="41"/>
  <c r="Q188" i="80"/>
  <c r="T125" i="22"/>
  <c r="N232" i="31"/>
  <c r="L37" i="80" s="1"/>
  <c r="S232" i="31"/>
  <c r="L42" i="80" s="1"/>
  <c r="O232" i="31"/>
  <c r="L38" i="80" s="1"/>
  <c r="J232" i="31"/>
  <c r="Q232" i="31"/>
  <c r="L40" i="80" s="1"/>
  <c r="R232" i="31"/>
  <c r="L41" i="80" s="1"/>
  <c r="L232" i="31"/>
  <c r="L35" i="80" s="1"/>
  <c r="M232" i="31"/>
  <c r="L36" i="80" s="1"/>
  <c r="P232" i="31"/>
  <c r="L39" i="80" s="1"/>
  <c r="K232" i="31"/>
  <c r="L34" i="80" s="1"/>
  <c r="L33" i="41"/>
  <c r="L188" i="80"/>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M191" i="80" s="1"/>
  <c r="M192" i="80" s="1"/>
  <c r="AN128" i="80"/>
  <c r="AN105" i="80"/>
  <c r="AN82" i="80"/>
  <c r="L103" i="22"/>
  <c r="P244" i="31"/>
  <c r="X39" i="80" s="1"/>
  <c r="O244" i="31"/>
  <c r="X38" i="80" s="1"/>
  <c r="J244" i="31"/>
  <c r="Q244" i="31"/>
  <c r="X40" i="80" s="1"/>
  <c r="K244" i="31"/>
  <c r="X34" i="80" s="1"/>
  <c r="M244" i="31"/>
  <c r="X36" i="80" s="1"/>
  <c r="S244" i="31"/>
  <c r="X42" i="80" s="1"/>
  <c r="N244" i="31"/>
  <c r="X37" i="80" s="1"/>
  <c r="R244" i="31"/>
  <c r="X41" i="80" s="1"/>
  <c r="L244" i="31"/>
  <c r="X35" i="80" s="1"/>
  <c r="N241" i="83"/>
  <c r="N268" i="83" s="1"/>
  <c r="N30" i="41"/>
  <c r="N77" i="41" s="1"/>
  <c r="AU97" i="41" s="1"/>
  <c r="N37" i="53"/>
  <c r="N57" i="80"/>
  <c r="W188" i="80"/>
  <c r="W33" i="41"/>
  <c r="S136" i="22"/>
  <c r="S35" i="41" s="1"/>
  <c r="AH110" i="83"/>
  <c r="AH120" i="80"/>
  <c r="J66" i="22"/>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L246" i="31"/>
  <c r="Z35" i="80" s="1"/>
  <c r="O246" i="31"/>
  <c r="Z38" i="80" s="1"/>
  <c r="J246" i="31"/>
  <c r="Q246" i="31"/>
  <c r="Z40" i="80" s="1"/>
  <c r="K246" i="31"/>
  <c r="Z34" i="80" s="1"/>
  <c r="M246" i="31"/>
  <c r="Z36" i="80" s="1"/>
  <c r="S246" i="31"/>
  <c r="Z42" i="80" s="1"/>
  <c r="N246" i="31"/>
  <c r="Z37" i="80" s="1"/>
  <c r="R246" i="31"/>
  <c r="Z41" i="80" s="1"/>
  <c r="P246" i="31"/>
  <c r="Z39" i="80" s="1"/>
  <c r="S240" i="31"/>
  <c r="T42" i="80" s="1"/>
  <c r="J240" i="31"/>
  <c r="O240" i="31"/>
  <c r="T38" i="80" s="1"/>
  <c r="Q240" i="31"/>
  <c r="T40" i="80" s="1"/>
  <c r="K240" i="31"/>
  <c r="T34" i="80" s="1"/>
  <c r="M240" i="31"/>
  <c r="T36" i="80" s="1"/>
  <c r="N240" i="31"/>
  <c r="T37" i="80" s="1"/>
  <c r="L240" i="31"/>
  <c r="T35" i="80" s="1"/>
  <c r="R240" i="31"/>
  <c r="T41" i="80" s="1"/>
  <c r="P240" i="31"/>
  <c r="T39" i="80" s="1"/>
  <c r="M237" i="31"/>
  <c r="Q36" i="80" s="1"/>
  <c r="O237" i="31"/>
  <c r="Q38" i="80" s="1"/>
  <c r="P237" i="31"/>
  <c r="Q39" i="80" s="1"/>
  <c r="K237" i="31"/>
  <c r="Q34" i="80" s="1"/>
  <c r="L237" i="31"/>
  <c r="Q35" i="80" s="1"/>
  <c r="N237" i="31"/>
  <c r="Q37" i="80" s="1"/>
  <c r="R237" i="31"/>
  <c r="Q41" i="80" s="1"/>
  <c r="Q237" i="31"/>
  <c r="Q40" i="80" s="1"/>
  <c r="S237" i="31"/>
  <c r="Q42" i="80" s="1"/>
  <c r="J237" i="31"/>
  <c r="Y57" i="80"/>
  <c r="Y30" i="41"/>
  <c r="Y37" i="53"/>
  <c r="AN135" i="80"/>
  <c r="AN112" i="80"/>
  <c r="AN89" i="80"/>
  <c r="AH78" i="80" l="1"/>
  <c r="AH114" i="83"/>
  <c r="AI318" i="53"/>
  <c r="AI534" i="53" s="1"/>
  <c r="AI119" i="80" s="1"/>
  <c r="AI131" i="80" s="1"/>
  <c r="AH119" i="80"/>
  <c r="AH131" i="80" s="1"/>
  <c r="AI299" i="53"/>
  <c r="AI515" i="53" s="1"/>
  <c r="AH122" i="80"/>
  <c r="AI297" i="53"/>
  <c r="AI513" i="53" s="1"/>
  <c r="AI86" i="83" s="1"/>
  <c r="AK317" i="53"/>
  <c r="AK533" i="53" s="1"/>
  <c r="AK118" i="80" s="1"/>
  <c r="AK130" i="80" s="1"/>
  <c r="AH97" i="83"/>
  <c r="AH82" i="83"/>
  <c r="AG294" i="53"/>
  <c r="AG510" i="53" s="1"/>
  <c r="AG71" i="80" s="1"/>
  <c r="AG83" i="80" s="1"/>
  <c r="AH94" i="83"/>
  <c r="AM293" i="53"/>
  <c r="AM509" i="53" s="1"/>
  <c r="AM304" i="53"/>
  <c r="AM520" i="53" s="1"/>
  <c r="AK321" i="53"/>
  <c r="AK537" i="53" s="1"/>
  <c r="AK122" i="80" s="1"/>
  <c r="AK134" i="80" s="1"/>
  <c r="AI317" i="53"/>
  <c r="AI533" i="53" s="1"/>
  <c r="AI108" i="83" s="1"/>
  <c r="AI295" i="53"/>
  <c r="AI511" i="53" s="1"/>
  <c r="AI84" i="83" s="1"/>
  <c r="AM318" i="53"/>
  <c r="AM534" i="53" s="1"/>
  <c r="AM109" i="83" s="1"/>
  <c r="AM89" i="83"/>
  <c r="S16" i="111"/>
  <c r="S28" i="111" s="1"/>
  <c r="S34" i="111" s="1"/>
  <c r="AM315" i="53"/>
  <c r="AM531" i="53" s="1"/>
  <c r="AM295" i="53"/>
  <c r="AM511" i="53" s="1"/>
  <c r="AM72" i="80" s="1"/>
  <c r="AM84" i="80" s="1"/>
  <c r="AM307" i="53"/>
  <c r="AM523" i="53" s="1"/>
  <c r="AM96" i="80" s="1"/>
  <c r="AM108" i="80" s="1"/>
  <c r="AI323" i="53"/>
  <c r="AI539" i="53" s="1"/>
  <c r="AI114" i="83" s="1"/>
  <c r="AH95" i="80"/>
  <c r="AI296" i="53"/>
  <c r="AI512" i="53" s="1"/>
  <c r="AI85" i="83" s="1"/>
  <c r="AM298" i="53"/>
  <c r="AM514" i="53" s="1"/>
  <c r="AM75" i="80" s="1"/>
  <c r="AM87" i="80" s="1"/>
  <c r="AM296" i="53"/>
  <c r="AM512" i="53" s="1"/>
  <c r="AM85" i="83" s="1"/>
  <c r="AM306" i="53"/>
  <c r="AM522" i="53" s="1"/>
  <c r="AM95" i="80" s="1"/>
  <c r="AM107" i="80" s="1"/>
  <c r="AI305" i="53"/>
  <c r="AI521" i="53" s="1"/>
  <c r="S32" i="41"/>
  <c r="AM294" i="53"/>
  <c r="AM510" i="53" s="1"/>
  <c r="AM309" i="53"/>
  <c r="AM525" i="53" s="1"/>
  <c r="AM98" i="80" s="1"/>
  <c r="AC296" i="53"/>
  <c r="AC512" i="53" s="1"/>
  <c r="AC322" i="53"/>
  <c r="AC538" i="53" s="1"/>
  <c r="AC123" i="80" s="1"/>
  <c r="AC135" i="80" s="1"/>
  <c r="AM320" i="53"/>
  <c r="AM536" i="53" s="1"/>
  <c r="AM121" i="80" s="1"/>
  <c r="AM133" i="80" s="1"/>
  <c r="AM323" i="53"/>
  <c r="AM539" i="53" s="1"/>
  <c r="AM316" i="53"/>
  <c r="AM532" i="53" s="1"/>
  <c r="AM319" i="53"/>
  <c r="AM535" i="53" s="1"/>
  <c r="AM110" i="83" s="1"/>
  <c r="AM322" i="53"/>
  <c r="AM538" i="53" s="1"/>
  <c r="AM123" i="80" s="1"/>
  <c r="AM135" i="80" s="1"/>
  <c r="AH84" i="83"/>
  <c r="AH113" i="83"/>
  <c r="K240" i="80"/>
  <c r="AH85" i="83"/>
  <c r="AH98" i="83"/>
  <c r="AH74" i="80"/>
  <c r="K73" i="53"/>
  <c r="K246" i="83" s="1"/>
  <c r="AH118" i="80"/>
  <c r="AH130" i="80" s="1"/>
  <c r="AI298" i="53"/>
  <c r="AI514" i="53" s="1"/>
  <c r="AH116" i="80"/>
  <c r="AH128" i="80" s="1"/>
  <c r="AH94" i="80"/>
  <c r="AH106" i="80" s="1"/>
  <c r="AI308" i="53"/>
  <c r="AI524" i="53" s="1"/>
  <c r="AI98" i="83" s="1"/>
  <c r="AI320" i="53"/>
  <c r="AI536" i="53" s="1"/>
  <c r="AI319" i="53"/>
  <c r="AI535" i="53" s="1"/>
  <c r="AI120" i="80" s="1"/>
  <c r="AI132" i="80" s="1"/>
  <c r="AI304" i="53"/>
  <c r="AI520" i="53" s="1"/>
  <c r="AI93" i="83" s="1"/>
  <c r="AI293" i="53"/>
  <c r="AI509" i="53" s="1"/>
  <c r="AI70" i="80" s="1"/>
  <c r="AI82" i="80" s="1"/>
  <c r="AC309" i="53"/>
  <c r="AC525" i="53" s="1"/>
  <c r="AC98" i="80" s="1"/>
  <c r="AC110" i="80" s="1"/>
  <c r="AC323" i="53"/>
  <c r="AC539" i="53" s="1"/>
  <c r="AC114" i="83" s="1"/>
  <c r="AC304" i="53"/>
  <c r="AC520" i="53" s="1"/>
  <c r="AC93" i="80" s="1"/>
  <c r="AC105" i="80" s="1"/>
  <c r="AC310" i="53"/>
  <c r="AC526" i="53" s="1"/>
  <c r="AC99" i="80" s="1"/>
  <c r="AC111" i="80" s="1"/>
  <c r="AC308" i="53"/>
  <c r="AC524" i="53" s="1"/>
  <c r="AC98" i="83" s="1"/>
  <c r="AI112" i="83"/>
  <c r="AI322" i="53"/>
  <c r="AI538" i="53" s="1"/>
  <c r="AI123" i="80" s="1"/>
  <c r="AI135" i="80" s="1"/>
  <c r="AI311" i="53"/>
  <c r="AI527" i="53" s="1"/>
  <c r="AI100" i="80" s="1"/>
  <c r="AI112" i="80" s="1"/>
  <c r="AI315" i="53"/>
  <c r="AI531" i="53" s="1"/>
  <c r="AI309" i="53"/>
  <c r="AI525" i="53" s="1"/>
  <c r="AI99" i="83" s="1"/>
  <c r="AI300" i="53"/>
  <c r="AI516" i="53" s="1"/>
  <c r="AI77" i="80" s="1"/>
  <c r="AI89" i="80" s="1"/>
  <c r="AC294" i="53"/>
  <c r="AC510" i="53" s="1"/>
  <c r="AC71" i="80" s="1"/>
  <c r="AC83" i="80" s="1"/>
  <c r="AC321" i="53"/>
  <c r="AC537" i="53" s="1"/>
  <c r="AC122" i="80" s="1"/>
  <c r="AC134" i="80" s="1"/>
  <c r="AC320" i="53"/>
  <c r="AC536" i="53" s="1"/>
  <c r="AC111" i="83" s="1"/>
  <c r="AC316" i="53"/>
  <c r="AC532" i="53" s="1"/>
  <c r="AC107" i="83" s="1"/>
  <c r="AI301" i="53"/>
  <c r="AI517" i="53" s="1"/>
  <c r="AI78" i="80" s="1"/>
  <c r="AI90" i="80" s="1"/>
  <c r="AI310" i="53"/>
  <c r="AI526" i="53" s="1"/>
  <c r="AI99" i="80" s="1"/>
  <c r="AI111" i="80" s="1"/>
  <c r="AI312" i="53"/>
  <c r="AI528" i="53" s="1"/>
  <c r="AI101" i="80" s="1"/>
  <c r="AI113" i="80" s="1"/>
  <c r="AI306" i="53"/>
  <c r="AI522" i="53" s="1"/>
  <c r="AI96" i="83" s="1"/>
  <c r="AI316" i="53"/>
  <c r="AI532" i="53" s="1"/>
  <c r="AI107" i="83" s="1"/>
  <c r="AI307" i="53"/>
  <c r="AI523" i="53" s="1"/>
  <c r="AI294" i="53"/>
  <c r="AI510" i="53" s="1"/>
  <c r="AI83" i="83" s="1"/>
  <c r="AC315" i="53"/>
  <c r="AC531" i="53" s="1"/>
  <c r="AC116" i="80" s="1"/>
  <c r="AC128" i="80" s="1"/>
  <c r="AC301" i="53"/>
  <c r="AC517" i="53" s="1"/>
  <c r="AC90" i="83" s="1"/>
  <c r="AC307" i="53"/>
  <c r="AC523" i="53" s="1"/>
  <c r="AC96" i="80" s="1"/>
  <c r="AC108" i="80" s="1"/>
  <c r="AD252" i="80"/>
  <c r="AP94" i="80"/>
  <c r="AP106" i="80" s="1"/>
  <c r="AG315" i="53"/>
  <c r="AG531" i="53" s="1"/>
  <c r="AG116" i="80" s="1"/>
  <c r="AG128" i="80" s="1"/>
  <c r="AG299" i="53"/>
  <c r="AG515" i="53" s="1"/>
  <c r="AG76" i="80" s="1"/>
  <c r="AG306" i="53"/>
  <c r="AG522" i="53" s="1"/>
  <c r="AG96" i="83" s="1"/>
  <c r="AP110" i="83"/>
  <c r="AG312" i="53"/>
  <c r="AG528" i="53" s="1"/>
  <c r="AG101" i="80" s="1"/>
  <c r="AG113" i="80" s="1"/>
  <c r="AH75" i="80"/>
  <c r="H25" i="73"/>
  <c r="AD243" i="80"/>
  <c r="AG304" i="53"/>
  <c r="AG520" i="53" s="1"/>
  <c r="AG93" i="80" s="1"/>
  <c r="AG105" i="80" s="1"/>
  <c r="AH93" i="83"/>
  <c r="AG307" i="53"/>
  <c r="AG523" i="53" s="1"/>
  <c r="AG97" i="83" s="1"/>
  <c r="AG301" i="53"/>
  <c r="AG517" i="53" s="1"/>
  <c r="AG78" i="80" s="1"/>
  <c r="AG90" i="80" s="1"/>
  <c r="AG320" i="53"/>
  <c r="AG536" i="53" s="1"/>
  <c r="AG111" i="83" s="1"/>
  <c r="AG295" i="53"/>
  <c r="AG511" i="53" s="1"/>
  <c r="AG84" i="83" s="1"/>
  <c r="AG82" i="83"/>
  <c r="AD240" i="80"/>
  <c r="AG309" i="53"/>
  <c r="AG525" i="53" s="1"/>
  <c r="AG98" i="80" s="1"/>
  <c r="AG110" i="80" s="1"/>
  <c r="AG300" i="53"/>
  <c r="AG516" i="53" s="1"/>
  <c r="AG89" i="83" s="1"/>
  <c r="AK323" i="53"/>
  <c r="AK539" i="53" s="1"/>
  <c r="AK114" i="83" s="1"/>
  <c r="AK320" i="53"/>
  <c r="AK536" i="53" s="1"/>
  <c r="AK121" i="80" s="1"/>
  <c r="AK133" i="80" s="1"/>
  <c r="AG70" i="80"/>
  <c r="AG82" i="80" s="1"/>
  <c r="AG311" i="53"/>
  <c r="AG527" i="53" s="1"/>
  <c r="AG100" i="80" s="1"/>
  <c r="AG112" i="80" s="1"/>
  <c r="AG317" i="53"/>
  <c r="AG533" i="53" s="1"/>
  <c r="AG118" i="80" s="1"/>
  <c r="AG130" i="80" s="1"/>
  <c r="AM301" i="53"/>
  <c r="AM517" i="53" s="1"/>
  <c r="AM90" i="83" s="1"/>
  <c r="AG298" i="53"/>
  <c r="AG514" i="53" s="1"/>
  <c r="AG75" i="80" s="1"/>
  <c r="AG87" i="80" s="1"/>
  <c r="AG305" i="53"/>
  <c r="AG521" i="53" s="1"/>
  <c r="AG94" i="80" s="1"/>
  <c r="AG106" i="80" s="1"/>
  <c r="AM310" i="53"/>
  <c r="AM526" i="53" s="1"/>
  <c r="AM100" i="83" s="1"/>
  <c r="AM308" i="53"/>
  <c r="AM524" i="53" s="1"/>
  <c r="AM97" i="80" s="1"/>
  <c r="AM109" i="80" s="1"/>
  <c r="AM317" i="53"/>
  <c r="AM533" i="53" s="1"/>
  <c r="AM118" i="80" s="1"/>
  <c r="AM130" i="80" s="1"/>
  <c r="AG319" i="53"/>
  <c r="AG535" i="53" s="1"/>
  <c r="AG120" i="80" s="1"/>
  <c r="AG132" i="80" s="1"/>
  <c r="AM312" i="53"/>
  <c r="AM528" i="53" s="1"/>
  <c r="AG297" i="53"/>
  <c r="AG513" i="53" s="1"/>
  <c r="AG86" i="83" s="1"/>
  <c r="AM297" i="53"/>
  <c r="AM513" i="53" s="1"/>
  <c r="AM299" i="53"/>
  <c r="AM515" i="53" s="1"/>
  <c r="AM76" i="80" s="1"/>
  <c r="AH100" i="80"/>
  <c r="AH112" i="80" s="1"/>
  <c r="AG323" i="53"/>
  <c r="AG539" i="53" s="1"/>
  <c r="AG114" i="83" s="1"/>
  <c r="AG316" i="53"/>
  <c r="AG532" i="53" s="1"/>
  <c r="AG117" i="80" s="1"/>
  <c r="AG129" i="80" s="1"/>
  <c r="AM321" i="53"/>
  <c r="AM537" i="53" s="1"/>
  <c r="AM122" i="80" s="1"/>
  <c r="AM134" i="80" s="1"/>
  <c r="AM305" i="53"/>
  <c r="AM521" i="53" s="1"/>
  <c r="AM94" i="80" s="1"/>
  <c r="AM106" i="80" s="1"/>
  <c r="AH98" i="80"/>
  <c r="AH110" i="80" s="1"/>
  <c r="AM311" i="53"/>
  <c r="AM527" i="53" s="1"/>
  <c r="AM100" i="80" s="1"/>
  <c r="AM112" i="80" s="1"/>
  <c r="AG310" i="53"/>
  <c r="AG526" i="53" s="1"/>
  <c r="AG100" i="83" s="1"/>
  <c r="AG318" i="53"/>
  <c r="AG534" i="53" s="1"/>
  <c r="AH100" i="83"/>
  <c r="AH83" i="83"/>
  <c r="AH107" i="83"/>
  <c r="AG322" i="53"/>
  <c r="AG538" i="53" s="1"/>
  <c r="AG123" i="80" s="1"/>
  <c r="AG135" i="80" s="1"/>
  <c r="AG296" i="53"/>
  <c r="AG512" i="53" s="1"/>
  <c r="AG85" i="83" s="1"/>
  <c r="AG321" i="53"/>
  <c r="AG537" i="53" s="1"/>
  <c r="AG112" i="83" s="1"/>
  <c r="AG308" i="53"/>
  <c r="AG524" i="53" s="1"/>
  <c r="AG98" i="83" s="1"/>
  <c r="AD256" i="80"/>
  <c r="AN243" i="80"/>
  <c r="AD244" i="80"/>
  <c r="AC300" i="53"/>
  <c r="AC516" i="53" s="1"/>
  <c r="AC89" i="83" s="1"/>
  <c r="AC298" i="53"/>
  <c r="AC514" i="53" s="1"/>
  <c r="AC75" i="80" s="1"/>
  <c r="AC87" i="80" s="1"/>
  <c r="AC311" i="53"/>
  <c r="AC527" i="53" s="1"/>
  <c r="AC101" i="83" s="1"/>
  <c r="AC295" i="53"/>
  <c r="AC511" i="53" s="1"/>
  <c r="AC84" i="83" s="1"/>
  <c r="AC299" i="53"/>
  <c r="AC515" i="53" s="1"/>
  <c r="AC88" i="83" s="1"/>
  <c r="AC318" i="53"/>
  <c r="AC534" i="53" s="1"/>
  <c r="AC109" i="83" s="1"/>
  <c r="AO81" i="83"/>
  <c r="K243" i="80"/>
  <c r="AH76" i="80"/>
  <c r="AH88" i="80" s="1"/>
  <c r="AN240" i="80"/>
  <c r="AN253" i="80"/>
  <c r="AC306" i="53"/>
  <c r="AC522" i="53" s="1"/>
  <c r="AC95" i="80" s="1"/>
  <c r="AC107" i="80" s="1"/>
  <c r="AC312" i="53"/>
  <c r="AC528" i="53" s="1"/>
  <c r="AC102" i="83" s="1"/>
  <c r="AC293" i="53"/>
  <c r="AC509" i="53" s="1"/>
  <c r="AC81" i="83" s="1"/>
  <c r="AC297" i="53"/>
  <c r="AC513" i="53" s="1"/>
  <c r="AC74" i="80" s="1"/>
  <c r="AC86" i="80" s="1"/>
  <c r="AC317" i="53"/>
  <c r="AC533" i="53" s="1"/>
  <c r="AC118" i="80" s="1"/>
  <c r="AC130" i="80" s="1"/>
  <c r="AP98" i="80"/>
  <c r="AP110" i="80" s="1"/>
  <c r="AP98" i="83"/>
  <c r="AH77" i="80"/>
  <c r="AH89" i="80" s="1"/>
  <c r="AH102" i="83"/>
  <c r="AO300" i="53"/>
  <c r="AO516" i="53" s="1"/>
  <c r="AO89" i="83" s="1"/>
  <c r="AO294" i="53"/>
  <c r="AO510" i="53" s="1"/>
  <c r="AO71" i="80" s="1"/>
  <c r="AO83" i="80" s="1"/>
  <c r="AO318" i="53"/>
  <c r="AO534" i="53" s="1"/>
  <c r="AO119" i="80" s="1"/>
  <c r="AO131" i="80" s="1"/>
  <c r="AD259" i="80"/>
  <c r="AH70" i="80"/>
  <c r="AH82" i="80" s="1"/>
  <c r="AO301" i="53"/>
  <c r="AO517" i="53" s="1"/>
  <c r="AO90" i="83" s="1"/>
  <c r="AO304" i="53"/>
  <c r="AO520" i="53" s="1"/>
  <c r="AO93" i="80" s="1"/>
  <c r="AO105" i="80" s="1"/>
  <c r="AD242" i="80"/>
  <c r="AO320" i="53"/>
  <c r="AO536" i="53" s="1"/>
  <c r="AO121" i="80" s="1"/>
  <c r="AO133" i="80" s="1"/>
  <c r="AK309" i="53"/>
  <c r="AK525" i="53" s="1"/>
  <c r="AK99" i="83" s="1"/>
  <c r="AK295" i="53"/>
  <c r="AK511" i="53" s="1"/>
  <c r="AK72" i="80" s="1"/>
  <c r="AK84" i="80" s="1"/>
  <c r="AK294" i="53"/>
  <c r="AK510" i="53" s="1"/>
  <c r="AK71" i="80" s="1"/>
  <c r="AK83" i="80" s="1"/>
  <c r="AK299" i="53"/>
  <c r="AK515" i="53" s="1"/>
  <c r="AK76" i="80" s="1"/>
  <c r="AK88" i="80" s="1"/>
  <c r="AK298" i="53"/>
  <c r="AK514" i="53" s="1"/>
  <c r="AK307" i="53"/>
  <c r="AK523" i="53" s="1"/>
  <c r="AK97" i="83" s="1"/>
  <c r="AK322" i="53"/>
  <c r="AK538" i="53" s="1"/>
  <c r="AK123" i="80" s="1"/>
  <c r="AK135" i="80" s="1"/>
  <c r="AO299" i="53"/>
  <c r="AO515" i="53" s="1"/>
  <c r="AO76" i="80" s="1"/>
  <c r="AO88" i="80" s="1"/>
  <c r="AO311" i="53"/>
  <c r="AO527" i="53" s="1"/>
  <c r="AO100" i="80" s="1"/>
  <c r="AO112" i="80" s="1"/>
  <c r="AO319" i="53"/>
  <c r="AO535" i="53" s="1"/>
  <c r="AO110" i="83" s="1"/>
  <c r="AO315" i="53"/>
  <c r="AO531" i="53" s="1"/>
  <c r="AO116" i="80" s="1"/>
  <c r="AO128" i="80" s="1"/>
  <c r="AO316" i="53"/>
  <c r="AO532" i="53" s="1"/>
  <c r="AO107" i="83" s="1"/>
  <c r="AO305" i="53"/>
  <c r="AO521" i="53" s="1"/>
  <c r="AO95" i="83" s="1"/>
  <c r="AO308" i="53"/>
  <c r="AO524" i="53" s="1"/>
  <c r="AO98" i="83" s="1"/>
  <c r="AO70" i="80"/>
  <c r="AO82" i="80" s="1"/>
  <c r="AK301" i="53"/>
  <c r="AK517" i="53" s="1"/>
  <c r="AK306" i="53"/>
  <c r="AK522" i="53" s="1"/>
  <c r="AK96" i="83" s="1"/>
  <c r="AK316" i="53"/>
  <c r="AK532" i="53" s="1"/>
  <c r="AK117" i="80" s="1"/>
  <c r="AK129" i="80" s="1"/>
  <c r="AK308" i="53"/>
  <c r="AK524" i="53" s="1"/>
  <c r="AO322" i="53"/>
  <c r="AO538" i="53" s="1"/>
  <c r="AO113" i="83" s="1"/>
  <c r="AO307" i="53"/>
  <c r="AO523" i="53" s="1"/>
  <c r="AO96" i="80" s="1"/>
  <c r="AO108" i="80" s="1"/>
  <c r="AO298" i="53"/>
  <c r="AO514" i="53" s="1"/>
  <c r="AO75" i="80" s="1"/>
  <c r="AO87" i="80" s="1"/>
  <c r="AO309" i="53"/>
  <c r="AO525" i="53" s="1"/>
  <c r="AO99" i="83" s="1"/>
  <c r="AO312" i="53"/>
  <c r="AO528" i="53" s="1"/>
  <c r="AO102" i="83" s="1"/>
  <c r="AO310" i="53"/>
  <c r="AO526" i="53" s="1"/>
  <c r="AO100" i="83" s="1"/>
  <c r="AP114" i="83"/>
  <c r="T241" i="83"/>
  <c r="AK296" i="53"/>
  <c r="AK512" i="53" s="1"/>
  <c r="AK73" i="80" s="1"/>
  <c r="AK85" i="80" s="1"/>
  <c r="AK305" i="53"/>
  <c r="AK521" i="53" s="1"/>
  <c r="AK95" i="83" s="1"/>
  <c r="AK297" i="53"/>
  <c r="AK513" i="53" s="1"/>
  <c r="AO321" i="53"/>
  <c r="AO537" i="53" s="1"/>
  <c r="AO122" i="80" s="1"/>
  <c r="AO134" i="80" s="1"/>
  <c r="AO306" i="53"/>
  <c r="AO522" i="53" s="1"/>
  <c r="AO95" i="80" s="1"/>
  <c r="AO107" i="80" s="1"/>
  <c r="AO295" i="53"/>
  <c r="AO511" i="53" s="1"/>
  <c r="AO72" i="80" s="1"/>
  <c r="AO84" i="80" s="1"/>
  <c r="AO317" i="53"/>
  <c r="AO533" i="53" s="1"/>
  <c r="AO108" i="83" s="1"/>
  <c r="AO323" i="53"/>
  <c r="AO539" i="53" s="1"/>
  <c r="AO124" i="80" s="1"/>
  <c r="AO136" i="80" s="1"/>
  <c r="AP76" i="80"/>
  <c r="AP88" i="80" s="1"/>
  <c r="AP71" i="80"/>
  <c r="AP83" i="80" s="1"/>
  <c r="M204" i="80"/>
  <c r="K242" i="80"/>
  <c r="AN242" i="80"/>
  <c r="AG72" i="80"/>
  <c r="AG84" i="80" s="1"/>
  <c r="AP118" i="80"/>
  <c r="AP130" i="80" s="1"/>
  <c r="AP89" i="83"/>
  <c r="AP77" i="80"/>
  <c r="AP89" i="80" s="1"/>
  <c r="AP112" i="83"/>
  <c r="AP122" i="80"/>
  <c r="AP134" i="80" s="1"/>
  <c r="AP99" i="80"/>
  <c r="AP111" i="80" s="1"/>
  <c r="AP100" i="83"/>
  <c r="AO296" i="53"/>
  <c r="AO512" i="53" s="1"/>
  <c r="AO73" i="80" s="1"/>
  <c r="AO85" i="80" s="1"/>
  <c r="AO297" i="53"/>
  <c r="AO513" i="53" s="1"/>
  <c r="AO74" i="80" s="1"/>
  <c r="AO86" i="80" s="1"/>
  <c r="AP94" i="83"/>
  <c r="AP121" i="80"/>
  <c r="AP133" i="80" s="1"/>
  <c r="AP87" i="83"/>
  <c r="AP90" i="83"/>
  <c r="AP78" i="80"/>
  <c r="AP90" i="80" s="1"/>
  <c r="AP96" i="80"/>
  <c r="AP108" i="80" s="1"/>
  <c r="AP97" i="83"/>
  <c r="AP73" i="80"/>
  <c r="AP85" i="80" s="1"/>
  <c r="AP93" i="83"/>
  <c r="AP117" i="80"/>
  <c r="AP129" i="80" s="1"/>
  <c r="AP109" i="83"/>
  <c r="AP119" i="80"/>
  <c r="AP131" i="80" s="1"/>
  <c r="AP86" i="83"/>
  <c r="AP74" i="80"/>
  <c r="AP86" i="80" s="1"/>
  <c r="AP101" i="83"/>
  <c r="AP100" i="80"/>
  <c r="AP112" i="80" s="1"/>
  <c r="AP123" i="80"/>
  <c r="AP135" i="80" s="1"/>
  <c r="AP113" i="83"/>
  <c r="T37" i="53"/>
  <c r="T55" i="53" s="1"/>
  <c r="AD246" i="80"/>
  <c r="AM119" i="80"/>
  <c r="AM131" i="80" s="1"/>
  <c r="AD254" i="80"/>
  <c r="AN241" i="80"/>
  <c r="AM88" i="83"/>
  <c r="H27" i="73"/>
  <c r="AP70" i="80"/>
  <c r="AP82" i="80" s="1"/>
  <c r="AP82" i="83"/>
  <c r="AP81" i="83"/>
  <c r="AP96" i="83"/>
  <c r="AP95" i="80"/>
  <c r="AP107" i="80" s="1"/>
  <c r="AP102" i="83"/>
  <c r="AP101" i="80"/>
  <c r="AP113" i="80" s="1"/>
  <c r="AN259" i="80"/>
  <c r="T30" i="41"/>
  <c r="T77" i="41" s="1"/>
  <c r="BA97" i="41" s="1"/>
  <c r="AD241" i="80"/>
  <c r="AN254" i="80"/>
  <c r="AP116" i="80"/>
  <c r="AP128" i="80" s="1"/>
  <c r="AP106" i="83"/>
  <c r="AP105" i="83"/>
  <c r="AN246" i="80"/>
  <c r="AD255" i="80"/>
  <c r="S30" i="41"/>
  <c r="S77" i="41" s="1"/>
  <c r="AZ97" i="41" s="1"/>
  <c r="M73" i="53"/>
  <c r="M246" i="83" s="1"/>
  <c r="AN256" i="80"/>
  <c r="AK310" i="53"/>
  <c r="AK526" i="53" s="1"/>
  <c r="AK293" i="53"/>
  <c r="AK509" i="53" s="1"/>
  <c r="AK93" i="80"/>
  <c r="AK105" i="80" s="1"/>
  <c r="AK93" i="83"/>
  <c r="AK94" i="83"/>
  <c r="AK319" i="53"/>
  <c r="AK535" i="53" s="1"/>
  <c r="AK110" i="83" s="1"/>
  <c r="AK318" i="53"/>
  <c r="AK534" i="53" s="1"/>
  <c r="AK119" i="80" s="1"/>
  <c r="AK131" i="80" s="1"/>
  <c r="AK312" i="53"/>
  <c r="AK528" i="53" s="1"/>
  <c r="AK300" i="53"/>
  <c r="AK516" i="53" s="1"/>
  <c r="AK315" i="53"/>
  <c r="AK531" i="53" s="1"/>
  <c r="AK311" i="53"/>
  <c r="AK527" i="53" s="1"/>
  <c r="S241" i="83"/>
  <c r="K74" i="53"/>
  <c r="K247" i="83" s="1"/>
  <c r="AI72" i="80"/>
  <c r="AI84" i="80" s="1"/>
  <c r="P37" i="53"/>
  <c r="P56" i="53" s="1"/>
  <c r="H24" i="73"/>
  <c r="AN252" i="80"/>
  <c r="K239" i="80"/>
  <c r="S37" i="53"/>
  <c r="S56" i="53" s="1"/>
  <c r="AD239" i="80"/>
  <c r="P57" i="80"/>
  <c r="P92" i="22"/>
  <c r="P17" i="111" s="1"/>
  <c r="AN239" i="80"/>
  <c r="AN257" i="80"/>
  <c r="AG77" i="80"/>
  <c r="AG89" i="80" s="1"/>
  <c r="AD258" i="80"/>
  <c r="W191" i="80"/>
  <c r="W192" i="80" s="1"/>
  <c r="W202" i="80" s="1"/>
  <c r="K244" i="80"/>
  <c r="K245" i="80"/>
  <c r="AN244" i="80"/>
  <c r="K75" i="53"/>
  <c r="K248" i="83" s="1"/>
  <c r="AN258" i="80"/>
  <c r="AD245" i="80"/>
  <c r="K45" i="82" a="1"/>
  <c r="M45" i="82" s="1"/>
  <c r="AN245" i="80"/>
  <c r="M74" i="53"/>
  <c r="M247" i="83" s="1"/>
  <c r="AD257" i="80"/>
  <c r="AN144" i="80"/>
  <c r="AN170" i="80" s="1"/>
  <c r="X191" i="80"/>
  <c r="X192" i="80" s="1"/>
  <c r="X242" i="80" s="1"/>
  <c r="J92" i="22"/>
  <c r="J17" i="111" s="1"/>
  <c r="AB191" i="80"/>
  <c r="AB192" i="80" s="1"/>
  <c r="K72" i="53"/>
  <c r="AC99" i="83"/>
  <c r="AC97" i="83"/>
  <c r="K71" i="53"/>
  <c r="AC101" i="80"/>
  <c r="AC113" i="80" s="1"/>
  <c r="AF322" i="53"/>
  <c r="AF538" i="53" s="1"/>
  <c r="AF308" i="53"/>
  <c r="AF524" i="53" s="1"/>
  <c r="AF311" i="53"/>
  <c r="AF527" i="53" s="1"/>
  <c r="AF295" i="53"/>
  <c r="AF511" i="53" s="1"/>
  <c r="AF316" i="53"/>
  <c r="AF532" i="53" s="1"/>
  <c r="AF306" i="53"/>
  <c r="AF522" i="53" s="1"/>
  <c r="AF321" i="53"/>
  <c r="AF537" i="53" s="1"/>
  <c r="AF296" i="53"/>
  <c r="AF512" i="53" s="1"/>
  <c r="AF301" i="53"/>
  <c r="AF517" i="53" s="1"/>
  <c r="AF320" i="53"/>
  <c r="AF536" i="53" s="1"/>
  <c r="AF307" i="53"/>
  <c r="AF523" i="53" s="1"/>
  <c r="AF317" i="53"/>
  <c r="AF533" i="53" s="1"/>
  <c r="AF293" i="53"/>
  <c r="AF509" i="53" s="1"/>
  <c r="AF299" i="53"/>
  <c r="AF515" i="53" s="1"/>
  <c r="AF294" i="53"/>
  <c r="AF510" i="53" s="1"/>
  <c r="AF319" i="53"/>
  <c r="AF535" i="53" s="1"/>
  <c r="AF312" i="53"/>
  <c r="AF528" i="53" s="1"/>
  <c r="AF323" i="53"/>
  <c r="AF539" i="53" s="1"/>
  <c r="AF305" i="53"/>
  <c r="AF521" i="53" s="1"/>
  <c r="AF304" i="53"/>
  <c r="AF520" i="53" s="1"/>
  <c r="AF309" i="53"/>
  <c r="AF525" i="53" s="1"/>
  <c r="AF298" i="53"/>
  <c r="AF514" i="53" s="1"/>
  <c r="AF318" i="53"/>
  <c r="AF534" i="53" s="1"/>
  <c r="AF310" i="53"/>
  <c r="AF526" i="53" s="1"/>
  <c r="AF315" i="53"/>
  <c r="AF531" i="53" s="1"/>
  <c r="AF300" i="53"/>
  <c r="AF516" i="53" s="1"/>
  <c r="AF297" i="53"/>
  <c r="AF513" i="53" s="1"/>
  <c r="AC112" i="83"/>
  <c r="AO117" i="80"/>
  <c r="AO129" i="80" s="1"/>
  <c r="AC120" i="80"/>
  <c r="AC132" i="80" s="1"/>
  <c r="AC110" i="83"/>
  <c r="K70" i="53"/>
  <c r="K88" i="53" s="1"/>
  <c r="K90" i="53" s="1"/>
  <c r="K120" i="53" s="1"/>
  <c r="K122" i="53" s="1"/>
  <c r="AJ322" i="53"/>
  <c r="AJ538" i="53" s="1"/>
  <c r="AJ309" i="53"/>
  <c r="AJ525" i="53" s="1"/>
  <c r="AJ294" i="53"/>
  <c r="AJ510" i="53" s="1"/>
  <c r="AJ307" i="53"/>
  <c r="AJ523" i="53" s="1"/>
  <c r="AJ317" i="53"/>
  <c r="AJ533" i="53" s="1"/>
  <c r="AJ297" i="53"/>
  <c r="AJ513" i="53" s="1"/>
  <c r="AJ312" i="53"/>
  <c r="AJ528" i="53" s="1"/>
  <c r="AJ295" i="53"/>
  <c r="AJ511" i="53" s="1"/>
  <c r="AJ305" i="53"/>
  <c r="AJ521" i="53" s="1"/>
  <c r="AJ304" i="53"/>
  <c r="AJ520" i="53" s="1"/>
  <c r="AJ306" i="53"/>
  <c r="AJ522" i="53" s="1"/>
  <c r="AJ301" i="53"/>
  <c r="AJ517" i="53" s="1"/>
  <c r="AJ296" i="53"/>
  <c r="AJ512" i="53" s="1"/>
  <c r="AJ300" i="53"/>
  <c r="AJ516" i="53" s="1"/>
  <c r="AJ319" i="53"/>
  <c r="AJ535" i="53" s="1"/>
  <c r="AJ315" i="53"/>
  <c r="AJ531" i="53" s="1"/>
  <c r="AJ323" i="53"/>
  <c r="AJ539" i="53" s="1"/>
  <c r="AJ311" i="53"/>
  <c r="AJ527" i="53" s="1"/>
  <c r="AJ298" i="53"/>
  <c r="AJ514" i="53" s="1"/>
  <c r="AJ318" i="53"/>
  <c r="AJ534" i="53" s="1"/>
  <c r="AJ310" i="53"/>
  <c r="AJ526" i="53" s="1"/>
  <c r="AJ308" i="53"/>
  <c r="AJ524" i="53" s="1"/>
  <c r="AJ316" i="53"/>
  <c r="AJ532" i="53" s="1"/>
  <c r="AJ293" i="53"/>
  <c r="AJ509" i="53" s="1"/>
  <c r="AJ320" i="53"/>
  <c r="AJ536" i="53" s="1"/>
  <c r="AJ321" i="53"/>
  <c r="AJ537" i="53" s="1"/>
  <c r="AJ299" i="53"/>
  <c r="AJ515" i="53" s="1"/>
  <c r="AO77" i="80"/>
  <c r="AO89" i="80" s="1"/>
  <c r="AO111" i="83"/>
  <c r="AC97" i="80"/>
  <c r="AC109" i="80" s="1"/>
  <c r="AL294" i="53"/>
  <c r="AL510" i="53" s="1"/>
  <c r="AL297" i="53"/>
  <c r="AL513" i="53" s="1"/>
  <c r="AL318" i="53"/>
  <c r="AL534" i="53" s="1"/>
  <c r="AL307" i="53"/>
  <c r="AL523" i="53" s="1"/>
  <c r="AL317" i="53"/>
  <c r="AL533" i="53" s="1"/>
  <c r="AL309" i="53"/>
  <c r="AL525" i="53" s="1"/>
  <c r="AL319" i="53"/>
  <c r="AL535" i="53" s="1"/>
  <c r="AL298" i="53"/>
  <c r="AL514" i="53" s="1"/>
  <c r="AL305" i="53"/>
  <c r="AL521" i="53" s="1"/>
  <c r="AL296" i="53"/>
  <c r="AL512" i="53" s="1"/>
  <c r="AL320" i="53"/>
  <c r="AL536" i="53" s="1"/>
  <c r="AL308" i="53"/>
  <c r="AL524" i="53" s="1"/>
  <c r="AL316" i="53"/>
  <c r="AL532" i="53" s="1"/>
  <c r="AL306" i="53"/>
  <c r="AL522" i="53" s="1"/>
  <c r="AL295" i="53"/>
  <c r="AL511" i="53" s="1"/>
  <c r="AL299" i="53"/>
  <c r="AL515" i="53" s="1"/>
  <c r="AL315" i="53"/>
  <c r="AL531" i="53" s="1"/>
  <c r="AL323" i="53"/>
  <c r="AL539" i="53" s="1"/>
  <c r="AL310" i="53"/>
  <c r="AL526" i="53" s="1"/>
  <c r="AL304" i="53"/>
  <c r="AL520" i="53" s="1"/>
  <c r="AL301" i="53"/>
  <c r="AL517" i="53" s="1"/>
  <c r="AL300" i="53"/>
  <c r="AL516" i="53" s="1"/>
  <c r="AL321" i="53"/>
  <c r="AL537" i="53" s="1"/>
  <c r="AL311" i="53"/>
  <c r="AL527" i="53" s="1"/>
  <c r="AL322" i="53"/>
  <c r="AL538" i="53" s="1"/>
  <c r="AL312" i="53"/>
  <c r="AL528" i="53" s="1"/>
  <c r="AL293" i="53"/>
  <c r="AL509" i="53" s="1"/>
  <c r="AC85" i="83"/>
  <c r="AC73" i="80"/>
  <c r="AC85" i="80" s="1"/>
  <c r="AC94" i="80"/>
  <c r="AC106" i="80" s="1"/>
  <c r="AC95" i="83"/>
  <c r="AD206" i="80"/>
  <c r="AN150" i="80"/>
  <c r="AN176" i="80" s="1"/>
  <c r="K257" i="80"/>
  <c r="AN149" i="80"/>
  <c r="AN175" i="80" s="1"/>
  <c r="K255" i="80"/>
  <c r="AB27" i="111"/>
  <c r="AB33" i="111" s="1"/>
  <c r="AB28" i="111"/>
  <c r="AB34" i="111" s="1"/>
  <c r="AK244" i="80"/>
  <c r="AK257" i="80"/>
  <c r="AP257" i="80"/>
  <c r="AP87" i="80"/>
  <c r="AP244" i="80"/>
  <c r="T242" i="83"/>
  <c r="T58" i="80"/>
  <c r="T31" i="41"/>
  <c r="T78" i="41" s="1"/>
  <c r="CH97" i="41" s="1"/>
  <c r="T38" i="53"/>
  <c r="T92" i="22"/>
  <c r="T17" i="111" s="1"/>
  <c r="AF242" i="80"/>
  <c r="AF255" i="80"/>
  <c r="AF243" i="80"/>
  <c r="AF256" i="80"/>
  <c r="J18" i="74"/>
  <c r="J32" i="41"/>
  <c r="J16" i="111"/>
  <c r="AC245" i="80"/>
  <c r="AC258" i="80"/>
  <c r="AH132" i="80"/>
  <c r="AH109" i="80"/>
  <c r="AH86" i="80"/>
  <c r="AH256" i="80"/>
  <c r="AH243" i="80"/>
  <c r="L16" i="111"/>
  <c r="L18" i="74"/>
  <c r="L32" i="41"/>
  <c r="AO256" i="80"/>
  <c r="AO243" i="80"/>
  <c r="AO204" i="80"/>
  <c r="AO202" i="80"/>
  <c r="AO206" i="80" s="1"/>
  <c r="X27" i="111"/>
  <c r="X33" i="111" s="1"/>
  <c r="X28" i="111"/>
  <c r="X34" i="111" s="1"/>
  <c r="AL244" i="80"/>
  <c r="AL257" i="80"/>
  <c r="AL258" i="80"/>
  <c r="AL245" i="80"/>
  <c r="W39" i="53"/>
  <c r="W47" i="53"/>
  <c r="W48" i="53"/>
  <c r="W46" i="53"/>
  <c r="AJ204" i="80"/>
  <c r="AJ202" i="80"/>
  <c r="AJ206" i="80" s="1"/>
  <c r="Y77" i="41"/>
  <c r="BF97" i="41" s="1"/>
  <c r="K246" i="80"/>
  <c r="K259" i="80"/>
  <c r="AI100" i="83"/>
  <c r="AA77" i="41"/>
  <c r="BH97" i="41" s="1"/>
  <c r="AC241" i="80"/>
  <c r="AC254" i="80"/>
  <c r="N56" i="53"/>
  <c r="N55" i="53"/>
  <c r="N57" i="53"/>
  <c r="AE259" i="80"/>
  <c r="AE246" i="80"/>
  <c r="Y76" i="41"/>
  <c r="Y97" i="41" s="1"/>
  <c r="Z241" i="80"/>
  <c r="Z254" i="80"/>
  <c r="O254" i="80"/>
  <c r="O257" i="80"/>
  <c r="O202" i="80"/>
  <c r="O206" i="80" s="1"/>
  <c r="O253" i="80"/>
  <c r="O252" i="80"/>
  <c r="O255" i="80"/>
  <c r="O256" i="80"/>
  <c r="O259" i="80"/>
  <c r="O260" i="80"/>
  <c r="O258" i="80"/>
  <c r="O245" i="80"/>
  <c r="O243" i="80"/>
  <c r="O241" i="80"/>
  <c r="O240" i="80"/>
  <c r="O239" i="80"/>
  <c r="O244" i="80"/>
  <c r="O242" i="80"/>
  <c r="O246" i="80"/>
  <c r="AE204" i="80"/>
  <c r="AE202" i="80"/>
  <c r="AE206" i="80" s="1"/>
  <c r="AE256" i="80"/>
  <c r="AE243" i="80"/>
  <c r="N202" i="80"/>
  <c r="N245" i="80"/>
  <c r="N241" i="80"/>
  <c r="N244" i="80"/>
  <c r="N243" i="80"/>
  <c r="N239" i="80"/>
  <c r="N246" i="80"/>
  <c r="N242" i="80"/>
  <c r="N240" i="80"/>
  <c r="Q65" i="53"/>
  <c r="Q66" i="53"/>
  <c r="Q64" i="53"/>
  <c r="AM110" i="80"/>
  <c r="AM244" i="80"/>
  <c r="AM257" i="80"/>
  <c r="AA202" i="80"/>
  <c r="AA241" i="80"/>
  <c r="AA244" i="80"/>
  <c r="AA245" i="80"/>
  <c r="AA243" i="80"/>
  <c r="AA242" i="80"/>
  <c r="AA239" i="80"/>
  <c r="AA240" i="80"/>
  <c r="AA246" i="80"/>
  <c r="H302" i="31" a="1"/>
  <c r="H302" i="31" s="1"/>
  <c r="Q57" i="80"/>
  <c r="Q59" i="80" s="1"/>
  <c r="Q200" i="80" s="1"/>
  <c r="Q30" i="41"/>
  <c r="Q77" i="41" s="1"/>
  <c r="AX97" i="41" s="1"/>
  <c r="Q37" i="53"/>
  <c r="Q39" i="53" s="1"/>
  <c r="Q92" i="22"/>
  <c r="Q17" i="111" s="1"/>
  <c r="O57" i="53"/>
  <c r="O55" i="53"/>
  <c r="O56" i="53"/>
  <c r="V59" i="80"/>
  <c r="V200" i="80" s="1"/>
  <c r="X57" i="53"/>
  <c r="X55" i="53"/>
  <c r="X56" i="53"/>
  <c r="X76" i="41"/>
  <c r="X97" i="41" s="1"/>
  <c r="U59" i="80"/>
  <c r="U200" i="80" s="1"/>
  <c r="AI204" i="80"/>
  <c r="AI202" i="80"/>
  <c r="AI206" i="80" s="1"/>
  <c r="AI239" i="80"/>
  <c r="AI252" i="80"/>
  <c r="AM112" i="83"/>
  <c r="AI94" i="80"/>
  <c r="AI106" i="80" s="1"/>
  <c r="AI95" i="83"/>
  <c r="AG256" i="80"/>
  <c r="AG243" i="80"/>
  <c r="R59" i="80"/>
  <c r="R200" i="80" s="1"/>
  <c r="R256" i="80" s="1"/>
  <c r="Z204" i="80"/>
  <c r="Z202" i="80"/>
  <c r="K241" i="80"/>
  <c r="K254" i="80"/>
  <c r="AC256" i="80"/>
  <c r="AC243" i="80"/>
  <c r="AC204" i="80"/>
  <c r="AC202" i="80"/>
  <c r="AC206" i="80" s="1"/>
  <c r="S188" i="80"/>
  <c r="S191" i="80" s="1"/>
  <c r="S192" i="80" s="1"/>
  <c r="S33" i="41"/>
  <c r="P77" i="41"/>
  <c r="AW97" i="41" s="1"/>
  <c r="V28" i="111"/>
  <c r="V34" i="111" s="1"/>
  <c r="V27" i="111"/>
  <c r="V33" i="111" s="1"/>
  <c r="Z239" i="80"/>
  <c r="Z252" i="80"/>
  <c r="AO252" i="80"/>
  <c r="AO239" i="80"/>
  <c r="AD315" i="53"/>
  <c r="AD531" i="53" s="1"/>
  <c r="AD294" i="53"/>
  <c r="AD510" i="53" s="1"/>
  <c r="AD318" i="53"/>
  <c r="AD534" i="53" s="1"/>
  <c r="AD306" i="53"/>
  <c r="AD522" i="53" s="1"/>
  <c r="AD293" i="53"/>
  <c r="AD509" i="53" s="1"/>
  <c r="AD296" i="53"/>
  <c r="AD512" i="53" s="1"/>
  <c r="AD316" i="53"/>
  <c r="AD532" i="53" s="1"/>
  <c r="AD295" i="53"/>
  <c r="AD511" i="53" s="1"/>
  <c r="AD310" i="53"/>
  <c r="AD526" i="53" s="1"/>
  <c r="AD298" i="53"/>
  <c r="AD514" i="53" s="1"/>
  <c r="AD305" i="53"/>
  <c r="AD521" i="53" s="1"/>
  <c r="AD307" i="53"/>
  <c r="AD523" i="53" s="1"/>
  <c r="AD321" i="53"/>
  <c r="AD537" i="53" s="1"/>
  <c r="AD299" i="53"/>
  <c r="AD515" i="53" s="1"/>
  <c r="AD309" i="53"/>
  <c r="AD525" i="53" s="1"/>
  <c r="AD317" i="53"/>
  <c r="AD533" i="53" s="1"/>
  <c r="AD304" i="53"/>
  <c r="AD520" i="53" s="1"/>
  <c r="AD320" i="53"/>
  <c r="AD536" i="53" s="1"/>
  <c r="AD312" i="53"/>
  <c r="AD528" i="53" s="1"/>
  <c r="AD301" i="53"/>
  <c r="AD517" i="53" s="1"/>
  <c r="AD322" i="53"/>
  <c r="AD538" i="53" s="1"/>
  <c r="AD300" i="53"/>
  <c r="AD516" i="53" s="1"/>
  <c r="AD323" i="53"/>
  <c r="AD539" i="53" s="1"/>
  <c r="AD308" i="53"/>
  <c r="AD524" i="53" s="1"/>
  <c r="AD319" i="53"/>
  <c r="AD535" i="53" s="1"/>
  <c r="AD297" i="53"/>
  <c r="AD513" i="53" s="1"/>
  <c r="AD311" i="53"/>
  <c r="AD527" i="53" s="1"/>
  <c r="R64" i="53"/>
  <c r="R66" i="53"/>
  <c r="R65" i="53"/>
  <c r="AL246" i="80"/>
  <c r="AL259" i="80"/>
  <c r="AK243" i="80"/>
  <c r="AK256" i="80"/>
  <c r="AM84" i="83"/>
  <c r="AI246" i="80"/>
  <c r="AI259" i="80"/>
  <c r="W56" i="53"/>
  <c r="W57" i="53"/>
  <c r="W55" i="53"/>
  <c r="AF241" i="80"/>
  <c r="AF254" i="80"/>
  <c r="AF257" i="80"/>
  <c r="AF244" i="80"/>
  <c r="V191" i="80"/>
  <c r="V192" i="80" s="1"/>
  <c r="AG254" i="80"/>
  <c r="AG241" i="80"/>
  <c r="R77" i="41"/>
  <c r="AY97" i="41" s="1"/>
  <c r="P78" i="41"/>
  <c r="CD97" i="41" s="1"/>
  <c r="AH133" i="80"/>
  <c r="AH87" i="80"/>
  <c r="AH244" i="80"/>
  <c r="AH257" i="80"/>
  <c r="R76" i="41"/>
  <c r="R97" i="41" s="1"/>
  <c r="Z258" i="80"/>
  <c r="Z245" i="80"/>
  <c r="AE254" i="80"/>
  <c r="AE241" i="80"/>
  <c r="AO253" i="80"/>
  <c r="AO240" i="80"/>
  <c r="AO255" i="80"/>
  <c r="AO242" i="80"/>
  <c r="W65" i="53"/>
  <c r="W64" i="53"/>
  <c r="W66" i="53"/>
  <c r="S242" i="83"/>
  <c r="S38" i="53"/>
  <c r="S31" i="41"/>
  <c r="S78" i="41" s="1"/>
  <c r="CG97" i="41" s="1"/>
  <c r="S58" i="80"/>
  <c r="S92" i="22"/>
  <c r="S17" i="111" s="1"/>
  <c r="AC246" i="80"/>
  <c r="AC259" i="80"/>
  <c r="N59" i="80"/>
  <c r="N200" i="80" s="1"/>
  <c r="N259" i="80" s="1"/>
  <c r="AE305" i="53"/>
  <c r="AE521" i="53" s="1"/>
  <c r="AE306" i="53"/>
  <c r="AE522" i="53" s="1"/>
  <c r="AE316" i="53"/>
  <c r="AE532" i="53" s="1"/>
  <c r="AE323" i="53"/>
  <c r="AE539" i="53" s="1"/>
  <c r="AE317" i="53"/>
  <c r="AE533" i="53" s="1"/>
  <c r="AE312" i="53"/>
  <c r="AE528" i="53" s="1"/>
  <c r="AE311" i="53"/>
  <c r="AE527" i="53" s="1"/>
  <c r="AE304" i="53"/>
  <c r="AE520" i="53" s="1"/>
  <c r="AE310" i="53"/>
  <c r="AE526" i="53" s="1"/>
  <c r="AE299" i="53"/>
  <c r="AE515" i="53" s="1"/>
  <c r="AE295" i="53"/>
  <c r="AE511" i="53" s="1"/>
  <c r="AE301" i="53"/>
  <c r="AE517" i="53" s="1"/>
  <c r="AE300" i="53"/>
  <c r="AE516" i="53" s="1"/>
  <c r="AE322" i="53"/>
  <c r="AE538" i="53" s="1"/>
  <c r="AE293" i="53"/>
  <c r="AE509" i="53" s="1"/>
  <c r="AE294" i="53"/>
  <c r="AE510" i="53" s="1"/>
  <c r="AE319" i="53"/>
  <c r="AE535" i="53" s="1"/>
  <c r="AE307" i="53"/>
  <c r="AE523" i="53" s="1"/>
  <c r="AE298" i="53"/>
  <c r="AE514" i="53" s="1"/>
  <c r="AE297" i="53"/>
  <c r="AE513" i="53" s="1"/>
  <c r="AE318" i="53"/>
  <c r="AE534" i="53" s="1"/>
  <c r="AE296" i="53"/>
  <c r="AE512" i="53" s="1"/>
  <c r="AE308" i="53"/>
  <c r="AE524" i="53" s="1"/>
  <c r="AE320" i="53"/>
  <c r="AE536" i="53" s="1"/>
  <c r="AE321" i="53"/>
  <c r="AE537" i="53" s="1"/>
  <c r="AE309" i="53"/>
  <c r="AE525" i="53" s="1"/>
  <c r="AE315" i="53"/>
  <c r="AE531" i="53" s="1"/>
  <c r="R78" i="41"/>
  <c r="CF97" i="41" s="1"/>
  <c r="AA59" i="80"/>
  <c r="AA200" i="80" s="1"/>
  <c r="AM124" i="80"/>
  <c r="AM136" i="80" s="1"/>
  <c r="AM114" i="83"/>
  <c r="AL243" i="80"/>
  <c r="AL256" i="80"/>
  <c r="AK254" i="80"/>
  <c r="AK241" i="80"/>
  <c r="AM243" i="80"/>
  <c r="AM256" i="80"/>
  <c r="AP258" i="80"/>
  <c r="AP245" i="80"/>
  <c r="X78" i="41"/>
  <c r="CL97" i="41" s="1"/>
  <c r="AG101" i="83"/>
  <c r="AI241" i="80"/>
  <c r="AI254" i="80"/>
  <c r="AI243" i="80"/>
  <c r="AI256" i="80"/>
  <c r="AM96" i="83"/>
  <c r="V77" i="41"/>
  <c r="BC97" i="41" s="1"/>
  <c r="AF239" i="80"/>
  <c r="AF252" i="80"/>
  <c r="AG204" i="80"/>
  <c r="AG202" i="80"/>
  <c r="AB65" i="53"/>
  <c r="AB64" i="53"/>
  <c r="AB66" i="53"/>
  <c r="AA28" i="111"/>
  <c r="AA34" i="111" s="1"/>
  <c r="AA27" i="111"/>
  <c r="AA33" i="111" s="1"/>
  <c r="AJ242" i="80"/>
  <c r="AJ255" i="80"/>
  <c r="AH204" i="80"/>
  <c r="AH136" i="80"/>
  <c r="AH90" i="80"/>
  <c r="AH113" i="80"/>
  <c r="AH202" i="80"/>
  <c r="AH206" i="80" s="1"/>
  <c r="AH111" i="80"/>
  <c r="AH134" i="80"/>
  <c r="AH258" i="80"/>
  <c r="AH245" i="80"/>
  <c r="K258" i="80"/>
  <c r="AP259" i="80"/>
  <c r="AP246" i="80"/>
  <c r="AB202" i="80"/>
  <c r="AB241" i="80"/>
  <c r="AB245" i="80"/>
  <c r="AB243" i="80"/>
  <c r="AB244" i="80"/>
  <c r="AB246" i="80"/>
  <c r="AB240" i="80"/>
  <c r="AB242" i="80"/>
  <c r="AB239" i="80"/>
  <c r="U46" i="53"/>
  <c r="U47" i="53"/>
  <c r="U39" i="53"/>
  <c r="U48" i="53"/>
  <c r="T32" i="41"/>
  <c r="T16" i="111"/>
  <c r="T18" i="74"/>
  <c r="AG259" i="80"/>
  <c r="AG246" i="80"/>
  <c r="R55" i="53"/>
  <c r="R57" i="53"/>
  <c r="R56" i="53"/>
  <c r="P64" i="53"/>
  <c r="P66" i="53"/>
  <c r="P65" i="53"/>
  <c r="AJ245" i="80"/>
  <c r="AJ258" i="80"/>
  <c r="AH105" i="80"/>
  <c r="AH239" i="80"/>
  <c r="AH252" i="80"/>
  <c r="R39" i="53"/>
  <c r="R46" i="53"/>
  <c r="R48" i="53"/>
  <c r="R47" i="53"/>
  <c r="Y59" i="80"/>
  <c r="Y200" i="80" s="1"/>
  <c r="AE258" i="80"/>
  <c r="AE245" i="80"/>
  <c r="L36" i="53"/>
  <c r="L29" i="41"/>
  <c r="L76" i="41" s="1"/>
  <c r="L97" i="41" s="1"/>
  <c r="L56" i="80"/>
  <c r="L240" i="83"/>
  <c r="J189" i="80"/>
  <c r="J34" i="41"/>
  <c r="V78" i="41"/>
  <c r="CJ97" i="41" s="1"/>
  <c r="Y78" i="41"/>
  <c r="CM97" i="41" s="1"/>
  <c r="AA76" i="41"/>
  <c r="AA97" i="41" s="1"/>
  <c r="AK259" i="80"/>
  <c r="AK246" i="80"/>
  <c r="AM88" i="80"/>
  <c r="AM258" i="80"/>
  <c r="AM245" i="80"/>
  <c r="AI105" i="83"/>
  <c r="AI116" i="80"/>
  <c r="AI128" i="80" s="1"/>
  <c r="AI106" i="83"/>
  <c r="X202" i="80"/>
  <c r="X241" i="80"/>
  <c r="X243" i="80"/>
  <c r="X244" i="80"/>
  <c r="X245" i="80"/>
  <c r="X239" i="80"/>
  <c r="X240" i="80"/>
  <c r="X246" i="80"/>
  <c r="K204" i="80"/>
  <c r="K206" i="80" s="1"/>
  <c r="AE239" i="80"/>
  <c r="AE252" i="80"/>
  <c r="AN142" i="80"/>
  <c r="AN168" i="80" s="1"/>
  <c r="N28" i="111"/>
  <c r="N34" i="111" s="1"/>
  <c r="N27" i="111"/>
  <c r="N33" i="111" s="1"/>
  <c r="AO246" i="80"/>
  <c r="AO259" i="80"/>
  <c r="U77" i="41"/>
  <c r="BB97" i="41" s="1"/>
  <c r="AB76" i="41"/>
  <c r="AB97" i="41" s="1"/>
  <c r="V66" i="53"/>
  <c r="V64" i="53"/>
  <c r="V65" i="53"/>
  <c r="AC257" i="80"/>
  <c r="AC244" i="80"/>
  <c r="Y66" i="53"/>
  <c r="Y64" i="53"/>
  <c r="Y65" i="53"/>
  <c r="Q76" i="41"/>
  <c r="Q97" i="41" s="1"/>
  <c r="N267" i="83"/>
  <c r="N243" i="83"/>
  <c r="AN148" i="80"/>
  <c r="AN174" i="80" s="1"/>
  <c r="AA47" i="53"/>
  <c r="AA39" i="53"/>
  <c r="AA106" i="53" s="1"/>
  <c r="AA107" i="53" s="1"/>
  <c r="AA48" i="53"/>
  <c r="AA46" i="53"/>
  <c r="AL253" i="80"/>
  <c r="AL240" i="80"/>
  <c r="AL241" i="80"/>
  <c r="AL254" i="80"/>
  <c r="M75" i="53"/>
  <c r="M248" i="83" s="1"/>
  <c r="AK204" i="80"/>
  <c r="AK202" i="80"/>
  <c r="AK206" i="80" s="1"/>
  <c r="AB77" i="41"/>
  <c r="BI97" i="41" s="1"/>
  <c r="AP255" i="80"/>
  <c r="AP242" i="80"/>
  <c r="AP204" i="80"/>
  <c r="AP202" i="80"/>
  <c r="AP136" i="80"/>
  <c r="M70" i="53"/>
  <c r="M71" i="53"/>
  <c r="M72" i="53"/>
  <c r="AN143" i="80"/>
  <c r="AN169" i="80" s="1"/>
  <c r="AM82" i="83"/>
  <c r="AM81" i="83"/>
  <c r="AM70" i="80"/>
  <c r="AM82" i="80" s="1"/>
  <c r="V55" i="53"/>
  <c r="V56" i="53"/>
  <c r="V57" i="53"/>
  <c r="AF204" i="80"/>
  <c r="AF202" i="80"/>
  <c r="AF206" i="80" s="1"/>
  <c r="AN146" i="80"/>
  <c r="AN172" i="80" s="1"/>
  <c r="O48" i="53"/>
  <c r="O46" i="53"/>
  <c r="O39" i="53"/>
  <c r="O47" i="53"/>
  <c r="AJ256" i="80"/>
  <c r="AJ243" i="80"/>
  <c r="AH129" i="80"/>
  <c r="AH83" i="80"/>
  <c r="AH240" i="80"/>
  <c r="AH253" i="80"/>
  <c r="AN145" i="80"/>
  <c r="AN171" i="80" s="1"/>
  <c r="AM204" i="80"/>
  <c r="AM202" i="80"/>
  <c r="AP240" i="80"/>
  <c r="AP253" i="80"/>
  <c r="T56" i="80"/>
  <c r="T240" i="83"/>
  <c r="T29" i="41"/>
  <c r="T76" i="41" s="1"/>
  <c r="T97" i="41" s="1"/>
  <c r="T36" i="53"/>
  <c r="AI244" i="80"/>
  <c r="AI257" i="80"/>
  <c r="W77" i="41"/>
  <c r="BD97" i="41" s="1"/>
  <c r="AI111" i="83"/>
  <c r="AI121" i="80"/>
  <c r="AI133" i="80" s="1"/>
  <c r="AG242" i="80"/>
  <c r="AG255" i="80"/>
  <c r="Z244" i="80"/>
  <c r="Z257" i="80"/>
  <c r="Z256" i="80"/>
  <c r="Z243" i="80"/>
  <c r="AE253" i="80"/>
  <c r="AE240" i="80"/>
  <c r="AE255" i="80"/>
  <c r="AE242" i="80"/>
  <c r="AM106" i="83"/>
  <c r="AM116" i="80"/>
  <c r="AM128" i="80" s="1"/>
  <c r="AM105" i="83"/>
  <c r="Q16" i="111"/>
  <c r="Q32" i="41"/>
  <c r="Q18" i="74"/>
  <c r="Q129" i="74" s="1"/>
  <c r="AO258" i="80"/>
  <c r="AO245" i="80"/>
  <c r="U56" i="53"/>
  <c r="U55" i="53"/>
  <c r="U57" i="53"/>
  <c r="Q48" i="53"/>
  <c r="Q46" i="53"/>
  <c r="Q47" i="53"/>
  <c r="J33" i="41"/>
  <c r="J188" i="80"/>
  <c r="J191" i="80" s="1"/>
  <c r="J192" i="80" s="1"/>
  <c r="AK239" i="80"/>
  <c r="AK252" i="80"/>
  <c r="AM239" i="80"/>
  <c r="AM252" i="80"/>
  <c r="AB55" i="53"/>
  <c r="AB57" i="53"/>
  <c r="AB56" i="53"/>
  <c r="AP132" i="80"/>
  <c r="AP109" i="80"/>
  <c r="AP256" i="80"/>
  <c r="AP243" i="80"/>
  <c r="R132" i="74"/>
  <c r="R133" i="74"/>
  <c r="Z259" i="80"/>
  <c r="Z246" i="80"/>
  <c r="Z240" i="80"/>
  <c r="Z253" i="80"/>
  <c r="AE257" i="80"/>
  <c r="AE244" i="80"/>
  <c r="J29" i="41"/>
  <c r="J76" i="41" s="1"/>
  <c r="J97" i="41" s="1"/>
  <c r="J240" i="83"/>
  <c r="J36" i="53"/>
  <c r="J56" i="80"/>
  <c r="AO257" i="80"/>
  <c r="AO244" i="80"/>
  <c r="L191" i="80"/>
  <c r="L192" i="80" s="1"/>
  <c r="T34" i="41"/>
  <c r="T189" i="80"/>
  <c r="AN147" i="80"/>
  <c r="AN173" i="80" s="1"/>
  <c r="AB59" i="80"/>
  <c r="AB200" i="80" s="1"/>
  <c r="AB257" i="80" s="1"/>
  <c r="AC255" i="80"/>
  <c r="AC242" i="80"/>
  <c r="AC252" i="80"/>
  <c r="AC239" i="80"/>
  <c r="N39" i="53"/>
  <c r="N47" i="53"/>
  <c r="N46" i="53"/>
  <c r="N48" i="53"/>
  <c r="AI87" i="83"/>
  <c r="AI75" i="80"/>
  <c r="AI87" i="80" s="1"/>
  <c r="U191" i="80"/>
  <c r="U192" i="80" s="1"/>
  <c r="AL255" i="80"/>
  <c r="AL242" i="80"/>
  <c r="AL252" i="80"/>
  <c r="AL239" i="80"/>
  <c r="AK253" i="80"/>
  <c r="AK240" i="80"/>
  <c r="AK258" i="80"/>
  <c r="AK245" i="80"/>
  <c r="AM253" i="80"/>
  <c r="AM240" i="80"/>
  <c r="U65" i="53"/>
  <c r="U66" i="53"/>
  <c r="U64" i="53"/>
  <c r="X48" i="53"/>
  <c r="X46" i="53"/>
  <c r="X47" i="53"/>
  <c r="X39" i="53"/>
  <c r="X106" i="53" s="1"/>
  <c r="X107" i="53" s="1"/>
  <c r="AK88" i="83"/>
  <c r="Y28" i="111"/>
  <c r="Y34" i="111" s="1"/>
  <c r="Y27" i="111"/>
  <c r="Y33" i="111" s="1"/>
  <c r="AI242" i="80"/>
  <c r="AI255" i="80"/>
  <c r="AF240" i="80"/>
  <c r="AF253" i="80"/>
  <c r="L58" i="80"/>
  <c r="L92" i="22"/>
  <c r="L17" i="111" s="1"/>
  <c r="L242" i="83"/>
  <c r="L269" i="83" s="1"/>
  <c r="L31" i="41"/>
  <c r="L78" i="41" s="1"/>
  <c r="BZ97" i="41" s="1"/>
  <c r="L38" i="53"/>
  <c r="O59" i="80"/>
  <c r="O200" i="80" s="1"/>
  <c r="O20" i="74" s="1"/>
  <c r="J66" i="53"/>
  <c r="J65" i="53"/>
  <c r="J64" i="53"/>
  <c r="W76" i="41"/>
  <c r="W97" i="41" s="1"/>
  <c r="AJ244" i="80"/>
  <c r="AJ257" i="80"/>
  <c r="AJ240" i="80"/>
  <c r="AJ253" i="80"/>
  <c r="AH108" i="80"/>
  <c r="AH85" i="80"/>
  <c r="AH242" i="80"/>
  <c r="AH255" i="80"/>
  <c r="K256" i="80"/>
  <c r="R27" i="111"/>
  <c r="R33" i="111" s="1"/>
  <c r="R28" i="111"/>
  <c r="R34" i="111" s="1"/>
  <c r="W78" i="41"/>
  <c r="CK97" i="41" s="1"/>
  <c r="AB48" i="53"/>
  <c r="AB46" i="53"/>
  <c r="AB39" i="53"/>
  <c r="AB106" i="53" s="1"/>
  <c r="AB107" i="53" s="1"/>
  <c r="AB47" i="53"/>
  <c r="AC253" i="80"/>
  <c r="AC240" i="80"/>
  <c r="P202" i="80"/>
  <c r="P244" i="80"/>
  <c r="P245" i="80"/>
  <c r="P243" i="80"/>
  <c r="P241" i="80"/>
  <c r="P242" i="80"/>
  <c r="P239" i="80"/>
  <c r="P240" i="80"/>
  <c r="P246" i="80"/>
  <c r="L30" i="41"/>
  <c r="L77" i="41" s="1"/>
  <c r="AS97" i="41" s="1"/>
  <c r="L37" i="53"/>
  <c r="L241" i="83"/>
  <c r="L268" i="83" s="1"/>
  <c r="L57" i="80"/>
  <c r="AM254" i="80"/>
  <c r="AM241" i="80"/>
  <c r="U78" i="41"/>
  <c r="CI97" i="41" s="1"/>
  <c r="R202" i="80"/>
  <c r="R241" i="80"/>
  <c r="R245" i="80"/>
  <c r="R243" i="80"/>
  <c r="R240" i="80"/>
  <c r="R239" i="80"/>
  <c r="R246" i="80"/>
  <c r="R244" i="80"/>
  <c r="R242" i="80"/>
  <c r="X66" i="53"/>
  <c r="X64" i="53"/>
  <c r="X65" i="53"/>
  <c r="AI134" i="80"/>
  <c r="AI245" i="80"/>
  <c r="AI258" i="80"/>
  <c r="AM117" i="80"/>
  <c r="AM129" i="80" s="1"/>
  <c r="AM107" i="83"/>
  <c r="AF245" i="80"/>
  <c r="AF258" i="80"/>
  <c r="AG253" i="80"/>
  <c r="AG240" i="80"/>
  <c r="AG258" i="80"/>
  <c r="AG245" i="80"/>
  <c r="AG88" i="80"/>
  <c r="O267" i="83"/>
  <c r="O243" i="83"/>
  <c r="AJ241" i="80"/>
  <c r="AJ254" i="80"/>
  <c r="AH135" i="80"/>
  <c r="AH259" i="80"/>
  <c r="AH246" i="80"/>
  <c r="K253" i="80"/>
  <c r="Y55" i="53"/>
  <c r="Y56" i="53"/>
  <c r="Y57" i="53"/>
  <c r="Z242" i="80"/>
  <c r="Z255" i="80"/>
  <c r="M202" i="80"/>
  <c r="M243" i="80"/>
  <c r="M254" i="80"/>
  <c r="M256" i="80"/>
  <c r="M245" i="80"/>
  <c r="M244" i="80"/>
  <c r="M258" i="80"/>
  <c r="M241" i="80"/>
  <c r="M242" i="80"/>
  <c r="M239" i="80"/>
  <c r="M240" i="80"/>
  <c r="M255" i="80"/>
  <c r="M257" i="80"/>
  <c r="M259" i="80"/>
  <c r="M253" i="80"/>
  <c r="M246" i="80"/>
  <c r="M252" i="80"/>
  <c r="AO254" i="80"/>
  <c r="AO241" i="80"/>
  <c r="O64" i="53"/>
  <c r="O66" i="53"/>
  <c r="O65" i="53"/>
  <c r="AC93" i="72" a="1"/>
  <c r="J30" i="41"/>
  <c r="J77" i="41" s="1"/>
  <c r="AQ97" i="41" s="1"/>
  <c r="J57" i="80"/>
  <c r="J37" i="53"/>
  <c r="J241" i="83"/>
  <c r="J268" i="83" s="1"/>
  <c r="W28" i="111"/>
  <c r="W34" i="111" s="1"/>
  <c r="W27" i="111"/>
  <c r="W33" i="111" s="1"/>
  <c r="V47" i="53"/>
  <c r="V39" i="53"/>
  <c r="V46" i="53"/>
  <c r="V48" i="53"/>
  <c r="X77" i="41"/>
  <c r="BE97" i="41" s="1"/>
  <c r="S240" i="83"/>
  <c r="S36" i="53"/>
  <c r="S56" i="80"/>
  <c r="S29" i="41"/>
  <c r="S76" i="41" s="1"/>
  <c r="S97" i="41" s="1"/>
  <c r="Q78" i="41"/>
  <c r="CE97" i="41" s="1"/>
  <c r="P56" i="80"/>
  <c r="P36" i="53"/>
  <c r="P29" i="41"/>
  <c r="AL204" i="80"/>
  <c r="AL202" i="80"/>
  <c r="AL206" i="80" s="1"/>
  <c r="U28" i="111"/>
  <c r="U34" i="111" s="1"/>
  <c r="U27" i="111"/>
  <c r="U33" i="111" s="1"/>
  <c r="AK242" i="80"/>
  <c r="AK255" i="80"/>
  <c r="AM89" i="80"/>
  <c r="AM246" i="80"/>
  <c r="AM259" i="80"/>
  <c r="AM242" i="80"/>
  <c r="AM255" i="80"/>
  <c r="AA55" i="53"/>
  <c r="AA56" i="53"/>
  <c r="AA57" i="53"/>
  <c r="AP239" i="80"/>
  <c r="AP252" i="80"/>
  <c r="AP105" i="80"/>
  <c r="AP241" i="80"/>
  <c r="AP84" i="80"/>
  <c r="AP254" i="80"/>
  <c r="N65" i="53"/>
  <c r="N64" i="53"/>
  <c r="N66" i="53"/>
  <c r="X59" i="80"/>
  <c r="X200" i="80" s="1"/>
  <c r="X254" i="80" s="1"/>
  <c r="Q34" i="41"/>
  <c r="Q189" i="80"/>
  <c r="Q191" i="80" s="1"/>
  <c r="Q192" i="80" s="1"/>
  <c r="P16" i="111"/>
  <c r="P18" i="74"/>
  <c r="P129" i="74" s="1"/>
  <c r="P32" i="41"/>
  <c r="AI88" i="83"/>
  <c r="AI76" i="80"/>
  <c r="AI88" i="80" s="1"/>
  <c r="AI253" i="80"/>
  <c r="AI240" i="80"/>
  <c r="AM93" i="80"/>
  <c r="AM105" i="80" s="1"/>
  <c r="AM93" i="83"/>
  <c r="AM94" i="83"/>
  <c r="AI96" i="80"/>
  <c r="AI108" i="80" s="1"/>
  <c r="AI97" i="83"/>
  <c r="AF259" i="80"/>
  <c r="AF246" i="80"/>
  <c r="AA64" i="53"/>
  <c r="AA65" i="53"/>
  <c r="AA66" i="53"/>
  <c r="O27" i="111"/>
  <c r="O33" i="111" s="1"/>
  <c r="O28" i="111"/>
  <c r="O34" i="111" s="1"/>
  <c r="AG252" i="80"/>
  <c r="AG239" i="80"/>
  <c r="AG257" i="80"/>
  <c r="AG244" i="80"/>
  <c r="Y191" i="80"/>
  <c r="Y192" i="80" s="1"/>
  <c r="J80" i="73" a="1"/>
  <c r="J55" i="83" a="1"/>
  <c r="T191" i="80"/>
  <c r="T192" i="80" s="1"/>
  <c r="W59" i="80"/>
  <c r="W200" i="80" s="1"/>
  <c r="AJ246" i="80"/>
  <c r="AJ259" i="80"/>
  <c r="AJ239" i="80"/>
  <c r="AJ252" i="80"/>
  <c r="AH84" i="80"/>
  <c r="AH107" i="80"/>
  <c r="AH241" i="80"/>
  <c r="AH254" i="80"/>
  <c r="Y46" i="53"/>
  <c r="Y47" i="53"/>
  <c r="Y48" i="53"/>
  <c r="Y39" i="53"/>
  <c r="Y106" i="53" s="1"/>
  <c r="Y107" i="53" s="1"/>
  <c r="K252" i="80"/>
  <c r="S27" i="111" l="1"/>
  <c r="S33" i="111" s="1"/>
  <c r="AG105" i="83"/>
  <c r="AI73" i="80"/>
  <c r="AI85" i="80" s="1"/>
  <c r="AI145" i="80" s="1"/>
  <c r="AI171" i="80" s="1"/>
  <c r="AI272" i="80" s="1"/>
  <c r="AM73" i="80"/>
  <c r="AM85" i="80" s="1"/>
  <c r="AM145" i="80" s="1"/>
  <c r="AM171" i="80" s="1"/>
  <c r="AM272" i="80" s="1"/>
  <c r="AI124" i="80"/>
  <c r="AI136" i="80" s="1"/>
  <c r="AI118" i="80"/>
  <c r="AI130" i="80" s="1"/>
  <c r="AM78" i="80"/>
  <c r="AM90" i="80" s="1"/>
  <c r="AI109" i="83"/>
  <c r="AG124" i="80"/>
  <c r="AG136" i="80" s="1"/>
  <c r="AK108" i="83"/>
  <c r="AI113" i="83"/>
  <c r="AM111" i="83"/>
  <c r="AK111" i="83"/>
  <c r="AI74" i="80"/>
  <c r="AI86" i="80" s="1"/>
  <c r="AM97" i="83"/>
  <c r="L45" i="82"/>
  <c r="AO118" i="80"/>
  <c r="AO130" i="80" s="1"/>
  <c r="AG73" i="80"/>
  <c r="AG85" i="80" s="1"/>
  <c r="AI102" i="83"/>
  <c r="AC113" i="83"/>
  <c r="AC124" i="80"/>
  <c r="AC136" i="80" s="1"/>
  <c r="AI110" i="83"/>
  <c r="AK112" i="83"/>
  <c r="AK98" i="80"/>
  <c r="AK110" i="80" s="1"/>
  <c r="AC121" i="80"/>
  <c r="AC133" i="80" s="1"/>
  <c r="AO99" i="80"/>
  <c r="AO111" i="80" s="1"/>
  <c r="AO148" i="80" s="1"/>
  <c r="AO174" i="80" s="1"/>
  <c r="AO275" i="80" s="1"/>
  <c r="AG95" i="80"/>
  <c r="AG107" i="80" s="1"/>
  <c r="AG144" i="80" s="1"/>
  <c r="AG170" i="80" s="1"/>
  <c r="AG271" i="80" s="1"/>
  <c r="AI98" i="80"/>
  <c r="AI110" i="80" s="1"/>
  <c r="AI147" i="80" s="1"/>
  <c r="AI173" i="80" s="1"/>
  <c r="AI274" i="80" s="1"/>
  <c r="AG83" i="83"/>
  <c r="AC82" i="83"/>
  <c r="AI71" i="80"/>
  <c r="AI83" i="80" s="1"/>
  <c r="AM120" i="80"/>
  <c r="AM132" i="80" s="1"/>
  <c r="AO97" i="83"/>
  <c r="AC119" i="80"/>
  <c r="AC131" i="80" s="1"/>
  <c r="AC145" i="80" s="1"/>
  <c r="AC171" i="80" s="1"/>
  <c r="AC272" i="80" s="1"/>
  <c r="AM87" i="83"/>
  <c r="AM113" i="83"/>
  <c r="AM71" i="80"/>
  <c r="AM83" i="80" s="1"/>
  <c r="AM143" i="80" s="1"/>
  <c r="AM169" i="80" s="1"/>
  <c r="AM270" i="80" s="1"/>
  <c r="AM83" i="83"/>
  <c r="AI101" i="83"/>
  <c r="AM99" i="83"/>
  <c r="AI95" i="80"/>
  <c r="AI107" i="80" s="1"/>
  <c r="AM98" i="83"/>
  <c r="AC93" i="83"/>
  <c r="AC105" i="83"/>
  <c r="AG90" i="83"/>
  <c r="AI93" i="80"/>
  <c r="AI105" i="80" s="1"/>
  <c r="AI142" i="80" s="1"/>
  <c r="AI168" i="80" s="1"/>
  <c r="AI97" i="80"/>
  <c r="AI109" i="80" s="1"/>
  <c r="AG102" i="83"/>
  <c r="AC100" i="83"/>
  <c r="AO85" i="83"/>
  <c r="AG122" i="80"/>
  <c r="AG134" i="80" s="1"/>
  <c r="AC78" i="80"/>
  <c r="AC90" i="80" s="1"/>
  <c r="AI81" i="83"/>
  <c r="AG106" i="83"/>
  <c r="AI90" i="83"/>
  <c r="AI117" i="80"/>
  <c r="AI129" i="80" s="1"/>
  <c r="AC83" i="83"/>
  <c r="AO78" i="80"/>
  <c r="AO90" i="80" s="1"/>
  <c r="AC70" i="80"/>
  <c r="AC82" i="80" s="1"/>
  <c r="AC142" i="80" s="1"/>
  <c r="AC168" i="80" s="1"/>
  <c r="AC269" i="80" s="1"/>
  <c r="AO94" i="80"/>
  <c r="AO106" i="80" s="1"/>
  <c r="AO143" i="80" s="1"/>
  <c r="AO169" i="80" s="1"/>
  <c r="AO270" i="80" s="1"/>
  <c r="AI82" i="83"/>
  <c r="AG74" i="80"/>
  <c r="AG86" i="80" s="1"/>
  <c r="AI94" i="83"/>
  <c r="AG94" i="83"/>
  <c r="AO112" i="83"/>
  <c r="AK85" i="83"/>
  <c r="AG108" i="83"/>
  <c r="AC117" i="80"/>
  <c r="AC129" i="80" s="1"/>
  <c r="AC143" i="80" s="1"/>
  <c r="AC169" i="80" s="1"/>
  <c r="AC270" i="80" s="1"/>
  <c r="AC94" i="83"/>
  <c r="AC87" i="83"/>
  <c r="AC106" i="83"/>
  <c r="AG96" i="80"/>
  <c r="AG108" i="80" s="1"/>
  <c r="AO123" i="80"/>
  <c r="AO135" i="80" s="1"/>
  <c r="AO149" i="80" s="1"/>
  <c r="AO175" i="80" s="1"/>
  <c r="AO276" i="80" s="1"/>
  <c r="AO88" i="83"/>
  <c r="AO101" i="80"/>
  <c r="AO113" i="80" s="1"/>
  <c r="T56" i="53"/>
  <c r="AI89" i="83"/>
  <c r="AG99" i="83"/>
  <c r="AG121" i="80"/>
  <c r="AG133" i="80" s="1"/>
  <c r="AG147" i="80" s="1"/>
  <c r="AG173" i="80" s="1"/>
  <c r="AG274" i="80" s="1"/>
  <c r="AG93" i="83"/>
  <c r="AC86" i="83"/>
  <c r="AG88" i="83"/>
  <c r="AM108" i="83"/>
  <c r="AG87" i="83"/>
  <c r="AN273" i="80"/>
  <c r="AG113" i="83"/>
  <c r="P57" i="53"/>
  <c r="AO84" i="83"/>
  <c r="N74" i="53"/>
  <c r="N247" i="83" s="1"/>
  <c r="AM99" i="80"/>
  <c r="AM111" i="80" s="1"/>
  <c r="AM148" i="80" s="1"/>
  <c r="AM174" i="80" s="1"/>
  <c r="AM275" i="80" s="1"/>
  <c r="AM95" i="83"/>
  <c r="AK124" i="80"/>
  <c r="AK136" i="80" s="1"/>
  <c r="S57" i="53"/>
  <c r="AC108" i="83"/>
  <c r="AG95" i="83"/>
  <c r="AO94" i="83"/>
  <c r="AC72" i="80"/>
  <c r="AC84" i="80" s="1"/>
  <c r="AC144" i="80" s="1"/>
  <c r="AC170" i="80" s="1"/>
  <c r="AC271" i="80" s="1"/>
  <c r="AM86" i="83"/>
  <c r="AM74" i="80"/>
  <c r="AM86" i="80" s="1"/>
  <c r="AG107" i="83"/>
  <c r="W240" i="80"/>
  <c r="AK84" i="83"/>
  <c r="AK95" i="80"/>
  <c r="AK107" i="80" s="1"/>
  <c r="AK144" i="80" s="1"/>
  <c r="AK170" i="80" s="1"/>
  <c r="AK271" i="80" s="1"/>
  <c r="AO83" i="83"/>
  <c r="AC100" i="80"/>
  <c r="AC112" i="80" s="1"/>
  <c r="AO109" i="83"/>
  <c r="AG99" i="80"/>
  <c r="AG111" i="80" s="1"/>
  <c r="AK94" i="80"/>
  <c r="AK106" i="80" s="1"/>
  <c r="AK143" i="80" s="1"/>
  <c r="AK169" i="80" s="1"/>
  <c r="AK270" i="80" s="1"/>
  <c r="AK107" i="83"/>
  <c r="P55" i="53"/>
  <c r="AO101" i="83"/>
  <c r="AO114" i="83"/>
  <c r="AM101" i="83"/>
  <c r="AG110" i="83"/>
  <c r="AG97" i="80"/>
  <c r="AG109" i="80" s="1"/>
  <c r="AG109" i="83"/>
  <c r="AG119" i="80"/>
  <c r="AG131" i="80" s="1"/>
  <c r="AM102" i="83"/>
  <c r="AM101" i="80"/>
  <c r="AM113" i="80" s="1"/>
  <c r="S55" i="53"/>
  <c r="AC96" i="83"/>
  <c r="AC76" i="80"/>
  <c r="AC88" i="80" s="1"/>
  <c r="AC148" i="80" s="1"/>
  <c r="AC174" i="80" s="1"/>
  <c r="AC275" i="80" s="1"/>
  <c r="AC77" i="80"/>
  <c r="AC89" i="80" s="1"/>
  <c r="W244" i="80"/>
  <c r="AO87" i="83"/>
  <c r="AO120" i="80"/>
  <c r="AO132" i="80" s="1"/>
  <c r="W241" i="80"/>
  <c r="AN275" i="80"/>
  <c r="AO93" i="83"/>
  <c r="AO97" i="80"/>
  <c r="AO109" i="80" s="1"/>
  <c r="AO146" i="80" s="1"/>
  <c r="AO172" i="80" s="1"/>
  <c r="AO273" i="80" s="1"/>
  <c r="AO96" i="83"/>
  <c r="W239" i="80"/>
  <c r="AN270" i="80"/>
  <c r="AK96" i="80"/>
  <c r="AK108" i="80" s="1"/>
  <c r="AK145" i="80" s="1"/>
  <c r="AK171" i="80" s="1"/>
  <c r="AK272" i="80" s="1"/>
  <c r="AN272" i="80"/>
  <c r="W255" i="80"/>
  <c r="W246" i="80"/>
  <c r="W243" i="80"/>
  <c r="AK109" i="83"/>
  <c r="M206" i="80"/>
  <c r="R254" i="80"/>
  <c r="W242" i="80"/>
  <c r="W245" i="80"/>
  <c r="N75" i="53"/>
  <c r="N248" i="83" s="1"/>
  <c r="R255" i="80"/>
  <c r="R258" i="80"/>
  <c r="AK83" i="83"/>
  <c r="AN208" i="80"/>
  <c r="AO105" i="83"/>
  <c r="AN271" i="80"/>
  <c r="AK74" i="80"/>
  <c r="AK86" i="80" s="1"/>
  <c r="AK86" i="83"/>
  <c r="AK90" i="83"/>
  <c r="AK78" i="80"/>
  <c r="AK90" i="80" s="1"/>
  <c r="AK97" i="80"/>
  <c r="AK109" i="80" s="1"/>
  <c r="AK98" i="83"/>
  <c r="R252" i="80"/>
  <c r="R253" i="80"/>
  <c r="R257" i="80"/>
  <c r="AO98" i="80"/>
  <c r="AO110" i="80" s="1"/>
  <c r="AO147" i="80" s="1"/>
  <c r="AO173" i="80" s="1"/>
  <c r="AO274" i="80" s="1"/>
  <c r="AO106" i="83"/>
  <c r="S59" i="80"/>
  <c r="S200" i="80" s="1"/>
  <c r="S256" i="80" s="1"/>
  <c r="R259" i="80"/>
  <c r="AK113" i="83"/>
  <c r="AK75" i="80"/>
  <c r="AK87" i="80" s="1"/>
  <c r="AK87" i="83"/>
  <c r="AP149" i="80"/>
  <c r="AP175" i="80" s="1"/>
  <c r="AP276" i="80" s="1"/>
  <c r="K249" i="83"/>
  <c r="O73" i="53"/>
  <c r="O246" i="83" s="1"/>
  <c r="AN274" i="80"/>
  <c r="K45" i="82"/>
  <c r="K346" i="53"/>
  <c r="K357" i="53" s="1"/>
  <c r="AP148" i="80"/>
  <c r="AP174" i="80" s="1"/>
  <c r="AP275" i="80" s="1"/>
  <c r="N45" i="82"/>
  <c r="O45" i="82"/>
  <c r="T57" i="53"/>
  <c r="AO86" i="83"/>
  <c r="AN276" i="80"/>
  <c r="O75" i="53"/>
  <c r="O248" i="83" s="1"/>
  <c r="N73" i="53"/>
  <c r="N246" i="83" s="1"/>
  <c r="AK70" i="80"/>
  <c r="AK82" i="80" s="1"/>
  <c r="AK82" i="83"/>
  <c r="AK81" i="83"/>
  <c r="AK99" i="80"/>
  <c r="AK111" i="80" s="1"/>
  <c r="AK148" i="80" s="1"/>
  <c r="AK174" i="80" s="1"/>
  <c r="AK275" i="80" s="1"/>
  <c r="AK100" i="83"/>
  <c r="W75" i="53"/>
  <c r="AK120" i="80"/>
  <c r="AK132" i="80" s="1"/>
  <c r="AK89" i="83"/>
  <c r="AK77" i="80"/>
  <c r="AK89" i="80" s="1"/>
  <c r="AK102" i="83"/>
  <c r="AK101" i="80"/>
  <c r="AK113" i="80" s="1"/>
  <c r="AK101" i="83"/>
  <c r="AK100" i="80"/>
  <c r="AK112" i="80" s="1"/>
  <c r="AK105" i="83"/>
  <c r="AK116" i="80"/>
  <c r="AK128" i="80" s="1"/>
  <c r="AK106" i="83"/>
  <c r="X74" i="53"/>
  <c r="W74" i="53"/>
  <c r="AA75" i="53"/>
  <c r="AL101" i="83"/>
  <c r="AL100" i="80"/>
  <c r="AL112" i="80" s="1"/>
  <c r="AL94" i="83"/>
  <c r="AL93" i="80"/>
  <c r="AL105" i="80" s="1"/>
  <c r="AL93" i="83"/>
  <c r="AL76" i="80"/>
  <c r="AL88" i="80" s="1"/>
  <c r="AL88" i="83"/>
  <c r="AL98" i="83"/>
  <c r="AL97" i="80"/>
  <c r="AL109" i="80" s="1"/>
  <c r="AL75" i="80"/>
  <c r="AL87" i="80" s="1"/>
  <c r="AL87" i="83"/>
  <c r="AL96" i="80"/>
  <c r="AL108" i="80" s="1"/>
  <c r="AL97" i="83"/>
  <c r="AJ111" i="83"/>
  <c r="AJ121" i="80"/>
  <c r="AJ133" i="80" s="1"/>
  <c r="AJ100" i="83"/>
  <c r="AJ99" i="80"/>
  <c r="AJ111" i="80" s="1"/>
  <c r="AJ114" i="83"/>
  <c r="AJ124" i="80"/>
  <c r="AJ136" i="80" s="1"/>
  <c r="AJ85" i="83"/>
  <c r="AJ73" i="80"/>
  <c r="AJ85" i="80" s="1"/>
  <c r="AJ95" i="83"/>
  <c r="AJ94" i="80"/>
  <c r="AJ106" i="80" s="1"/>
  <c r="AJ118" i="80"/>
  <c r="AJ130" i="80" s="1"/>
  <c r="AJ108" i="83"/>
  <c r="AJ123" i="80"/>
  <c r="AJ135" i="80" s="1"/>
  <c r="AJ113" i="83"/>
  <c r="AF100" i="83"/>
  <c r="AF99" i="80"/>
  <c r="AF111" i="80" s="1"/>
  <c r="AF94" i="83"/>
  <c r="AF93" i="83"/>
  <c r="AF93" i="80"/>
  <c r="AF105" i="80" s="1"/>
  <c r="AF120" i="80"/>
  <c r="AF132" i="80" s="1"/>
  <c r="AF110" i="83"/>
  <c r="AF118" i="80"/>
  <c r="AF130" i="80" s="1"/>
  <c r="AF108" i="83"/>
  <c r="AF85" i="83"/>
  <c r="AF73" i="80"/>
  <c r="AF85" i="80" s="1"/>
  <c r="AF72" i="80"/>
  <c r="AF84" i="80" s="1"/>
  <c r="AF84" i="83"/>
  <c r="AL81" i="83"/>
  <c r="AL70" i="80"/>
  <c r="AL82" i="80" s="1"/>
  <c r="AL82" i="83"/>
  <c r="AL122" i="80"/>
  <c r="AL134" i="80" s="1"/>
  <c r="AL112" i="83"/>
  <c r="AL100" i="83"/>
  <c r="AL99" i="80"/>
  <c r="AL111" i="80" s="1"/>
  <c r="AL84" i="83"/>
  <c r="AL72" i="80"/>
  <c r="AL84" i="80" s="1"/>
  <c r="AL121" i="80"/>
  <c r="AL133" i="80" s="1"/>
  <c r="AL111" i="83"/>
  <c r="AL110" i="83"/>
  <c r="AL120" i="80"/>
  <c r="AL132" i="80" s="1"/>
  <c r="AL119" i="80"/>
  <c r="AL131" i="80" s="1"/>
  <c r="AL109" i="83"/>
  <c r="AJ70" i="80"/>
  <c r="AJ82" i="80" s="1"/>
  <c r="AJ81" i="83"/>
  <c r="AJ82" i="83"/>
  <c r="AJ119" i="80"/>
  <c r="AJ131" i="80" s="1"/>
  <c r="AJ109" i="83"/>
  <c r="AJ106" i="83"/>
  <c r="AJ105" i="83"/>
  <c r="AJ116" i="80"/>
  <c r="AJ128" i="80" s="1"/>
  <c r="AJ78" i="80"/>
  <c r="AJ90" i="80" s="1"/>
  <c r="AJ90" i="83"/>
  <c r="AJ84" i="83"/>
  <c r="AJ72" i="80"/>
  <c r="AJ84" i="80" s="1"/>
  <c r="AJ97" i="83"/>
  <c r="AJ96" i="80"/>
  <c r="AJ108" i="80" s="1"/>
  <c r="AF86" i="83"/>
  <c r="AF74" i="80"/>
  <c r="AF86" i="80" s="1"/>
  <c r="AF109" i="83"/>
  <c r="AF119" i="80"/>
  <c r="AF131" i="80" s="1"/>
  <c r="AF94" i="80"/>
  <c r="AF106" i="80" s="1"/>
  <c r="AF95" i="83"/>
  <c r="AF83" i="83"/>
  <c r="AF71" i="80"/>
  <c r="AF83" i="80" s="1"/>
  <c r="AF97" i="83"/>
  <c r="AF96" i="80"/>
  <c r="AF108" i="80" s="1"/>
  <c r="AF122" i="80"/>
  <c r="AF134" i="80" s="1"/>
  <c r="AF112" i="83"/>
  <c r="AF101" i="83"/>
  <c r="AF100" i="80"/>
  <c r="AF112" i="80" s="1"/>
  <c r="AL101" i="80"/>
  <c r="AL113" i="80" s="1"/>
  <c r="AL102" i="83"/>
  <c r="AL89" i="83"/>
  <c r="AL77" i="80"/>
  <c r="AL89" i="80" s="1"/>
  <c r="AL124" i="80"/>
  <c r="AL136" i="80" s="1"/>
  <c r="AL114" i="83"/>
  <c r="AL96" i="83"/>
  <c r="AL95" i="80"/>
  <c r="AL107" i="80" s="1"/>
  <c r="AL85" i="83"/>
  <c r="AL73" i="80"/>
  <c r="AL85" i="80" s="1"/>
  <c r="AL98" i="80"/>
  <c r="AL110" i="80" s="1"/>
  <c r="AL147" i="80" s="1"/>
  <c r="AL173" i="80" s="1"/>
  <c r="AL274" i="80" s="1"/>
  <c r="AL99" i="83"/>
  <c r="AL74" i="80"/>
  <c r="AL86" i="80" s="1"/>
  <c r="AL86" i="83"/>
  <c r="AJ76" i="80"/>
  <c r="AJ88" i="80" s="1"/>
  <c r="AJ88" i="83"/>
  <c r="AJ117" i="80"/>
  <c r="AJ129" i="80" s="1"/>
  <c r="AJ107" i="83"/>
  <c r="AJ87" i="83"/>
  <c r="AJ75" i="80"/>
  <c r="AJ87" i="80" s="1"/>
  <c r="AJ120" i="80"/>
  <c r="AJ132" i="80" s="1"/>
  <c r="AJ110" i="83"/>
  <c r="AJ96" i="83"/>
  <c r="AJ95" i="80"/>
  <c r="AJ107" i="80" s="1"/>
  <c r="AJ102" i="83"/>
  <c r="AJ101" i="80"/>
  <c r="AJ113" i="80" s="1"/>
  <c r="AJ71" i="80"/>
  <c r="AJ83" i="80" s="1"/>
  <c r="AJ83" i="83"/>
  <c r="AF89" i="83"/>
  <c r="AF77" i="80"/>
  <c r="AF89" i="80" s="1"/>
  <c r="AF87" i="83"/>
  <c r="AF75" i="80"/>
  <c r="AF87" i="80" s="1"/>
  <c r="AF124" i="80"/>
  <c r="AF136" i="80" s="1"/>
  <c r="AF114" i="83"/>
  <c r="AF76" i="80"/>
  <c r="AF88" i="80" s="1"/>
  <c r="AF88" i="83"/>
  <c r="AF111" i="83"/>
  <c r="AF121" i="80"/>
  <c r="AF133" i="80" s="1"/>
  <c r="AF95" i="80"/>
  <c r="AF107" i="80" s="1"/>
  <c r="AF96" i="83"/>
  <c r="AF98" i="83"/>
  <c r="AF97" i="80"/>
  <c r="AF109" i="80" s="1"/>
  <c r="H112" i="53"/>
  <c r="J59" i="80"/>
  <c r="J200" i="80" s="1"/>
  <c r="J253" i="80" s="1"/>
  <c r="AL113" i="83"/>
  <c r="AL123" i="80"/>
  <c r="AL135" i="80" s="1"/>
  <c r="AL90" i="83"/>
  <c r="AL78" i="80"/>
  <c r="AL90" i="80" s="1"/>
  <c r="AL105" i="83"/>
  <c r="AL106" i="83"/>
  <c r="AL116" i="80"/>
  <c r="AL128" i="80" s="1"/>
  <c r="AL117" i="80"/>
  <c r="AL129" i="80" s="1"/>
  <c r="AL107" i="83"/>
  <c r="AL94" i="80"/>
  <c r="AL106" i="80" s="1"/>
  <c r="AL95" i="83"/>
  <c r="AL118" i="80"/>
  <c r="AL130" i="80" s="1"/>
  <c r="AL108" i="83"/>
  <c r="AL83" i="83"/>
  <c r="AL71" i="80"/>
  <c r="AL83" i="80" s="1"/>
  <c r="AJ122" i="80"/>
  <c r="AJ134" i="80" s="1"/>
  <c r="AJ112" i="83"/>
  <c r="AJ98" i="83"/>
  <c r="AJ97" i="80"/>
  <c r="AJ109" i="80" s="1"/>
  <c r="AJ101" i="83"/>
  <c r="AJ100" i="80"/>
  <c r="AJ112" i="80" s="1"/>
  <c r="AJ77" i="80"/>
  <c r="AJ89" i="80" s="1"/>
  <c r="AJ89" i="83"/>
  <c r="AJ93" i="83"/>
  <c r="AJ93" i="80"/>
  <c r="AJ105" i="80" s="1"/>
  <c r="AJ94" i="83"/>
  <c r="AJ74" i="80"/>
  <c r="AJ86" i="80" s="1"/>
  <c r="AJ86" i="83"/>
  <c r="AJ98" i="80"/>
  <c r="AJ110" i="80" s="1"/>
  <c r="AJ99" i="83"/>
  <c r="AF106" i="83"/>
  <c r="AF105" i="83"/>
  <c r="AF116" i="80"/>
  <c r="AF128" i="80" s="1"/>
  <c r="AF98" i="80"/>
  <c r="AF110" i="80" s="1"/>
  <c r="AF99" i="83"/>
  <c r="AF102" i="83"/>
  <c r="AF101" i="80"/>
  <c r="AF113" i="80" s="1"/>
  <c r="AF70" i="80"/>
  <c r="AF82" i="80" s="1"/>
  <c r="AF81" i="83"/>
  <c r="AF82" i="83"/>
  <c r="AF78" i="80"/>
  <c r="AF90" i="80" s="1"/>
  <c r="AF150" i="80" s="1"/>
  <c r="AF90" i="83"/>
  <c r="AF117" i="80"/>
  <c r="AF129" i="80" s="1"/>
  <c r="AF107" i="83"/>
  <c r="AF123" i="80"/>
  <c r="AF135" i="80" s="1"/>
  <c r="AF113" i="83"/>
  <c r="AN177" i="80"/>
  <c r="X73" i="53"/>
  <c r="AG206" i="80"/>
  <c r="AB252" i="80"/>
  <c r="AB73" i="53"/>
  <c r="N258" i="80"/>
  <c r="N257" i="80"/>
  <c r="W252" i="80"/>
  <c r="W254" i="80"/>
  <c r="AP145" i="80"/>
  <c r="AP171" i="80" s="1"/>
  <c r="AP272" i="80" s="1"/>
  <c r="Z206" i="80"/>
  <c r="N253" i="80"/>
  <c r="AM206" i="80"/>
  <c r="AP206" i="80"/>
  <c r="AH144" i="80"/>
  <c r="AH170" i="80" s="1"/>
  <c r="AH271" i="80" s="1"/>
  <c r="AP142" i="80"/>
  <c r="AP168" i="80" s="1"/>
  <c r="AP269" i="80" s="1"/>
  <c r="AO144" i="80"/>
  <c r="AO170" i="80" s="1"/>
  <c r="AO271" i="80" s="1"/>
  <c r="AH143" i="80"/>
  <c r="AH169" i="80" s="1"/>
  <c r="AH270" i="80" s="1"/>
  <c r="AP150" i="80"/>
  <c r="AP176" i="80" s="1"/>
  <c r="AP147" i="80"/>
  <c r="AP173" i="80" s="1"/>
  <c r="AP274" i="80" s="1"/>
  <c r="AP144" i="80"/>
  <c r="AP170" i="80" s="1"/>
  <c r="AP271" i="80" s="1"/>
  <c r="AM144" i="80"/>
  <c r="AM170" i="80" s="1"/>
  <c r="AM271" i="80" s="1"/>
  <c r="AH149" i="80"/>
  <c r="AH175" i="80" s="1"/>
  <c r="AH276" i="80" s="1"/>
  <c r="AO142" i="80"/>
  <c r="AO168" i="80" s="1"/>
  <c r="AO269" i="80" s="1"/>
  <c r="AC146" i="80"/>
  <c r="AC172" i="80" s="1"/>
  <c r="AC273" i="80" s="1"/>
  <c r="AG143" i="80"/>
  <c r="AG169" i="80" s="1"/>
  <c r="AG270" i="80" s="1"/>
  <c r="J39" i="55"/>
  <c r="A4" i="31"/>
  <c r="K345" i="53"/>
  <c r="K356" i="53" s="1"/>
  <c r="K342" i="53"/>
  <c r="K353" i="53" s="1"/>
  <c r="AH146" i="80"/>
  <c r="AH172" i="80" s="1"/>
  <c r="AH273" i="80" s="1"/>
  <c r="J28" i="111"/>
  <c r="J34" i="111" s="1"/>
  <c r="J27" i="111"/>
  <c r="J33" i="111" s="1"/>
  <c r="Q133" i="74"/>
  <c r="Q132" i="74"/>
  <c r="N270" i="83"/>
  <c r="AD112" i="83"/>
  <c r="AD122" i="80"/>
  <c r="AD134" i="80" s="1"/>
  <c r="Q202" i="80"/>
  <c r="Q243" i="80"/>
  <c r="Q254" i="80"/>
  <c r="Q258" i="80"/>
  <c r="Q241" i="80"/>
  <c r="Q257" i="80"/>
  <c r="Q245" i="80"/>
  <c r="Q256" i="80"/>
  <c r="Q252" i="80"/>
  <c r="Q255" i="80"/>
  <c r="Q246" i="80"/>
  <c r="Q242" i="80"/>
  <c r="Q253" i="80"/>
  <c r="Q259" i="80"/>
  <c r="Q240" i="80"/>
  <c r="Q244" i="80"/>
  <c r="Q239" i="80"/>
  <c r="P76" i="41"/>
  <c r="P97" i="41" s="1"/>
  <c r="J39" i="53"/>
  <c r="J46" i="53"/>
  <c r="J47" i="53"/>
  <c r="J48" i="53"/>
  <c r="AM142" i="80"/>
  <c r="AM168" i="80" s="1"/>
  <c r="AE89" i="83"/>
  <c r="AE77" i="80"/>
  <c r="AE89" i="80" s="1"/>
  <c r="AD78" i="80"/>
  <c r="AD90" i="80" s="1"/>
  <c r="AD90" i="83"/>
  <c r="P39" i="53"/>
  <c r="P47" i="53"/>
  <c r="P74" i="53" s="1"/>
  <c r="P46" i="53"/>
  <c r="P48" i="53"/>
  <c r="X75" i="53"/>
  <c r="T243" i="83"/>
  <c r="AB259" i="80"/>
  <c r="AE123" i="80"/>
  <c r="AE135" i="80" s="1"/>
  <c r="AE113" i="83"/>
  <c r="V202" i="80"/>
  <c r="V252" i="80"/>
  <c r="V241" i="80"/>
  <c r="V244" i="80"/>
  <c r="V254" i="80"/>
  <c r="V258" i="80"/>
  <c r="V245" i="80"/>
  <c r="V243" i="80"/>
  <c r="V256" i="80"/>
  <c r="V246" i="80"/>
  <c r="V255" i="80"/>
  <c r="V240" i="80"/>
  <c r="V242" i="80"/>
  <c r="V253" i="80"/>
  <c r="V257" i="80"/>
  <c r="V259" i="80"/>
  <c r="V239" i="80"/>
  <c r="AD81" i="83"/>
  <c r="AD82" i="83"/>
  <c r="AD70" i="80"/>
  <c r="AD82" i="80" s="1"/>
  <c r="AC147" i="80"/>
  <c r="AC173" i="80" s="1"/>
  <c r="AC274" i="80" s="1"/>
  <c r="AB75" i="53"/>
  <c r="AA204" i="80"/>
  <c r="AA206" i="80" s="1"/>
  <c r="AA20" i="74"/>
  <c r="AO145" i="80"/>
  <c r="AO171" i="80" s="1"/>
  <c r="AO272" i="80" s="1"/>
  <c r="AI149" i="80"/>
  <c r="AI175" i="80" s="1"/>
  <c r="AI276" i="80" s="1"/>
  <c r="AD96" i="80"/>
  <c r="AD108" i="80" s="1"/>
  <c r="AD97" i="83"/>
  <c r="AI150" i="80"/>
  <c r="K341" i="53"/>
  <c r="K352" i="53" s="1"/>
  <c r="P133" i="74"/>
  <c r="P132" i="74"/>
  <c r="AI148" i="80"/>
  <c r="AI174" i="80" s="1"/>
  <c r="AI275" i="80" s="1"/>
  <c r="AE86" i="83"/>
  <c r="AE74" i="80"/>
  <c r="AE86" i="80" s="1"/>
  <c r="AE114" i="83"/>
  <c r="AE124" i="80"/>
  <c r="AE136" i="80" s="1"/>
  <c r="AD101" i="80"/>
  <c r="AD113" i="80" s="1"/>
  <c r="AD102" i="83"/>
  <c r="AD95" i="83"/>
  <c r="AD94" i="80"/>
  <c r="AD106" i="80" s="1"/>
  <c r="AA254" i="80"/>
  <c r="K344" i="53"/>
  <c r="K355" i="53" s="1"/>
  <c r="T129" i="74"/>
  <c r="J129" i="74"/>
  <c r="N129" i="74"/>
  <c r="K129" i="74"/>
  <c r="S129" i="74"/>
  <c r="M129" i="74"/>
  <c r="P28" i="111"/>
  <c r="P34" i="111" s="1"/>
  <c r="P27" i="111"/>
  <c r="P33" i="111" s="1"/>
  <c r="P59" i="80"/>
  <c r="P200" i="80" s="1"/>
  <c r="O74" i="53"/>
  <c r="O247" i="83" s="1"/>
  <c r="O270" i="83"/>
  <c r="AH145" i="80"/>
  <c r="AH171" i="80" s="1"/>
  <c r="AH272" i="80" s="1"/>
  <c r="U75" i="53"/>
  <c r="N70" i="53"/>
  <c r="N72" i="53"/>
  <c r="N71" i="53"/>
  <c r="AP146" i="80"/>
  <c r="AP172" i="80" s="1"/>
  <c r="AP273" i="80" s="1"/>
  <c r="T59" i="80"/>
  <c r="T200" i="80" s="1"/>
  <c r="T256" i="80" s="1"/>
  <c r="Y74" i="53"/>
  <c r="X252" i="80"/>
  <c r="X256" i="80"/>
  <c r="AG149" i="80"/>
  <c r="AG175" i="80" s="1"/>
  <c r="AG276" i="80" s="1"/>
  <c r="AB255" i="80"/>
  <c r="AB74" i="53"/>
  <c r="AE106" i="83"/>
  <c r="AE105" i="83"/>
  <c r="AE116" i="80"/>
  <c r="AE128" i="80" s="1"/>
  <c r="AE87" i="83"/>
  <c r="AE75" i="80"/>
  <c r="AE87" i="80" s="1"/>
  <c r="AE84" i="83"/>
  <c r="AE72" i="80"/>
  <c r="AE84" i="80" s="1"/>
  <c r="AE107" i="83"/>
  <c r="AE117" i="80"/>
  <c r="AE129" i="80" s="1"/>
  <c r="W73" i="53"/>
  <c r="AH147" i="80"/>
  <c r="AH173" i="80" s="1"/>
  <c r="AH274" i="80" s="1"/>
  <c r="R75" i="53"/>
  <c r="AD86" i="83"/>
  <c r="AD74" i="80"/>
  <c r="AD86" i="80" s="1"/>
  <c r="AD111" i="83"/>
  <c r="AD121" i="80"/>
  <c r="AD133" i="80" s="1"/>
  <c r="AD75" i="80"/>
  <c r="AD87" i="80" s="1"/>
  <c r="AD87" i="83"/>
  <c r="AD83" i="83"/>
  <c r="AD71" i="80"/>
  <c r="AD83" i="80" s="1"/>
  <c r="AA257" i="80"/>
  <c r="K343" i="53"/>
  <c r="K354" i="53" s="1"/>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J202" i="80"/>
  <c r="J244" i="80"/>
  <c r="J241" i="80"/>
  <c r="J245" i="80"/>
  <c r="J243" i="80"/>
  <c r="J242" i="80"/>
  <c r="J246" i="80"/>
  <c r="J240" i="80"/>
  <c r="J239" i="80"/>
  <c r="T46" i="53"/>
  <c r="T47" i="53"/>
  <c r="T48" i="53"/>
  <c r="T39" i="53"/>
  <c r="AE85" i="83"/>
  <c r="AE73" i="80"/>
  <c r="AE85" i="80" s="1"/>
  <c r="AD123" i="80"/>
  <c r="AD135" i="80" s="1"/>
  <c r="AD113" i="83"/>
  <c r="S202" i="80"/>
  <c r="S245" i="80"/>
  <c r="S243" i="80"/>
  <c r="S244" i="80"/>
  <c r="S241" i="80"/>
  <c r="S240" i="80"/>
  <c r="S242" i="80"/>
  <c r="S239" i="80"/>
  <c r="S246" i="80"/>
  <c r="AE118" i="80"/>
  <c r="AE130" i="80" s="1"/>
  <c r="AE108" i="83"/>
  <c r="AA252" i="80"/>
  <c r="S243" i="83"/>
  <c r="U73" i="53"/>
  <c r="AB204" i="80"/>
  <c r="AB206" i="80" s="1"/>
  <c r="AB20" i="74"/>
  <c r="J267" i="83"/>
  <c r="J243" i="83"/>
  <c r="Q28" i="111"/>
  <c r="Q34" i="111" s="1"/>
  <c r="Q27" i="111"/>
  <c r="Q33" i="111" s="1"/>
  <c r="L59" i="80"/>
  <c r="L200" i="80" s="1"/>
  <c r="L20" i="74" s="1"/>
  <c r="AE78" i="80"/>
  <c r="AE90" i="80" s="1"/>
  <c r="AE90" i="83"/>
  <c r="R74" i="53"/>
  <c r="AD101" i="83"/>
  <c r="AD100" i="80"/>
  <c r="AD112" i="80" s="1"/>
  <c r="AD119" i="80"/>
  <c r="AD131" i="80" s="1"/>
  <c r="AD109" i="83"/>
  <c r="AA253" i="80"/>
  <c r="W204" i="80"/>
  <c r="W206" i="80" s="1"/>
  <c r="W20" i="74"/>
  <c r="J56" i="53"/>
  <c r="J57" i="53"/>
  <c r="J55" i="53"/>
  <c r="AG148" i="80"/>
  <c r="AG174" i="80" s="1"/>
  <c r="AG275" i="80" s="1"/>
  <c r="U74" i="53"/>
  <c r="W256" i="80"/>
  <c r="O70" i="53"/>
  <c r="O72" i="53"/>
  <c r="O71" i="53"/>
  <c r="Y73" i="53"/>
  <c r="V74" i="53"/>
  <c r="X257" i="80"/>
  <c r="X258" i="80"/>
  <c r="L48" i="53"/>
  <c r="L47" i="53"/>
  <c r="L39" i="53"/>
  <c r="L46" i="53"/>
  <c r="T27" i="111"/>
  <c r="T33" i="111" s="1"/>
  <c r="T28" i="111"/>
  <c r="T34" i="111" s="1"/>
  <c r="AB254" i="80"/>
  <c r="AH148" i="80"/>
  <c r="AH174" i="80" s="1"/>
  <c r="AH275" i="80" s="1"/>
  <c r="AE98" i="80"/>
  <c r="AE110" i="80" s="1"/>
  <c r="AE99" i="83"/>
  <c r="AE97" i="83"/>
  <c r="AE96" i="80"/>
  <c r="AE108" i="80" s="1"/>
  <c r="AE76" i="80"/>
  <c r="AE88" i="80" s="1"/>
  <c r="AE88" i="83"/>
  <c r="AE95" i="80"/>
  <c r="AE107" i="80" s="1"/>
  <c r="AE96" i="83"/>
  <c r="R73" i="53"/>
  <c r="AD120" i="80"/>
  <c r="AD132" i="80" s="1"/>
  <c r="AD110" i="83"/>
  <c r="AD94" i="83"/>
  <c r="AD93" i="80"/>
  <c r="AD105" i="80" s="1"/>
  <c r="AD93" i="83"/>
  <c r="AD99" i="80"/>
  <c r="AD111" i="80" s="1"/>
  <c r="AD100" i="83"/>
  <c r="AD105" i="83"/>
  <c r="AD106" i="83"/>
  <c r="AD116" i="80"/>
  <c r="AD128" i="80" s="1"/>
  <c r="R204" i="80"/>
  <c r="R206" i="80" s="1"/>
  <c r="R20" i="74"/>
  <c r="AA255" i="80"/>
  <c r="AA258" i="80"/>
  <c r="W72" i="53"/>
  <c r="W70" i="53"/>
  <c r="W88" i="53" s="1"/>
  <c r="W90" i="53" s="1"/>
  <c r="W120" i="53" s="1"/>
  <c r="W122" i="53" s="1"/>
  <c r="W71" i="53"/>
  <c r="K338" i="53"/>
  <c r="K349" i="53" s="1"/>
  <c r="L28" i="111"/>
  <c r="L34" i="111" s="1"/>
  <c r="L27" i="111"/>
  <c r="L33" i="111" s="1"/>
  <c r="H140" i="22" a="1"/>
  <c r="H140" i="22" s="1"/>
  <c r="X105" i="53"/>
  <c r="X71" i="53"/>
  <c r="X72" i="53"/>
  <c r="X70" i="53"/>
  <c r="X88" i="53" s="1"/>
  <c r="W259" i="80"/>
  <c r="W258" i="80"/>
  <c r="M88" i="53"/>
  <c r="M90" i="53" s="1"/>
  <c r="M120" i="53" s="1"/>
  <c r="M122" i="53" s="1"/>
  <c r="M339" i="53" s="1"/>
  <c r="M350" i="53" s="1"/>
  <c r="Y75" i="53"/>
  <c r="V73" i="53"/>
  <c r="X259" i="80"/>
  <c r="X255" i="80"/>
  <c r="Y20" i="74"/>
  <c r="Y204" i="80"/>
  <c r="AH142" i="80"/>
  <c r="AH168" i="80" s="1"/>
  <c r="AE112" i="83"/>
  <c r="AE122" i="80"/>
  <c r="AE134" i="80" s="1"/>
  <c r="AE110" i="83"/>
  <c r="AE120" i="80"/>
  <c r="AE132" i="80" s="1"/>
  <c r="AE99" i="80"/>
  <c r="AE111" i="80" s="1"/>
  <c r="AE100" i="83"/>
  <c r="AE94" i="80"/>
  <c r="AE106" i="80" s="1"/>
  <c r="AE95" i="83"/>
  <c r="AD98" i="83"/>
  <c r="AD97" i="80"/>
  <c r="AD109" i="80" s="1"/>
  <c r="AD118" i="80"/>
  <c r="AD130" i="80" s="1"/>
  <c r="AD108" i="83"/>
  <c r="AD84" i="83"/>
  <c r="AD72" i="80"/>
  <c r="AD84" i="80" s="1"/>
  <c r="U204" i="80"/>
  <c r="U20" i="74"/>
  <c r="Q56" i="53"/>
  <c r="Q74" i="53" s="1"/>
  <c r="Q57" i="53"/>
  <c r="Q75" i="53" s="1"/>
  <c r="Q55" i="53"/>
  <c r="Q70" i="53" s="1"/>
  <c r="Q88" i="53" s="1"/>
  <c r="Q90" i="53" s="1"/>
  <c r="Q120" i="53" s="1"/>
  <c r="Q122" i="53" s="1"/>
  <c r="AM147" i="80"/>
  <c r="AM173" i="80" s="1"/>
  <c r="AM274" i="80" s="1"/>
  <c r="Y72" i="53"/>
  <c r="Y105" i="53"/>
  <c r="Y70" i="53"/>
  <c r="Y88" i="53" s="1"/>
  <c r="Y71" i="53"/>
  <c r="AE101" i="80"/>
  <c r="AE113" i="80" s="1"/>
  <c r="AE102" i="83"/>
  <c r="R70" i="53"/>
  <c r="R88" i="53" s="1"/>
  <c r="R90" i="53" s="1"/>
  <c r="R120" i="53" s="1"/>
  <c r="R122" i="53" s="1"/>
  <c r="R72" i="53"/>
  <c r="R71" i="53"/>
  <c r="AE109" i="83"/>
  <c r="AE119" i="80"/>
  <c r="AE131" i="80" s="1"/>
  <c r="AA256" i="80"/>
  <c r="K316" i="53"/>
  <c r="K321" i="53"/>
  <c r="K307" i="53"/>
  <c r="K294" i="53"/>
  <c r="K318" i="53"/>
  <c r="K305" i="53"/>
  <c r="K320" i="53"/>
  <c r="K295" i="53"/>
  <c r="K299" i="53"/>
  <c r="K317" i="53"/>
  <c r="K298" i="53"/>
  <c r="K306" i="53"/>
  <c r="K310" i="53"/>
  <c r="K296" i="53"/>
  <c r="K322" i="53"/>
  <c r="K309" i="53"/>
  <c r="K311" i="53"/>
  <c r="K300" i="53"/>
  <c r="K312" i="53"/>
  <c r="K308" i="53"/>
  <c r="K293" i="53"/>
  <c r="K315" i="53"/>
  <c r="K319" i="53"/>
  <c r="K297" i="53"/>
  <c r="K301" i="53"/>
  <c r="K323" i="53"/>
  <c r="K304"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G142" i="80"/>
  <c r="AG168" i="80" s="1"/>
  <c r="AA74" i="53"/>
  <c r="AB71" i="53"/>
  <c r="AB72" i="53"/>
  <c r="AB105" i="53"/>
  <c r="AB70" i="53"/>
  <c r="AB88" i="53" s="1"/>
  <c r="L66" i="53"/>
  <c r="L65" i="53"/>
  <c r="L64" i="53"/>
  <c r="U202" i="80"/>
  <c r="U206" i="80" s="1"/>
  <c r="U258" i="80"/>
  <c r="U256" i="80"/>
  <c r="U243" i="80"/>
  <c r="U254" i="80"/>
  <c r="U241" i="80"/>
  <c r="U245" i="80"/>
  <c r="U244" i="80"/>
  <c r="U257" i="80"/>
  <c r="U246" i="80"/>
  <c r="U253" i="80"/>
  <c r="U240" i="80"/>
  <c r="U255" i="80"/>
  <c r="U252" i="80"/>
  <c r="U239" i="80"/>
  <c r="U242" i="80"/>
  <c r="U259" i="80"/>
  <c r="W257" i="80"/>
  <c r="V75" i="53"/>
  <c r="AB258" i="80"/>
  <c r="M249" i="83"/>
  <c r="AE121" i="80"/>
  <c r="AE133" i="80" s="1"/>
  <c r="AE111" i="83"/>
  <c r="AE71" i="80"/>
  <c r="AE83" i="80" s="1"/>
  <c r="AE83" i="83"/>
  <c r="AE94" i="83"/>
  <c r="AE93" i="83"/>
  <c r="AE93" i="80"/>
  <c r="AE105" i="80" s="1"/>
  <c r="N204" i="80"/>
  <c r="N206" i="80" s="1"/>
  <c r="N20" i="74"/>
  <c r="AD124" i="80"/>
  <c r="AD136" i="80" s="1"/>
  <c r="AD114" i="83"/>
  <c r="AD98" i="80"/>
  <c r="AD110" i="80" s="1"/>
  <c r="AD99" i="83"/>
  <c r="AD107" i="83"/>
  <c r="AD117" i="80"/>
  <c r="AD129" i="80" s="1"/>
  <c r="V204" i="80"/>
  <c r="V20" i="74"/>
  <c r="AA259" i="80"/>
  <c r="N252" i="80"/>
  <c r="N254" i="80"/>
  <c r="K340" i="53"/>
  <c r="K351" i="53" s="1"/>
  <c r="T66" i="53"/>
  <c r="T65" i="53"/>
  <c r="T64" i="53"/>
  <c r="Y202" i="80"/>
  <c r="Y254" i="80"/>
  <c r="Y241" i="80"/>
  <c r="Y244" i="80"/>
  <c r="Y258" i="80"/>
  <c r="Y256" i="80"/>
  <c r="Y243" i="80"/>
  <c r="Y257" i="80"/>
  <c r="Y245" i="80"/>
  <c r="Y259" i="80"/>
  <c r="Y240" i="80"/>
  <c r="Y242" i="80"/>
  <c r="Y239" i="80"/>
  <c r="Y246" i="80"/>
  <c r="Y253" i="80"/>
  <c r="Y255" i="80"/>
  <c r="Y252" i="80"/>
  <c r="Q20" i="74"/>
  <c r="Q204" i="80"/>
  <c r="S46" i="53"/>
  <c r="S39" i="53"/>
  <c r="S48" i="53"/>
  <c r="S47" i="53"/>
  <c r="AP143" i="80"/>
  <c r="AP169" i="80" s="1"/>
  <c r="AP270" i="80" s="1"/>
  <c r="L267" i="83"/>
  <c r="L243" i="83"/>
  <c r="AD96" i="83"/>
  <c r="AD95" i="80"/>
  <c r="AD107" i="80" s="1"/>
  <c r="T202" i="80"/>
  <c r="T244" i="80"/>
  <c r="T245" i="80"/>
  <c r="T241" i="80"/>
  <c r="T243" i="80"/>
  <c r="T240" i="80"/>
  <c r="T239" i="80"/>
  <c r="T242" i="80"/>
  <c r="T246"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AM276"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L257" i="80"/>
  <c r="L253" i="80"/>
  <c r="L202" i="80"/>
  <c r="L206" i="80" s="1"/>
  <c r="L260" i="80"/>
  <c r="L256" i="80"/>
  <c r="L258" i="80"/>
  <c r="L259" i="80"/>
  <c r="L254" i="80"/>
  <c r="L252" i="80"/>
  <c r="L255" i="80"/>
  <c r="L245" i="80"/>
  <c r="L242" i="80"/>
  <c r="L241" i="80"/>
  <c r="L244" i="80"/>
  <c r="L243" i="80"/>
  <c r="L240" i="80"/>
  <c r="L246" i="80"/>
  <c r="L239" i="80"/>
  <c r="W253" i="80"/>
  <c r="AA71" i="53"/>
  <c r="AA105" i="53"/>
  <c r="AA70" i="53"/>
  <c r="AA88" i="53" s="1"/>
  <c r="AA72" i="53"/>
  <c r="X253" i="80"/>
  <c r="U72" i="53"/>
  <c r="U71" i="53"/>
  <c r="U70" i="53"/>
  <c r="U88" i="53" s="1"/>
  <c r="U90" i="53" s="1"/>
  <c r="U120" i="53" s="1"/>
  <c r="U122" i="53" s="1"/>
  <c r="AB253" i="80"/>
  <c r="AB256" i="80"/>
  <c r="AH150" i="80"/>
  <c r="AG150" i="80"/>
  <c r="AE98" i="83"/>
  <c r="AE97" i="80"/>
  <c r="AE109" i="80" s="1"/>
  <c r="AE82" i="83"/>
  <c r="AE81" i="83"/>
  <c r="AE70" i="80"/>
  <c r="AE82" i="80" s="1"/>
  <c r="AE101" i="83"/>
  <c r="AE100" i="80"/>
  <c r="AE112" i="80" s="1"/>
  <c r="S65" i="53"/>
  <c r="S66" i="53"/>
  <c r="S64" i="53"/>
  <c r="AN269" i="80"/>
  <c r="AD77" i="80"/>
  <c r="AD89" i="80" s="1"/>
  <c r="AD89" i="83"/>
  <c r="AD88" i="83"/>
  <c r="AD76" i="80"/>
  <c r="AD88" i="80" s="1"/>
  <c r="AD73" i="80"/>
  <c r="AD85" i="80" s="1"/>
  <c r="AD85" i="83"/>
  <c r="N255" i="80"/>
  <c r="N256" i="80"/>
  <c r="K339" i="53"/>
  <c r="K350" i="53" s="1"/>
  <c r="AP130" i="105"/>
  <c r="AC150" i="80" l="1"/>
  <c r="AI144" i="80"/>
  <c r="AI170" i="80" s="1"/>
  <c r="AI271" i="80" s="1"/>
  <c r="AI146" i="80"/>
  <c r="AI172" i="80" s="1"/>
  <c r="AI273" i="80" s="1"/>
  <c r="AI143" i="80"/>
  <c r="AI169" i="80" s="1"/>
  <c r="AI270" i="80" s="1"/>
  <c r="AM150" i="80"/>
  <c r="AM176" i="80" s="1"/>
  <c r="P75" i="53"/>
  <c r="AM146" i="80"/>
  <c r="AM172" i="80" s="1"/>
  <c r="AM273" i="80" s="1"/>
  <c r="AK147" i="80"/>
  <c r="AK173" i="80" s="1"/>
  <c r="AK274" i="80" s="1"/>
  <c r="AF143" i="80"/>
  <c r="AF169" i="80" s="1"/>
  <c r="AF270" i="80" s="1"/>
  <c r="T255" i="80"/>
  <c r="T257" i="80"/>
  <c r="AG146" i="80"/>
  <c r="AG172" i="80" s="1"/>
  <c r="AG273" i="80" s="1"/>
  <c r="AO150" i="80"/>
  <c r="AO176" i="80" s="1"/>
  <c r="AO177" i="80" s="1"/>
  <c r="S258" i="80"/>
  <c r="AG145" i="80"/>
  <c r="AG171" i="80" s="1"/>
  <c r="AG272" i="80" s="1"/>
  <c r="N249" i="83"/>
  <c r="AK149" i="80"/>
  <c r="AK175" i="80" s="1"/>
  <c r="AK276" i="80" s="1"/>
  <c r="S204" i="80"/>
  <c r="S206" i="80" s="1"/>
  <c r="P73" i="53"/>
  <c r="S255" i="80"/>
  <c r="AF144" i="80"/>
  <c r="AF170" i="80" s="1"/>
  <c r="AF271" i="80" s="1"/>
  <c r="T373" i="53"/>
  <c r="T378" i="53" s="1"/>
  <c r="AK150" i="80"/>
  <c r="AK176" i="80" s="1"/>
  <c r="AC149" i="80"/>
  <c r="AC175" i="80" s="1"/>
  <c r="AC276" i="80" s="1"/>
  <c r="AD148" i="80"/>
  <c r="AD174" i="80" s="1"/>
  <c r="AD275" i="80" s="1"/>
  <c r="AL145" i="80"/>
  <c r="AL171" i="80" s="1"/>
  <c r="AL272" i="80" s="1"/>
  <c r="AK146" i="80"/>
  <c r="AK172" i="80" s="1"/>
  <c r="AK273" i="80" s="1"/>
  <c r="AJ144" i="80"/>
  <c r="AJ170" i="80" s="1"/>
  <c r="AJ271" i="80" s="1"/>
  <c r="AL149" i="80"/>
  <c r="AL175" i="80" s="1"/>
  <c r="AL276" i="80" s="1"/>
  <c r="T375" i="53"/>
  <c r="T380" i="53" s="1"/>
  <c r="AK142" i="80"/>
  <c r="AK168" i="80" s="1"/>
  <c r="AK269" i="80" s="1"/>
  <c r="O249" i="83"/>
  <c r="T259" i="83" s="1"/>
  <c r="T264" i="83" s="1"/>
  <c r="T269" i="83" s="1"/>
  <c r="J204" i="80"/>
  <c r="J206" i="80" s="1"/>
  <c r="J258" i="80"/>
  <c r="J20" i="74"/>
  <c r="J259" i="80"/>
  <c r="J254" i="80"/>
  <c r="J255" i="80"/>
  <c r="J256" i="80"/>
  <c r="S257" i="80"/>
  <c r="S20" i="74"/>
  <c r="S75" i="53"/>
  <c r="S248" i="83" s="1"/>
  <c r="S253" i="80"/>
  <c r="S252" i="80"/>
  <c r="S254" i="80"/>
  <c r="S259" i="80"/>
  <c r="AJ142" i="80"/>
  <c r="AJ168" i="80" s="1"/>
  <c r="AJ269" i="80" s="1"/>
  <c r="AJ145" i="80"/>
  <c r="AJ171" i="80" s="1"/>
  <c r="AJ272" i="80" s="1"/>
  <c r="AE143" i="80"/>
  <c r="AE169" i="80" s="1"/>
  <c r="AE270" i="80" s="1"/>
  <c r="AJ146" i="80"/>
  <c r="AJ172" i="80" s="1"/>
  <c r="AJ273" i="80" s="1"/>
  <c r="AJ143" i="80"/>
  <c r="AJ169" i="80" s="1"/>
  <c r="AJ270" i="80" s="1"/>
  <c r="T73" i="53"/>
  <c r="T246" i="83" s="1"/>
  <c r="AL144" i="80"/>
  <c r="AL170" i="80" s="1"/>
  <c r="AL271" i="80" s="1"/>
  <c r="AL150" i="80"/>
  <c r="AL176" i="80" s="1"/>
  <c r="AJ150" i="80"/>
  <c r="AJ176" i="80" s="1"/>
  <c r="S74" i="53"/>
  <c r="S247" i="83" s="1"/>
  <c r="AD145" i="80"/>
  <c r="AD171" i="80" s="1"/>
  <c r="AD272" i="80" s="1"/>
  <c r="AE142" i="80"/>
  <c r="AE168" i="80" s="1"/>
  <c r="AE269" i="80" s="1"/>
  <c r="T258" i="80"/>
  <c r="AD149" i="80"/>
  <c r="AD175" i="80" s="1"/>
  <c r="AD276" i="80" s="1"/>
  <c r="T259" i="80"/>
  <c r="T252" i="80"/>
  <c r="T253" i="80"/>
  <c r="T254" i="80"/>
  <c r="AL143" i="80"/>
  <c r="AL169" i="80" s="1"/>
  <c r="AL270" i="80" s="1"/>
  <c r="J252" i="80"/>
  <c r="J257" i="80"/>
  <c r="AJ149" i="80"/>
  <c r="AJ175" i="80" s="1"/>
  <c r="AJ276" i="80" s="1"/>
  <c r="H80" i="53"/>
  <c r="H89" i="53" s="1"/>
  <c r="X90" i="53" s="1"/>
  <c r="AM208" i="80"/>
  <c r="AL142" i="80"/>
  <c r="AL168" i="80" s="1"/>
  <c r="AL269" i="80" s="1"/>
  <c r="Y206" i="80"/>
  <c r="J74" i="53"/>
  <c r="J247" i="83" s="1"/>
  <c r="L75" i="53"/>
  <c r="L248" i="83" s="1"/>
  <c r="AF145" i="80"/>
  <c r="AF171" i="80" s="1"/>
  <c r="AF272" i="80" s="1"/>
  <c r="AL148" i="80"/>
  <c r="AL174" i="80" s="1"/>
  <c r="AL275" i="80" s="1"/>
  <c r="AF146" i="80"/>
  <c r="AF172" i="80" s="1"/>
  <c r="AF273" i="80" s="1"/>
  <c r="Q73" i="53"/>
  <c r="AF147" i="80"/>
  <c r="AF173" i="80" s="1"/>
  <c r="AF274" i="80" s="1"/>
  <c r="AF149" i="80"/>
  <c r="AF175" i="80" s="1"/>
  <c r="AF276" i="80" s="1"/>
  <c r="AF142" i="80"/>
  <c r="AF168" i="80" s="1"/>
  <c r="AF269" i="80" s="1"/>
  <c r="AJ147" i="80"/>
  <c r="AJ173" i="80" s="1"/>
  <c r="AJ274" i="80" s="1"/>
  <c r="AF148" i="80"/>
  <c r="AF174" i="80" s="1"/>
  <c r="AF275" i="80" s="1"/>
  <c r="AJ148" i="80"/>
  <c r="AJ174" i="80" s="1"/>
  <c r="AJ275" i="80" s="1"/>
  <c r="AL146" i="80"/>
  <c r="AL172" i="80" s="1"/>
  <c r="AL273" i="80" s="1"/>
  <c r="AL208" i="80"/>
  <c r="T75" i="53"/>
  <c r="T248" i="83" s="1"/>
  <c r="Q71" i="53"/>
  <c r="J73" i="53"/>
  <c r="J75" i="53"/>
  <c r="J248" i="83" s="1"/>
  <c r="Q72" i="53"/>
  <c r="T374" i="53"/>
  <c r="T379" i="53" s="1"/>
  <c r="AP177" i="80"/>
  <c r="H81" i="53"/>
  <c r="H111" i="53"/>
  <c r="H117" i="53" s="1"/>
  <c r="AA118" i="53" s="1"/>
  <c r="Q206" i="80"/>
  <c r="V206" i="80"/>
  <c r="AE149" i="80"/>
  <c r="AE175" i="80" s="1"/>
  <c r="AE276" i="80" s="1"/>
  <c r="AP208" i="80"/>
  <c r="AE147" i="80"/>
  <c r="AE173" i="80" s="1"/>
  <c r="AE274" i="80" s="1"/>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T165" i="73"/>
  <c r="T225" i="73" s="1"/>
  <c r="T135" i="73"/>
  <c r="AB167" i="73"/>
  <c r="AB227" i="73" s="1"/>
  <c r="AB137" i="73"/>
  <c r="Z138" i="73"/>
  <c r="Z168" i="73"/>
  <c r="Z228" i="73" s="1"/>
  <c r="N170" i="73"/>
  <c r="N230" i="73" s="1"/>
  <c r="N140" i="73"/>
  <c r="L169" i="73"/>
  <c r="L229" i="73" s="1"/>
  <c r="L139" i="73"/>
  <c r="L165" i="73"/>
  <c r="L225" i="73" s="1"/>
  <c r="L135" i="73"/>
  <c r="S140" i="73"/>
  <c r="S170" i="73"/>
  <c r="S230" i="73" s="1"/>
  <c r="J165" i="73"/>
  <c r="J225" i="73" s="1"/>
  <c r="J135" i="73"/>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AD271" i="80" s="1"/>
  <c r="M340" i="53"/>
  <c r="Z169" i="73"/>
  <c r="Z229" i="73" s="1"/>
  <c r="Z139" i="73"/>
  <c r="N136" i="73"/>
  <c r="N166" i="73"/>
  <c r="N226" i="73" s="1"/>
  <c r="P137" i="73"/>
  <c r="P167" i="73"/>
  <c r="P227" i="73" s="1"/>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219" i="83"/>
  <c r="AH91" i="71" s="1"/>
  <c r="AH196" i="71" s="1"/>
  <c r="AH190" i="83"/>
  <c r="AH61" i="71" s="1"/>
  <c r="AH166" i="71" s="1"/>
  <c r="AH132" i="83"/>
  <c r="AH161" i="83"/>
  <c r="AH31" i="71" s="1"/>
  <c r="AH136" i="71" s="1"/>
  <c r="S73" i="53"/>
  <c r="S246" i="83" s="1"/>
  <c r="AB138" i="73"/>
  <c r="AB168" i="73"/>
  <c r="AB228" i="73" s="1"/>
  <c r="Z137" i="73"/>
  <c r="Z167" i="73"/>
  <c r="Z227" i="73" s="1"/>
  <c r="K168" i="73"/>
  <c r="K228" i="73" s="1"/>
  <c r="K138" i="73"/>
  <c r="AA164" i="73"/>
  <c r="AA224" i="73" s="1"/>
  <c r="AA134" i="73"/>
  <c r="Z164" i="73"/>
  <c r="Z224" i="73" s="1"/>
  <c r="Z134" i="73"/>
  <c r="J164" i="73"/>
  <c r="J224" i="73" s="1"/>
  <c r="J134" i="73"/>
  <c r="S166" i="73"/>
  <c r="S226" i="73" s="1"/>
  <c r="S136" i="73"/>
  <c r="T139" i="73"/>
  <c r="T169" i="73"/>
  <c r="T229" i="73" s="1"/>
  <c r="AA140" i="73"/>
  <c r="AA170" i="73"/>
  <c r="AA230" i="73" s="1"/>
  <c r="O134" i="73"/>
  <c r="O164" i="73"/>
  <c r="O224" i="73" s="1"/>
  <c r="AB139" i="73"/>
  <c r="AB169" i="73"/>
  <c r="AB229" i="73" s="1"/>
  <c r="T138" i="73"/>
  <c r="T168" i="73"/>
  <c r="T228" i="73" s="1"/>
  <c r="L164" i="73"/>
  <c r="L224" i="73" s="1"/>
  <c r="L134" i="73"/>
  <c r="K167" i="73"/>
  <c r="K227" i="73" s="1"/>
  <c r="K137" i="73"/>
  <c r="L140" i="73"/>
  <c r="L170" i="73"/>
  <c r="L230" i="73" s="1"/>
  <c r="T167" i="73"/>
  <c r="T227" i="73" s="1"/>
  <c r="T137" i="73"/>
  <c r="W164" i="73"/>
  <c r="W224" i="73" s="1"/>
  <c r="W134" i="73"/>
  <c r="L137" i="73"/>
  <c r="L167" i="73"/>
  <c r="L227" i="73" s="1"/>
  <c r="AB134" i="73"/>
  <c r="AB164" i="73"/>
  <c r="AB224" i="73" s="1"/>
  <c r="N137" i="73"/>
  <c r="N167" i="73"/>
  <c r="N227" i="73" s="1"/>
  <c r="S71" i="53"/>
  <c r="S70" i="53"/>
  <c r="S72" i="53"/>
  <c r="AI123" i="83"/>
  <c r="AI152" i="83"/>
  <c r="AI210" i="83"/>
  <c r="AI82" i="71" s="1"/>
  <c r="AI187" i="71" s="1"/>
  <c r="AI181" i="83"/>
  <c r="AI52" i="71" s="1"/>
  <c r="AI157" i="71" s="1"/>
  <c r="Z124" i="83"/>
  <c r="Y123" i="83"/>
  <c r="U127" i="83"/>
  <c r="U127" i="72" s="1"/>
  <c r="U197" i="72" s="1"/>
  <c r="U227" i="72" s="1"/>
  <c r="AP124" i="83"/>
  <c r="AP182" i="83"/>
  <c r="AP53" i="71" s="1"/>
  <c r="AP158" i="71" s="1"/>
  <c r="AP211" i="83"/>
  <c r="AP83" i="71" s="1"/>
  <c r="AP188" i="71" s="1"/>
  <c r="AP153" i="83"/>
  <c r="AP23" i="71" s="1"/>
  <c r="AP128" i="71" s="1"/>
  <c r="V124" i="83"/>
  <c r="AE217" i="83"/>
  <c r="AE89" i="71" s="1"/>
  <c r="AE194" i="71" s="1"/>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90" i="83"/>
  <c r="AP61" i="71" s="1"/>
  <c r="AP166" i="71" s="1"/>
  <c r="AP161" i="83"/>
  <c r="AP31" i="71" s="1"/>
  <c r="AP136" i="71" s="1"/>
  <c r="AP132" i="83"/>
  <c r="AP219" i="83"/>
  <c r="AP91" i="71" s="1"/>
  <c r="AP196" i="71" s="1"/>
  <c r="AC125" i="83"/>
  <c r="AC154" i="83"/>
  <c r="AC24" i="71" s="1"/>
  <c r="AC129" i="71" s="1"/>
  <c r="AC183" i="83"/>
  <c r="AC54" i="71" s="1"/>
  <c r="AC159" i="71" s="1"/>
  <c r="AC212" i="83"/>
  <c r="AC84" i="71" s="1"/>
  <c r="AC18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83" i="83"/>
  <c r="AH54" i="71" s="1"/>
  <c r="AH159" i="71" s="1"/>
  <c r="AH154" i="83"/>
  <c r="AH24" i="71" s="1"/>
  <c r="AH129" i="71" s="1"/>
  <c r="AH212" i="83"/>
  <c r="AH84" i="71" s="1"/>
  <c r="AH189" i="71" s="1"/>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182" i="83"/>
  <c r="AC53" i="71" s="1"/>
  <c r="AC158" i="71" s="1"/>
  <c r="AC153" i="83"/>
  <c r="AC23" i="71" s="1"/>
  <c r="AC128" i="71" s="1"/>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E275" i="80" s="1"/>
  <c r="AF176" i="80"/>
  <c r="AF208" i="80"/>
  <c r="AE145" i="80"/>
  <c r="AE171" i="80" s="1"/>
  <c r="AE272" i="80" s="1"/>
  <c r="AL132" i="74"/>
  <c r="AL133" i="74"/>
  <c r="AB133" i="74"/>
  <c r="AB132" i="74"/>
  <c r="AM133" i="74"/>
  <c r="AM132" i="74"/>
  <c r="P204" i="80"/>
  <c r="P206" i="80" s="1"/>
  <c r="P20" i="74"/>
  <c r="P254" i="80"/>
  <c r="P252" i="80"/>
  <c r="P257" i="80"/>
  <c r="P255" i="80"/>
  <c r="P259" i="80"/>
  <c r="P256" i="80"/>
  <c r="P258" i="80"/>
  <c r="P253" i="80"/>
  <c r="N132" i="74"/>
  <c r="N133" i="74"/>
  <c r="AE146" i="80"/>
  <c r="AE172" i="80" s="1"/>
  <c r="AE273" i="80" s="1"/>
  <c r="AD142" i="80"/>
  <c r="AD168" i="80" s="1"/>
  <c r="O135" i="73"/>
  <c r="O165" i="73"/>
  <c r="O225" i="73" s="1"/>
  <c r="AF189" i="83"/>
  <c r="AF60" i="71" s="1"/>
  <c r="AF165" i="71" s="1"/>
  <c r="AF218" i="83"/>
  <c r="AF90" i="71" s="1"/>
  <c r="AF195" i="71" s="1"/>
  <c r="AF160" i="83"/>
  <c r="AF30" i="71" s="1"/>
  <c r="AF135" i="71" s="1"/>
  <c r="AF131" i="83"/>
  <c r="V134" i="73"/>
  <c r="V164" i="73"/>
  <c r="V224" i="73" s="1"/>
  <c r="S164" i="73"/>
  <c r="S224" i="73" s="1"/>
  <c r="S134" i="73"/>
  <c r="W165" i="73"/>
  <c r="W225" i="73" s="1"/>
  <c r="W135" i="73"/>
  <c r="Y167" i="73"/>
  <c r="Y227" i="73" s="1"/>
  <c r="Y137" i="73"/>
  <c r="R134" i="73"/>
  <c r="R164" i="73"/>
  <c r="R224" i="73" s="1"/>
  <c r="K165" i="73"/>
  <c r="K225" i="73" s="1"/>
  <c r="K135" i="73"/>
  <c r="Q134" i="73"/>
  <c r="Q164" i="73"/>
  <c r="Q224" i="73" s="1"/>
  <c r="V136" i="73"/>
  <c r="V166" i="73"/>
  <c r="V226" i="73" s="1"/>
  <c r="P169" i="73"/>
  <c r="P229" i="73" s="1"/>
  <c r="P139" i="73"/>
  <c r="L270" i="83"/>
  <c r="AD123" i="83"/>
  <c r="AD210" i="83"/>
  <c r="AD82" i="71" s="1"/>
  <c r="AD187" i="71" s="1"/>
  <c r="AD152" i="83"/>
  <c r="AD181" i="83"/>
  <c r="AD52" i="71" s="1"/>
  <c r="AD157" i="71" s="1"/>
  <c r="AH158" i="83"/>
  <c r="AH28" i="71" s="1"/>
  <c r="AH133" i="71" s="1"/>
  <c r="AH187" i="83"/>
  <c r="AH58" i="71" s="1"/>
  <c r="AH163" i="71" s="1"/>
  <c r="AH129" i="83"/>
  <c r="AH216" i="83"/>
  <c r="AH88" i="71" s="1"/>
  <c r="AH193" i="71" s="1"/>
  <c r="AJ158" i="83"/>
  <c r="AJ28" i="71" s="1"/>
  <c r="AJ133" i="71" s="1"/>
  <c r="AJ216" i="83"/>
  <c r="AJ88" i="71" s="1"/>
  <c r="AJ193" i="71" s="1"/>
  <c r="AJ187" i="83"/>
  <c r="AJ58" i="71" s="1"/>
  <c r="AJ163" i="71" s="1"/>
  <c r="AJ129" i="83"/>
  <c r="R132" i="83"/>
  <c r="R132" i="72" s="1"/>
  <c r="R202" i="72" s="1"/>
  <c r="R232" i="72" s="1"/>
  <c r="AB131" i="83"/>
  <c r="AB131" i="72" s="1"/>
  <c r="AB201" i="72" s="1"/>
  <c r="AB231" i="72" s="1"/>
  <c r="AK218" i="83"/>
  <c r="AK90" i="71" s="1"/>
  <c r="AK195" i="71" s="1"/>
  <c r="AK131" i="83"/>
  <c r="AK189" i="83"/>
  <c r="AK60" i="71" s="1"/>
  <c r="AK165" i="71" s="1"/>
  <c r="AK160" i="83"/>
  <c r="AK30" i="71" s="1"/>
  <c r="AK135" i="71" s="1"/>
  <c r="AD127" i="83"/>
  <c r="AD156" i="83"/>
  <c r="AD26" i="71" s="1"/>
  <c r="AD131" i="71" s="1"/>
  <c r="AD185" i="83"/>
  <c r="AD56" i="71" s="1"/>
  <c r="AD161" i="71" s="1"/>
  <c r="AD214" i="83"/>
  <c r="AD86" i="71" s="1"/>
  <c r="AD19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X135" i="73"/>
  <c r="X165" i="73"/>
  <c r="X225" i="73" s="1"/>
  <c r="N138" i="73"/>
  <c r="N168" i="73"/>
  <c r="N228" i="73" s="1"/>
  <c r="Z135" i="73"/>
  <c r="Z165" i="73"/>
  <c r="Z225" i="73" s="1"/>
  <c r="Q140" i="73"/>
  <c r="Q170" i="73"/>
  <c r="Q230" i="73" s="1"/>
  <c r="Q138" i="73"/>
  <c r="Q168" i="73"/>
  <c r="Q228" i="73" s="1"/>
  <c r="P170" i="73"/>
  <c r="P230" i="73" s="1"/>
  <c r="P140" i="73"/>
  <c r="X139" i="73"/>
  <c r="X169" i="73"/>
  <c r="X229" i="73" s="1"/>
  <c r="AA169" i="73"/>
  <c r="AA229" i="73" s="1"/>
  <c r="AA139" i="73"/>
  <c r="S137" i="73"/>
  <c r="S167" i="73"/>
  <c r="S227" i="73" s="1"/>
  <c r="S165" i="73"/>
  <c r="S225" i="73" s="1"/>
  <c r="S135" i="73"/>
  <c r="Y139" i="73"/>
  <c r="Y169" i="73"/>
  <c r="Y229" i="73" s="1"/>
  <c r="R165" i="73"/>
  <c r="R225" i="73" s="1"/>
  <c r="R135" i="73"/>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212" i="83"/>
  <c r="AP84" i="71" s="1"/>
  <c r="AP189" i="71" s="1"/>
  <c r="AP183" i="83"/>
  <c r="AP54" i="71" s="1"/>
  <c r="AP159" i="71" s="1"/>
  <c r="AP125" i="83"/>
  <c r="AP154" i="83"/>
  <c r="AP24" i="71" s="1"/>
  <c r="AP129" i="71" s="1"/>
  <c r="AP214" i="83"/>
  <c r="AP86" i="71" s="1"/>
  <c r="AP191" i="71" s="1"/>
  <c r="AP156" i="83"/>
  <c r="AP26" i="71" s="1"/>
  <c r="AP131" i="71" s="1"/>
  <c r="AP127" i="83"/>
  <c r="AP185" i="83"/>
  <c r="AP56" i="71" s="1"/>
  <c r="AP161" i="71" s="1"/>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H184" i="83"/>
  <c r="AH55" i="71" s="1"/>
  <c r="AH160" i="71" s="1"/>
  <c r="AH213" i="83"/>
  <c r="AH85" i="71" s="1"/>
  <c r="AH190" i="71" s="1"/>
  <c r="AH155" i="83"/>
  <c r="AH25" i="71" s="1"/>
  <c r="AH130" i="71" s="1"/>
  <c r="AK126" i="83"/>
  <c r="AK213" i="83"/>
  <c r="AK85" i="71" s="1"/>
  <c r="AK190" i="71" s="1"/>
  <c r="AK155" i="83"/>
  <c r="AK25" i="71" s="1"/>
  <c r="AK130" i="71" s="1"/>
  <c r="AK184" i="83"/>
  <c r="AK55" i="71" s="1"/>
  <c r="AK160" i="71" s="1"/>
  <c r="M338" i="53"/>
  <c r="AE132" i="74"/>
  <c r="AE133" i="74"/>
  <c r="L133" i="74"/>
  <c r="L132" i="74"/>
  <c r="T133" i="74"/>
  <c r="T132" i="74"/>
  <c r="J72" i="53"/>
  <c r="J70" i="53"/>
  <c r="J71" i="53"/>
  <c r="AG269" i="80"/>
  <c r="M166" i="73"/>
  <c r="M226" i="73" s="1"/>
  <c r="M136" i="73"/>
  <c r="R166" i="73"/>
  <c r="R226" i="73" s="1"/>
  <c r="R136" i="73"/>
  <c r="X166" i="73"/>
  <c r="X226" i="73" s="1"/>
  <c r="X136" i="73"/>
  <c r="W167" i="73"/>
  <c r="W227" i="73" s="1"/>
  <c r="W137" i="73"/>
  <c r="U167" i="73"/>
  <c r="U227" i="73" s="1"/>
  <c r="U137" i="73"/>
  <c r="L168" i="73"/>
  <c r="L228" i="73" s="1"/>
  <c r="L138" i="73"/>
  <c r="J166" i="73"/>
  <c r="J226" i="73" s="1"/>
  <c r="J136" i="73"/>
  <c r="V138" i="73"/>
  <c r="V168" i="73"/>
  <c r="V228" i="73" s="1"/>
  <c r="U139" i="73"/>
  <c r="U169" i="73"/>
  <c r="U229" i="73" s="1"/>
  <c r="M139" i="73"/>
  <c r="M169" i="73"/>
  <c r="M229" i="73" s="1"/>
  <c r="O170" i="73"/>
  <c r="O230" i="73" s="1"/>
  <c r="O140" i="73"/>
  <c r="J138" i="73"/>
  <c r="J168" i="73"/>
  <c r="J228" i="73" s="1"/>
  <c r="R169" i="73"/>
  <c r="R229" i="73" s="1"/>
  <c r="R139" i="73"/>
  <c r="L73" i="53"/>
  <c r="L246" i="83" s="1"/>
  <c r="AO131" i="83"/>
  <c r="AO160" i="83"/>
  <c r="AO30" i="71" s="1"/>
  <c r="AO135" i="71" s="1"/>
  <c r="AO218" i="83"/>
  <c r="AO90" i="71" s="1"/>
  <c r="AO195" i="71" s="1"/>
  <c r="AO189" i="83"/>
  <c r="AO60" i="71" s="1"/>
  <c r="AO165" i="71" s="1"/>
  <c r="AH159" i="83"/>
  <c r="AH29" i="71" s="1"/>
  <c r="AH134" i="71" s="1"/>
  <c r="AH217" i="83"/>
  <c r="AH89" i="71" s="1"/>
  <c r="AH194" i="71" s="1"/>
  <c r="AH130" i="83"/>
  <c r="AH188" i="83"/>
  <c r="AH59" i="71" s="1"/>
  <c r="AH164" i="71" s="1"/>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161" i="83"/>
  <c r="AC31" i="71" s="1"/>
  <c r="AC136" i="71" s="1"/>
  <c r="AC190" i="83"/>
  <c r="AC61" i="71" s="1"/>
  <c r="AC166" i="71" s="1"/>
  <c r="AC219" i="83"/>
  <c r="AC91" i="71" s="1"/>
  <c r="AC196" i="71" s="1"/>
  <c r="AK217" i="83"/>
  <c r="AK89" i="71" s="1"/>
  <c r="AK194" i="71" s="1"/>
  <c r="AK159" i="83"/>
  <c r="AK29" i="71" s="1"/>
  <c r="AK134" i="71" s="1"/>
  <c r="AK130" i="83"/>
  <c r="AK188" i="83"/>
  <c r="AK59" i="71" s="1"/>
  <c r="AK164" i="71" s="1"/>
  <c r="Z128" i="83"/>
  <c r="Z128" i="72" s="1"/>
  <c r="Z198" i="72" s="1"/>
  <c r="Z228" i="72" s="1"/>
  <c r="X126" i="83"/>
  <c r="X126" i="72" s="1"/>
  <c r="X196" i="72" s="1"/>
  <c r="X226" i="72" s="1"/>
  <c r="AK125" i="83"/>
  <c r="AK212" i="83"/>
  <c r="AK84" i="71" s="1"/>
  <c r="AK189" i="71" s="1"/>
  <c r="AK154" i="83"/>
  <c r="AK24" i="71" s="1"/>
  <c r="AK129" i="71" s="1"/>
  <c r="AK183" i="83"/>
  <c r="AK54" i="71" s="1"/>
  <c r="AK159" i="71" s="1"/>
  <c r="AB126" i="83"/>
  <c r="AB126" i="72" s="1"/>
  <c r="AB196" i="72" s="1"/>
  <c r="AB226" i="72" s="1"/>
  <c r="AK129" i="83"/>
  <c r="AK158" i="83"/>
  <c r="AK28" i="71" s="1"/>
  <c r="AK133" i="71" s="1"/>
  <c r="AK216" i="83"/>
  <c r="AK88" i="71" s="1"/>
  <c r="AK193" i="71" s="1"/>
  <c r="AK187" i="83"/>
  <c r="AK58" i="71" s="1"/>
  <c r="AK163" i="71" s="1"/>
  <c r="Q129" i="83"/>
  <c r="Q129" i="72" s="1"/>
  <c r="Q199" i="72" s="1"/>
  <c r="Q229" i="72" s="1"/>
  <c r="Q125" i="83"/>
  <c r="Q125" i="72" s="1"/>
  <c r="Q195" i="72" s="1"/>
  <c r="Q225" i="72" s="1"/>
  <c r="AN156" i="83"/>
  <c r="AN26" i="71" s="1"/>
  <c r="AN131" i="71" s="1"/>
  <c r="AN214" i="83"/>
  <c r="AN86" i="71" s="1"/>
  <c r="AN191" i="71" s="1"/>
  <c r="AN185" i="83"/>
  <c r="AN56" i="71" s="1"/>
  <c r="AN161" i="71" s="1"/>
  <c r="AN127" i="83"/>
  <c r="AK156" i="83"/>
  <c r="AK26" i="71" s="1"/>
  <c r="AK131" i="71" s="1"/>
  <c r="AK185" i="83"/>
  <c r="AK56" i="71" s="1"/>
  <c r="AK161" i="71" s="1"/>
  <c r="AK127" i="83"/>
  <c r="AK214" i="83"/>
  <c r="AK86" i="71" s="1"/>
  <c r="AK191" i="71" s="1"/>
  <c r="X124" i="83"/>
  <c r="AM219" i="83"/>
  <c r="AM91" i="71" s="1"/>
  <c r="AM196" i="71" s="1"/>
  <c r="AM190" i="83"/>
  <c r="AM61" i="71" s="1"/>
  <c r="AM166" i="71" s="1"/>
  <c r="AM161" i="83"/>
  <c r="AM31" i="71" s="1"/>
  <c r="AM136" i="71" s="1"/>
  <c r="AM132" i="83"/>
  <c r="AD186" i="83"/>
  <c r="AD57" i="71" s="1"/>
  <c r="AD162" i="71" s="1"/>
  <c r="AD128" i="83"/>
  <c r="AD157" i="83"/>
  <c r="AD27" i="71" s="1"/>
  <c r="AD132" i="71" s="1"/>
  <c r="AD215" i="83"/>
  <c r="AD87" i="71" s="1"/>
  <c r="AD192" i="71" s="1"/>
  <c r="AA124" i="83"/>
  <c r="AC188" i="83"/>
  <c r="AC59" i="71" s="1"/>
  <c r="AC164" i="71" s="1"/>
  <c r="AC159" i="83"/>
  <c r="AC29" i="71" s="1"/>
  <c r="AC134" i="71" s="1"/>
  <c r="AC217" i="83"/>
  <c r="AC89" i="71" s="1"/>
  <c r="AC194" i="71" s="1"/>
  <c r="AC130" i="83"/>
  <c r="AC176" i="80"/>
  <c r="AC208" i="80"/>
  <c r="M343" i="53"/>
  <c r="AI269" i="80"/>
  <c r="O88" i="53"/>
  <c r="O90" i="53" s="1"/>
  <c r="O120" i="53" s="1"/>
  <c r="O122" i="53" s="1"/>
  <c r="O340" i="53" s="1"/>
  <c r="O351" i="53" s="1"/>
  <c r="J270" i="83"/>
  <c r="T70" i="53"/>
  <c r="T72" i="53"/>
  <c r="T71" i="53"/>
  <c r="AG132" i="74"/>
  <c r="AG133" i="74"/>
  <c r="AA132" i="74"/>
  <c r="AA133" i="74"/>
  <c r="AD133" i="74"/>
  <c r="AD132" i="74"/>
  <c r="AH269" i="80"/>
  <c r="T204" i="80"/>
  <c r="T206" i="80" s="1"/>
  <c r="T20" i="74"/>
  <c r="P70" i="53"/>
  <c r="P88" i="53" s="1"/>
  <c r="P90" i="53" s="1"/>
  <c r="P120" i="53" s="1"/>
  <c r="P122" i="53" s="1"/>
  <c r="P72" i="53"/>
  <c r="P71" i="53"/>
  <c r="R170" i="73"/>
  <c r="R230" i="73" s="1"/>
  <c r="R140" i="73"/>
  <c r="Y164" i="73"/>
  <c r="Y224" i="73" s="1"/>
  <c r="Y134" i="73"/>
  <c r="Q165" i="73"/>
  <c r="Q225" i="73" s="1"/>
  <c r="Q135" i="73"/>
  <c r="W166" i="73"/>
  <c r="W226" i="73" s="1"/>
  <c r="W136" i="73"/>
  <c r="L166" i="73"/>
  <c r="L226" i="73" s="1"/>
  <c r="L136" i="73"/>
  <c r="T134" i="73"/>
  <c r="T164" i="73"/>
  <c r="T224" i="73" s="1"/>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K152" i="83"/>
  <c r="AK210" i="83"/>
  <c r="AK82" i="71" s="1"/>
  <c r="AK187" i="71" s="1"/>
  <c r="AK181" i="83"/>
  <c r="AK52" i="71" s="1"/>
  <c r="AK157" i="71" s="1"/>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218" i="83"/>
  <c r="AP90" i="71" s="1"/>
  <c r="AP195" i="71" s="1"/>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AD143" i="80"/>
  <c r="AD169" i="80" s="1"/>
  <c r="AD270" i="80" s="1"/>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X140" i="73"/>
  <c r="X170" i="73"/>
  <c r="X230" i="73" s="1"/>
  <c r="Q166" i="73"/>
  <c r="Q226" i="73" s="1"/>
  <c r="Q136" i="73"/>
  <c r="AA138" i="73"/>
  <c r="AA168" i="73"/>
  <c r="AA228" i="73" s="1"/>
  <c r="Z170" i="73"/>
  <c r="Z230" i="73" s="1"/>
  <c r="Z140" i="73"/>
  <c r="U135" i="73"/>
  <c r="U165" i="73"/>
  <c r="U225" i="73" s="1"/>
  <c r="V135" i="73"/>
  <c r="V165" i="73"/>
  <c r="V225" i="73" s="1"/>
  <c r="Q137" i="73"/>
  <c r="Q167" i="73"/>
  <c r="Q227" i="73" s="1"/>
  <c r="T74" i="53"/>
  <c r="T247" i="83" s="1"/>
  <c r="AH123" i="83"/>
  <c r="AH181" i="83"/>
  <c r="AH52" i="71" s="1"/>
  <c r="AH157" i="71" s="1"/>
  <c r="AH210" i="83"/>
  <c r="AH82" i="71" s="1"/>
  <c r="AH187" i="71" s="1"/>
  <c r="AH152"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AM269" i="80"/>
  <c r="O139" i="73"/>
  <c r="O169" i="73"/>
  <c r="O229" i="73" s="1"/>
  <c r="Y165" i="73"/>
  <c r="Y225" i="73" s="1"/>
  <c r="Y135" i="73"/>
  <c r="N165" i="73"/>
  <c r="N225" i="73" s="1"/>
  <c r="N135" i="73"/>
  <c r="AA165" i="73"/>
  <c r="AA225" i="73" s="1"/>
  <c r="AA135" i="73"/>
  <c r="K140" i="73"/>
  <c r="K170" i="73"/>
  <c r="K230" i="73" s="1"/>
  <c r="Q169" i="73"/>
  <c r="Q229" i="73" s="1"/>
  <c r="Q139" i="73"/>
  <c r="X164" i="73"/>
  <c r="X224" i="73" s="1"/>
  <c r="X134" i="73"/>
  <c r="K139" i="73"/>
  <c r="K169" i="73"/>
  <c r="K229" i="73" s="1"/>
  <c r="AB170" i="73"/>
  <c r="AB230" i="73" s="1"/>
  <c r="AB140" i="73"/>
  <c r="J167" i="73"/>
  <c r="J227" i="73" s="1"/>
  <c r="J137" i="73"/>
  <c r="U140" i="73"/>
  <c r="U170" i="73"/>
  <c r="U230" i="73" s="1"/>
  <c r="O138" i="73"/>
  <c r="O168" i="73"/>
  <c r="O228" i="73" s="1"/>
  <c r="V140" i="73"/>
  <c r="V170" i="73"/>
  <c r="V230" i="73" s="1"/>
  <c r="V169" i="73"/>
  <c r="V229" i="73" s="1"/>
  <c r="V139" i="73"/>
  <c r="S169" i="73"/>
  <c r="S229" i="73" s="1"/>
  <c r="S139" i="73"/>
  <c r="K134" i="73"/>
  <c r="K164" i="73"/>
  <c r="K224" i="73" s="1"/>
  <c r="J139" i="73"/>
  <c r="J169" i="73"/>
  <c r="J229" i="73" s="1"/>
  <c r="J170" i="73"/>
  <c r="J230" i="73" s="1"/>
  <c r="J140" i="73"/>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P187" i="83"/>
  <c r="AP58" i="71" s="1"/>
  <c r="AP163" i="71" s="1"/>
  <c r="AP216" i="83"/>
  <c r="AP88" i="71" s="1"/>
  <c r="AP193" i="71" s="1"/>
  <c r="AP158" i="83"/>
  <c r="AP28" i="71" s="1"/>
  <c r="AP133" i="71" s="1"/>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D160" i="83"/>
  <c r="AD30" i="71" s="1"/>
  <c r="AD13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57" i="83"/>
  <c r="AH27" i="71" s="1"/>
  <c r="AH132" i="71" s="1"/>
  <c r="AH128" i="83"/>
  <c r="AH215" i="83"/>
  <c r="AH87" i="71" s="1"/>
  <c r="AH192" i="71" s="1"/>
  <c r="AH186" i="83"/>
  <c r="AH57" i="71" s="1"/>
  <c r="AH162" i="71" s="1"/>
  <c r="AH124" i="83"/>
  <c r="AH182" i="83"/>
  <c r="AH53" i="71" s="1"/>
  <c r="AH158" i="71" s="1"/>
  <c r="AH153" i="83"/>
  <c r="AH23" i="71" s="1"/>
  <c r="AH128" i="71" s="1"/>
  <c r="AH211" i="83"/>
  <c r="AH83" i="71" s="1"/>
  <c r="AH188" i="71" s="1"/>
  <c r="W128" i="83"/>
  <c r="W128" i="72" s="1"/>
  <c r="W198" i="72" s="1"/>
  <c r="W228" i="72" s="1"/>
  <c r="M342" i="53"/>
  <c r="AE150" i="80"/>
  <c r="AK132" i="74"/>
  <c r="AK133" i="74"/>
  <c r="AO133" i="74"/>
  <c r="AO132" i="74"/>
  <c r="AC132" i="74"/>
  <c r="AC133" i="74"/>
  <c r="AD147" i="80"/>
  <c r="AD173" i="80" s="1"/>
  <c r="AD274"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U138" i="73"/>
  <c r="U168" i="73"/>
  <c r="U228" i="73" s="1"/>
  <c r="W138" i="73"/>
  <c r="W168" i="73"/>
  <c r="W228" i="73" s="1"/>
  <c r="R138" i="73"/>
  <c r="R168" i="73"/>
  <c r="R228" i="73" s="1"/>
  <c r="P166" i="73"/>
  <c r="P226" i="73" s="1"/>
  <c r="P136" i="73"/>
  <c r="W170" i="73"/>
  <c r="W230" i="73" s="1"/>
  <c r="W140" i="73"/>
  <c r="M138" i="73"/>
  <c r="M168" i="73"/>
  <c r="M228" i="73" s="1"/>
  <c r="X138" i="73"/>
  <c r="X168" i="73"/>
  <c r="X228" i="73"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215" i="83"/>
  <c r="AK87" i="71" s="1"/>
  <c r="AK192" i="71" s="1"/>
  <c r="AK157" i="83"/>
  <c r="AK27" i="71" s="1"/>
  <c r="AK132" i="71" s="1"/>
  <c r="AK128" i="83"/>
  <c r="AK186" i="83"/>
  <c r="AK57" i="71" s="1"/>
  <c r="AK162" i="71" s="1"/>
  <c r="AK124" i="83"/>
  <c r="AK211" i="83"/>
  <c r="AK83" i="71" s="1"/>
  <c r="AK188" i="71" s="1"/>
  <c r="AK182" i="83"/>
  <c r="AK53" i="71" s="1"/>
  <c r="AK158" i="71" s="1"/>
  <c r="AK153" i="83"/>
  <c r="AK23" i="71" s="1"/>
  <c r="AK128" i="71" s="1"/>
  <c r="AC213" i="83"/>
  <c r="AC85" i="71" s="1"/>
  <c r="AC190" i="71" s="1"/>
  <c r="AC184" i="83"/>
  <c r="AC55" i="71" s="1"/>
  <c r="AC160" i="71" s="1"/>
  <c r="AC126" i="83"/>
  <c r="AC155" i="83"/>
  <c r="AC25" i="71" s="1"/>
  <c r="AC130" i="71" s="1"/>
  <c r="AP186" i="83"/>
  <c r="AP57" i="71" s="1"/>
  <c r="AP162" i="71" s="1"/>
  <c r="AP215" i="83"/>
  <c r="AP87" i="71" s="1"/>
  <c r="AP192" i="71" s="1"/>
  <c r="AP157" i="83"/>
  <c r="AP27" i="71" s="1"/>
  <c r="AP132" i="71" s="1"/>
  <c r="AP128" i="83"/>
  <c r="X129" i="83"/>
  <c r="X129" i="72" s="1"/>
  <c r="X199" i="72" s="1"/>
  <c r="X229" i="72" s="1"/>
  <c r="U128" i="83"/>
  <c r="U128" i="72" s="1"/>
  <c r="U198" i="72" s="1"/>
  <c r="U228" i="72" s="1"/>
  <c r="U124" i="83"/>
  <c r="AK219" i="83"/>
  <c r="AK91" i="71" s="1"/>
  <c r="AK196" i="71" s="1"/>
  <c r="AK132" i="83"/>
  <c r="AK190" i="83"/>
  <c r="AK61" i="71" s="1"/>
  <c r="AK166" i="71" s="1"/>
  <c r="AK161" i="83"/>
  <c r="AK31" i="71" s="1"/>
  <c r="AK136" i="71" s="1"/>
  <c r="AH131" i="83"/>
  <c r="AH189" i="83"/>
  <c r="AH60" i="71" s="1"/>
  <c r="AH165" i="71" s="1"/>
  <c r="AH218" i="83"/>
  <c r="AH90" i="71" s="1"/>
  <c r="AH195" i="71" s="1"/>
  <c r="AH160" i="83"/>
  <c r="AH30" i="71" s="1"/>
  <c r="AH135" i="71" s="1"/>
  <c r="AH185" i="83"/>
  <c r="AH56" i="71" s="1"/>
  <c r="AH161" i="71" s="1"/>
  <c r="AH127" i="83"/>
  <c r="AH214" i="83"/>
  <c r="AH86" i="71" s="1"/>
  <c r="AH191" i="71" s="1"/>
  <c r="AH156" i="83"/>
  <c r="AH26" i="71" s="1"/>
  <c r="AH131" i="71" s="1"/>
  <c r="AF123" i="83"/>
  <c r="AF152" i="83"/>
  <c r="AF181" i="83"/>
  <c r="AF52" i="71" s="1"/>
  <c r="AF157" i="71" s="1"/>
  <c r="AF210" i="83"/>
  <c r="AF82" i="71" s="1"/>
  <c r="AF187" i="71" s="1"/>
  <c r="Y125" i="83"/>
  <c r="Y125" i="72" s="1"/>
  <c r="Y195" i="72" s="1"/>
  <c r="Y225" i="72" s="1"/>
  <c r="AG176" i="80"/>
  <c r="AG208" i="80"/>
  <c r="N164" i="73"/>
  <c r="N224" i="73" s="1"/>
  <c r="N134" i="73"/>
  <c r="R167" i="73"/>
  <c r="R227" i="73" s="1"/>
  <c r="R137" i="73"/>
  <c r="X137" i="73"/>
  <c r="X167" i="73"/>
  <c r="X227" i="73" s="1"/>
  <c r="P165" i="73"/>
  <c r="P225" i="73" s="1"/>
  <c r="P135" i="73"/>
  <c r="AB135" i="73"/>
  <c r="AB165" i="73"/>
  <c r="AB225" i="73" s="1"/>
  <c r="AB166" i="73"/>
  <c r="AB226" i="73" s="1"/>
  <c r="AB136" i="73"/>
  <c r="M134" i="73"/>
  <c r="M164" i="73"/>
  <c r="M224" i="73" s="1"/>
  <c r="AA167" i="73"/>
  <c r="AA227" i="73" s="1"/>
  <c r="AA137" i="73"/>
  <c r="AA136" i="73"/>
  <c r="AA166" i="73"/>
  <c r="AA226" i="73" s="1"/>
  <c r="Y170" i="73"/>
  <c r="Y230" i="73" s="1"/>
  <c r="Y140" i="73"/>
  <c r="U134" i="73"/>
  <c r="U164" i="73"/>
  <c r="U224" i="73" s="1"/>
  <c r="P138" i="73"/>
  <c r="P168" i="73"/>
  <c r="P228" i="73" s="1"/>
  <c r="Q124" i="83"/>
  <c r="AA127" i="83"/>
  <c r="AA127" i="72" s="1"/>
  <c r="AA197" i="72" s="1"/>
  <c r="AA227" i="72" s="1"/>
  <c r="AF157" i="83"/>
  <c r="AF27" i="71" s="1"/>
  <c r="AF132" i="71" s="1"/>
  <c r="AF186" i="83"/>
  <c r="AF57" i="71" s="1"/>
  <c r="AF162" i="71" s="1"/>
  <c r="AF128" i="83"/>
  <c r="AF215" i="83"/>
  <c r="AF87" i="71" s="1"/>
  <c r="AF192" i="71" s="1"/>
  <c r="AC214" i="83"/>
  <c r="AC86" i="71" s="1"/>
  <c r="AC191" i="71" s="1"/>
  <c r="AC185" i="83"/>
  <c r="AC56" i="71" s="1"/>
  <c r="AC161" i="71" s="1"/>
  <c r="AC156" i="83"/>
  <c r="AC26" i="71" s="1"/>
  <c r="AC131" i="71" s="1"/>
  <c r="AC127" i="83"/>
  <c r="AC123" i="83"/>
  <c r="AC152" i="83"/>
  <c r="AC210" i="83"/>
  <c r="AC82" i="71" s="1"/>
  <c r="AC187" i="71" s="1"/>
  <c r="AC181" i="83"/>
  <c r="AC52" i="71" s="1"/>
  <c r="AC15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208" i="80"/>
  <c r="H82" i="53"/>
  <c r="AH208" i="80"/>
  <c r="AH176" i="80"/>
  <c r="AH177" i="80" s="1"/>
  <c r="S138" i="73"/>
  <c r="S168" i="73"/>
  <c r="S228" i="73" s="1"/>
  <c r="K136" i="73"/>
  <c r="K166" i="73"/>
  <c r="K226" i="73" s="1"/>
  <c r="M137" i="73"/>
  <c r="M167" i="73"/>
  <c r="M227" i="73" s="1"/>
  <c r="P164" i="73"/>
  <c r="P224" i="73" s="1"/>
  <c r="P134" i="73"/>
  <c r="U166" i="73"/>
  <c r="U226" i="73" s="1"/>
  <c r="U136" i="73"/>
  <c r="M165" i="73"/>
  <c r="M225" i="73" s="1"/>
  <c r="M135" i="73"/>
  <c r="W139" i="73"/>
  <c r="W169" i="73"/>
  <c r="W229" i="73" s="1"/>
  <c r="M140" i="73"/>
  <c r="M170" i="73"/>
  <c r="M230" i="73" s="1"/>
  <c r="T170" i="73"/>
  <c r="T230" i="73" s="1"/>
  <c r="T140" i="73"/>
  <c r="N169" i="73"/>
  <c r="N229" i="73" s="1"/>
  <c r="N139" i="73"/>
  <c r="Z166" i="73"/>
  <c r="Z226" i="73" s="1"/>
  <c r="Z136" i="73"/>
  <c r="Y136" i="73"/>
  <c r="Y166" i="73"/>
  <c r="Y226" i="73" s="1"/>
  <c r="O136" i="73"/>
  <c r="O166" i="73"/>
  <c r="O226" i="73" s="1"/>
  <c r="Y138" i="73"/>
  <c r="Y168" i="73"/>
  <c r="Y228" i="73" s="1"/>
  <c r="V167" i="73"/>
  <c r="V227" i="73" s="1"/>
  <c r="V137" i="73"/>
  <c r="T166" i="73"/>
  <c r="T226" i="73" s="1"/>
  <c r="T136" i="73"/>
  <c r="O137" i="73"/>
  <c r="O167" i="73"/>
  <c r="O227" i="73" s="1"/>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161" i="83"/>
  <c r="AD31" i="71" s="1"/>
  <c r="AD136"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59" i="83"/>
  <c r="AP29" i="71" s="1"/>
  <c r="AP134" i="71" s="1"/>
  <c r="AP188" i="83"/>
  <c r="AP59" i="71" s="1"/>
  <c r="AP164" i="71" s="1"/>
  <c r="AP130" i="83"/>
  <c r="AP217" i="83"/>
  <c r="AP89" i="71" s="1"/>
  <c r="AP194" i="71" s="1"/>
  <c r="AP213" i="83"/>
  <c r="AP85" i="71" s="1"/>
  <c r="AP190" i="71" s="1"/>
  <c r="AP126" i="83"/>
  <c r="AP155" i="83"/>
  <c r="AP25" i="71" s="1"/>
  <c r="AP130" i="71" s="1"/>
  <c r="AP184" i="83"/>
  <c r="AP55" i="71" s="1"/>
  <c r="AP160" i="71" s="1"/>
  <c r="AJ127" i="83"/>
  <c r="AJ156" i="83"/>
  <c r="AJ26" i="71" s="1"/>
  <c r="AJ131" i="71" s="1"/>
  <c r="AJ185" i="83"/>
  <c r="AJ56" i="71" s="1"/>
  <c r="AJ161" i="71" s="1"/>
  <c r="AJ214" i="83"/>
  <c r="AJ86" i="71" s="1"/>
  <c r="AJ191" i="71" s="1"/>
  <c r="AC157" i="83"/>
  <c r="AC27" i="71" s="1"/>
  <c r="AC132" i="71" s="1"/>
  <c r="AC186" i="83"/>
  <c r="AC57" i="71" s="1"/>
  <c r="AC162" i="71" s="1"/>
  <c r="AC215" i="83"/>
  <c r="AC87" i="71" s="1"/>
  <c r="AC192" i="71" s="1"/>
  <c r="AC128" i="83"/>
  <c r="AC218" i="83"/>
  <c r="AC90" i="71" s="1"/>
  <c r="AC195" i="71" s="1"/>
  <c r="AC160" i="83"/>
  <c r="AC30" i="71" s="1"/>
  <c r="AC135" i="71" s="1"/>
  <c r="AC131" i="83"/>
  <c r="AC189" i="83"/>
  <c r="AC60" i="71" s="1"/>
  <c r="AC165" i="71" s="1"/>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P152" i="83"/>
  <c r="AM129" i="83"/>
  <c r="AM158" i="83"/>
  <c r="AM28" i="71" s="1"/>
  <c r="AM133" i="71" s="1"/>
  <c r="AM187" i="83"/>
  <c r="AM58" i="71" s="1"/>
  <c r="AM163" i="71" s="1"/>
  <c r="AM216" i="83"/>
  <c r="AM88" i="71" s="1"/>
  <c r="AM193" i="71" s="1"/>
  <c r="X131" i="83"/>
  <c r="X131" i="72" s="1"/>
  <c r="X201" i="72" s="1"/>
  <c r="X231" i="72" s="1"/>
  <c r="AC187" i="83"/>
  <c r="AC58" i="71" s="1"/>
  <c r="AC163" i="71" s="1"/>
  <c r="AC129" i="83"/>
  <c r="AC216" i="83"/>
  <c r="AC88" i="71" s="1"/>
  <c r="AC193" i="71" s="1"/>
  <c r="AC158" i="83"/>
  <c r="AC28" i="71" s="1"/>
  <c r="AC133" i="71" s="1"/>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D273" i="80" s="1"/>
  <c r="AE144" i="80"/>
  <c r="AE170" i="80" s="1"/>
  <c r="AE271" i="80" s="1"/>
  <c r="K133" i="74"/>
  <c r="K132" i="74"/>
  <c r="AD150" i="80"/>
  <c r="H34" i="111"/>
  <c r="U74" i="81" s="1"/>
  <c r="U76" i="81" s="1"/>
  <c r="U108" i="81" s="1"/>
  <c r="T47" i="82" s="1"/>
  <c r="AM177" i="80" l="1"/>
  <c r="AI177" i="80"/>
  <c r="AB118" i="53"/>
  <c r="AK208" i="80"/>
  <c r="T257" i="83"/>
  <c r="T262" i="83" s="1"/>
  <c r="T267" i="83" s="1"/>
  <c r="X118" i="53"/>
  <c r="X120" i="53" s="1"/>
  <c r="AA90" i="53"/>
  <c r="AA120" i="53" s="1"/>
  <c r="AO208" i="80"/>
  <c r="Y118" i="53"/>
  <c r="Z118" i="53"/>
  <c r="AG177" i="80"/>
  <c r="AK177" i="80"/>
  <c r="AC177" i="80"/>
  <c r="H121" i="53"/>
  <c r="AA122" i="53" s="1"/>
  <c r="Z90" i="53"/>
  <c r="Y90" i="53"/>
  <c r="AB90" i="53"/>
  <c r="T249" i="83"/>
  <c r="T258" i="83"/>
  <c r="T263" i="83" s="1"/>
  <c r="T268" i="83" s="1"/>
  <c r="AJ177" i="80"/>
  <c r="AJ208" i="80"/>
  <c r="AF177" i="80"/>
  <c r="S249" i="83"/>
  <c r="S370" i="53"/>
  <c r="S380" i="53" s="1"/>
  <c r="AL177" i="80"/>
  <c r="M352" i="53"/>
  <c r="S369" i="53"/>
  <c r="S379" i="53" s="1"/>
  <c r="M356" i="53"/>
  <c r="M349" i="53"/>
  <c r="M355" i="53"/>
  <c r="M354" i="53"/>
  <c r="M351" i="53"/>
  <c r="J246" i="83"/>
  <c r="J249" i="83" s="1"/>
  <c r="S368" i="53"/>
  <c r="S378" i="53" s="1"/>
  <c r="M353" i="53"/>
  <c r="M357" i="53"/>
  <c r="H38" i="111" a="1"/>
  <c r="H38" i="111" s="1"/>
  <c r="J44" i="55" s="1"/>
  <c r="N345" i="53"/>
  <c r="N356" i="53" s="1"/>
  <c r="O346" i="53"/>
  <c r="O357" i="53" s="1"/>
  <c r="O342" i="53"/>
  <c r="O353" i="53" s="1"/>
  <c r="N346" i="53"/>
  <c r="N357" i="53" s="1"/>
  <c r="W114" i="83"/>
  <c r="W219" i="83" s="1"/>
  <c r="W91" i="71" s="1"/>
  <c r="W196" i="71" s="1"/>
  <c r="W124" i="80"/>
  <c r="W136" i="80" s="1"/>
  <c r="W98" i="80"/>
  <c r="W110" i="80" s="1"/>
  <c r="W99" i="83"/>
  <c r="W187" i="83" s="1"/>
  <c r="W58" i="71" s="1"/>
  <c r="W163" i="71" s="1"/>
  <c r="P198" i="73"/>
  <c r="P268" i="73"/>
  <c r="P31" i="74" s="1"/>
  <c r="P76" i="74" s="1"/>
  <c r="P106" i="74" s="1"/>
  <c r="P138" i="74" s="1"/>
  <c r="V200" i="73"/>
  <c r="V270" i="73"/>
  <c r="V33" i="74" s="1"/>
  <c r="V78" i="74" s="1"/>
  <c r="U110" i="83"/>
  <c r="U215" i="83" s="1"/>
  <c r="U87" i="71" s="1"/>
  <c r="U192" i="71" s="1"/>
  <c r="U120" i="80"/>
  <c r="U132" i="80" s="1"/>
  <c r="R101" i="83"/>
  <c r="R189" i="83" s="1"/>
  <c r="R60" i="71" s="1"/>
  <c r="R165" i="71" s="1"/>
  <c r="R100" i="80"/>
  <c r="R112" i="80" s="1"/>
  <c r="AD269" i="80"/>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Y198" i="73"/>
  <c r="Y268" i="73"/>
  <c r="Y31" i="74" s="1"/>
  <c r="Y76" i="74" s="1"/>
  <c r="K266" i="73"/>
  <c r="K29" i="74" s="1"/>
  <c r="K74" i="74" s="1"/>
  <c r="K196" i="73"/>
  <c r="N194" i="73"/>
  <c r="N264" i="73"/>
  <c r="N27" i="74" s="1"/>
  <c r="N72" i="74"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O197" i="73"/>
  <c r="O267" i="73"/>
  <c r="O30" i="74" s="1"/>
  <c r="O75" i="74" s="1"/>
  <c r="O196" i="73"/>
  <c r="O266" i="73"/>
  <c r="O29" i="74" s="1"/>
  <c r="O74" i="74" s="1"/>
  <c r="S268" i="73"/>
  <c r="S31" i="74" s="1"/>
  <c r="S76" i="74" s="1"/>
  <c r="S198" i="73"/>
  <c r="AA197" i="73"/>
  <c r="AA267" i="73"/>
  <c r="AA30" i="74" s="1"/>
  <c r="AA75" i="74" s="1"/>
  <c r="P195" i="73"/>
  <c r="P265" i="73"/>
  <c r="P28" i="74" s="1"/>
  <c r="P73" i="74" s="1"/>
  <c r="P103" i="74" s="1"/>
  <c r="P135" i="74" s="1"/>
  <c r="M198" i="73"/>
  <c r="M268" i="73"/>
  <c r="M31" i="74" s="1"/>
  <c r="M76" i="74" s="1"/>
  <c r="W198" i="73"/>
  <c r="W268" i="73"/>
  <c r="W31" i="74" s="1"/>
  <c r="W76" i="74" s="1"/>
  <c r="N339" i="53"/>
  <c r="Q77" i="80"/>
  <c r="Q89" i="80" s="1"/>
  <c r="Q89" i="83"/>
  <c r="Q160" i="83" s="1"/>
  <c r="Q30" i="71" s="1"/>
  <c r="Q135" i="71" s="1"/>
  <c r="Q98" i="80"/>
  <c r="Q110" i="80" s="1"/>
  <c r="Q99" i="83"/>
  <c r="Q187" i="83" s="1"/>
  <c r="Q58" i="71" s="1"/>
  <c r="Q163" i="71" s="1"/>
  <c r="Q120" i="80"/>
  <c r="Q132" i="80" s="1"/>
  <c r="Q110" i="83"/>
  <c r="Q215" i="83" s="1"/>
  <c r="Q87" i="71" s="1"/>
  <c r="Q192" i="71" s="1"/>
  <c r="AB270" i="73"/>
  <c r="AB33" i="74" s="1"/>
  <c r="AB78" i="74" s="1"/>
  <c r="AB200" i="73"/>
  <c r="U195" i="73"/>
  <c r="U265" i="73"/>
  <c r="U28" i="74" s="1"/>
  <c r="U73" i="74" s="1"/>
  <c r="X270" i="73"/>
  <c r="X33" i="74" s="1"/>
  <c r="X78" i="74" s="1"/>
  <c r="X200" i="73"/>
  <c r="U121" i="80"/>
  <c r="U133" i="80" s="1"/>
  <c r="U111" i="83"/>
  <c r="U216" i="83" s="1"/>
  <c r="U88" i="71" s="1"/>
  <c r="U193" i="71" s="1"/>
  <c r="U85" i="83"/>
  <c r="U156" i="83" s="1"/>
  <c r="U26" i="71" s="1"/>
  <c r="U131" i="71" s="1"/>
  <c r="U73" i="80"/>
  <c r="U85" i="80" s="1"/>
  <c r="U118" i="80"/>
  <c r="U130" i="80" s="1"/>
  <c r="U108" i="83"/>
  <c r="U213" i="83" s="1"/>
  <c r="U85" i="71" s="1"/>
  <c r="U190" i="71" s="1"/>
  <c r="W266" i="73"/>
  <c r="W29" i="74" s="1"/>
  <c r="W74" i="74" s="1"/>
  <c r="W196" i="73"/>
  <c r="R199" i="73"/>
  <c r="R269" i="73"/>
  <c r="R32" i="74" s="1"/>
  <c r="R77" i="74" s="1"/>
  <c r="R107" i="74" s="1"/>
  <c r="R139" i="74" s="1"/>
  <c r="U267" i="73"/>
  <c r="U30" i="74" s="1"/>
  <c r="U75" i="74" s="1"/>
  <c r="U197" i="73"/>
  <c r="M266" i="73"/>
  <c r="M29" i="74" s="1"/>
  <c r="M74" i="74" s="1"/>
  <c r="M196" i="73"/>
  <c r="Q270" i="73"/>
  <c r="Q33" i="74" s="1"/>
  <c r="Q78" i="74" s="1"/>
  <c r="Q108" i="74" s="1"/>
  <c r="Q140" i="74" s="1"/>
  <c r="Q200" i="73"/>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V196" i="73"/>
  <c r="V266" i="73"/>
  <c r="V29" i="74" s="1"/>
  <c r="V74" i="74" s="1"/>
  <c r="AE22" i="71"/>
  <c r="AE127" i="71" s="1"/>
  <c r="L197" i="73"/>
  <c r="L267" i="73"/>
  <c r="L30" i="74" s="1"/>
  <c r="L75" i="74" s="1"/>
  <c r="O194" i="73"/>
  <c r="O264" i="73"/>
  <c r="O27" i="74" s="1"/>
  <c r="O72" i="74" s="1"/>
  <c r="Z197" i="73"/>
  <c r="Z267" i="73"/>
  <c r="Z30" i="74" s="1"/>
  <c r="Z75" i="74" s="1"/>
  <c r="S270" i="73"/>
  <c r="S33" i="74" s="1"/>
  <c r="S78" i="74" s="1"/>
  <c r="S200" i="73"/>
  <c r="Z268" i="73"/>
  <c r="Z31" i="74" s="1"/>
  <c r="Z76" i="74" s="1"/>
  <c r="Z198" i="73"/>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T266" i="73"/>
  <c r="T29" i="74" s="1"/>
  <c r="T74" i="74" s="1"/>
  <c r="T196" i="73"/>
  <c r="Q87" i="83"/>
  <c r="Q158" i="83" s="1"/>
  <c r="Q28" i="71" s="1"/>
  <c r="Q133" i="71" s="1"/>
  <c r="Q75" i="80"/>
  <c r="Q87" i="80" s="1"/>
  <c r="U96" i="80"/>
  <c r="U108" i="80" s="1"/>
  <c r="U97" i="83"/>
  <c r="U185" i="83" s="1"/>
  <c r="U56" i="71" s="1"/>
  <c r="U161" i="71" s="1"/>
  <c r="R84" i="83"/>
  <c r="R155" i="83" s="1"/>
  <c r="R25" i="71" s="1"/>
  <c r="R130" i="71" s="1"/>
  <c r="R72" i="80"/>
  <c r="R84" i="80" s="1"/>
  <c r="L194" i="73"/>
  <c r="L264" i="73"/>
  <c r="L27" i="74" s="1"/>
  <c r="L72" i="74" s="1"/>
  <c r="AB267" i="73"/>
  <c r="AB30" i="74" s="1"/>
  <c r="AB75" i="74" s="1"/>
  <c r="AB197" i="73"/>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M200" i="73"/>
  <c r="M270" i="73"/>
  <c r="M33" i="74" s="1"/>
  <c r="M78" i="74"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Z265" i="73"/>
  <c r="Z28" i="74" s="1"/>
  <c r="Z73" i="74" s="1"/>
  <c r="Z195" i="73"/>
  <c r="R99" i="80"/>
  <c r="R111" i="80" s="1"/>
  <c r="R100" i="83"/>
  <c r="R188" i="83" s="1"/>
  <c r="R59" i="71" s="1"/>
  <c r="R164" i="71" s="1"/>
  <c r="R70" i="80"/>
  <c r="R82" i="80" s="1"/>
  <c r="R82" i="83"/>
  <c r="R153" i="83" s="1"/>
  <c r="R23" i="71" s="1"/>
  <c r="R128" i="71" s="1"/>
  <c r="R81" i="83"/>
  <c r="R152" i="83" s="1"/>
  <c r="AN22" i="71"/>
  <c r="AN127" i="71" s="1"/>
  <c r="AB198" i="73"/>
  <c r="AB268" i="73"/>
  <c r="AB31" i="74" s="1"/>
  <c r="AB76" i="74"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V197" i="73"/>
  <c r="V267" i="73"/>
  <c r="V30" i="74" s="1"/>
  <c r="V75" i="74" s="1"/>
  <c r="Z266" i="73"/>
  <c r="Z29" i="74" s="1"/>
  <c r="Z74" i="74" s="1"/>
  <c r="Z196" i="73"/>
  <c r="U264" i="73"/>
  <c r="U27" i="74" s="1"/>
  <c r="U72" i="74" s="1"/>
  <c r="U194" i="73"/>
  <c r="M194" i="73"/>
  <c r="M264" i="73"/>
  <c r="M27" i="74" s="1"/>
  <c r="M72" i="74" s="1"/>
  <c r="X197" i="73"/>
  <c r="X267" i="73"/>
  <c r="X30" i="74" s="1"/>
  <c r="X75" i="74" s="1"/>
  <c r="P196" i="73"/>
  <c r="P266" i="73"/>
  <c r="P29" i="74" s="1"/>
  <c r="P74" i="74" s="1"/>
  <c r="P104" i="74" s="1"/>
  <c r="P136" i="74"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K194" i="73"/>
  <c r="K264" i="73"/>
  <c r="K27" i="74" s="1"/>
  <c r="K72" i="74" s="1"/>
  <c r="O198" i="73"/>
  <c r="O268" i="73"/>
  <c r="O31" i="74" s="1"/>
  <c r="O76" i="74" s="1"/>
  <c r="K199" i="73"/>
  <c r="K269" i="73"/>
  <c r="K32" i="74" s="1"/>
  <c r="K77" i="74"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J198" i="73"/>
  <c r="J268" i="73"/>
  <c r="J31" i="74" s="1"/>
  <c r="J76" i="74" s="1"/>
  <c r="V198" i="73"/>
  <c r="V268" i="73"/>
  <c r="V31" i="74" s="1"/>
  <c r="V76" i="74" s="1"/>
  <c r="S195" i="73"/>
  <c r="S265" i="73"/>
  <c r="S28" i="74" s="1"/>
  <c r="S73" i="74" s="1"/>
  <c r="P200" i="73"/>
  <c r="P270" i="73"/>
  <c r="P33" i="74" s="1"/>
  <c r="P78" i="74" s="1"/>
  <c r="P108" i="74" s="1"/>
  <c r="P140" i="74"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K265" i="73"/>
  <c r="K28" i="74" s="1"/>
  <c r="K73" i="74" s="1"/>
  <c r="K195" i="73"/>
  <c r="S264" i="73"/>
  <c r="S27" i="74" s="1"/>
  <c r="S72" i="74" s="1"/>
  <c r="S194" i="73"/>
  <c r="AI22" i="71"/>
  <c r="AI127" i="71" s="1"/>
  <c r="T197" i="73"/>
  <c r="T267" i="73"/>
  <c r="T30" i="74" s="1"/>
  <c r="T75" i="74" s="1"/>
  <c r="AA264" i="73"/>
  <c r="AA27" i="74" s="1"/>
  <c r="AA72" i="74" s="1"/>
  <c r="AA194" i="73"/>
  <c r="L269" i="73"/>
  <c r="L32" i="74" s="1"/>
  <c r="L77" i="74" s="1"/>
  <c r="L199" i="73"/>
  <c r="T195" i="73"/>
  <c r="T265" i="73"/>
  <c r="T28" i="74" s="1"/>
  <c r="T73" i="74"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U269" i="73"/>
  <c r="U32" i="74" s="1"/>
  <c r="U77" i="74" s="1"/>
  <c r="U199" i="73"/>
  <c r="R98" i="83"/>
  <c r="R186" i="83" s="1"/>
  <c r="R57" i="71" s="1"/>
  <c r="R162" i="71" s="1"/>
  <c r="R97" i="80"/>
  <c r="R109" i="80" s="1"/>
  <c r="W264" i="73"/>
  <c r="W27" i="74" s="1"/>
  <c r="W72" i="74" s="1"/>
  <c r="W194" i="73"/>
  <c r="Z264" i="73"/>
  <c r="Z27" i="74" s="1"/>
  <c r="Z72" i="74" s="1"/>
  <c r="Z194" i="73"/>
  <c r="L195" i="73"/>
  <c r="L265" i="73"/>
  <c r="L28" i="74" s="1"/>
  <c r="L73" i="74" s="1"/>
  <c r="U268" i="73"/>
  <c r="U31" i="74" s="1"/>
  <c r="U76" i="74" s="1"/>
  <c r="U198" i="73"/>
  <c r="U72" i="80"/>
  <c r="U84" i="80" s="1"/>
  <c r="U84" i="83"/>
  <c r="U155" i="83" s="1"/>
  <c r="U25" i="71" s="1"/>
  <c r="U130" i="71" s="1"/>
  <c r="O338" i="53"/>
  <c r="O349" i="53" s="1"/>
  <c r="W267" i="73"/>
  <c r="W30" i="74" s="1"/>
  <c r="W75" i="74" s="1"/>
  <c r="W197" i="73"/>
  <c r="Y199" i="73"/>
  <c r="Y269" i="73"/>
  <c r="Y32" i="74" s="1"/>
  <c r="Y77" i="74" s="1"/>
  <c r="R108" i="83"/>
  <c r="R213" i="83" s="1"/>
  <c r="R85" i="71" s="1"/>
  <c r="R190" i="71" s="1"/>
  <c r="R118" i="80"/>
  <c r="R130" i="80" s="1"/>
  <c r="AA200" i="73"/>
  <c r="AA270" i="73"/>
  <c r="AA33" i="74" s="1"/>
  <c r="AA78" i="74" s="1"/>
  <c r="P267" i="73"/>
  <c r="P30" i="74" s="1"/>
  <c r="P75" i="74" s="1"/>
  <c r="P105" i="74" s="1"/>
  <c r="P137" i="74" s="1"/>
  <c r="P197" i="73"/>
  <c r="W107" i="83"/>
  <c r="W212" i="83" s="1"/>
  <c r="W84" i="71" s="1"/>
  <c r="W189" i="71" s="1"/>
  <c r="W117" i="80"/>
  <c r="W129" i="80" s="1"/>
  <c r="M197" i="73"/>
  <c r="M267" i="73"/>
  <c r="M30" i="74" s="1"/>
  <c r="M75" i="74" s="1"/>
  <c r="AB266" i="73"/>
  <c r="AB29" i="74" s="1"/>
  <c r="AB74" i="74" s="1"/>
  <c r="AB196" i="73"/>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S199" i="73"/>
  <c r="S269" i="73"/>
  <c r="S32" i="74" s="1"/>
  <c r="S77" i="74" s="1"/>
  <c r="X264" i="73"/>
  <c r="X27" i="74" s="1"/>
  <c r="X72" i="74" s="1"/>
  <c r="X194" i="73"/>
  <c r="N265" i="73"/>
  <c r="N28" i="74" s="1"/>
  <c r="N73" i="74" s="1"/>
  <c r="N195" i="73"/>
  <c r="Q197" i="73"/>
  <c r="Q267" i="73"/>
  <c r="Q30" i="74" s="1"/>
  <c r="Q75" i="74" s="1"/>
  <c r="Q105" i="74" s="1"/>
  <c r="Q137" i="74" s="1"/>
  <c r="AA268" i="73"/>
  <c r="AA31" i="74" s="1"/>
  <c r="AA76" i="74" s="1"/>
  <c r="AA198" i="73"/>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Y194" i="73"/>
  <c r="Y264" i="73"/>
  <c r="Y27" i="74" s="1"/>
  <c r="Y72" i="74" s="1"/>
  <c r="O341" i="53"/>
  <c r="O352" i="53" s="1"/>
  <c r="L249" i="83"/>
  <c r="O270" i="73"/>
  <c r="O33" i="74" s="1"/>
  <c r="O78" i="74" s="1"/>
  <c r="O200" i="73"/>
  <c r="J196" i="73"/>
  <c r="J266" i="73"/>
  <c r="J29" i="74" s="1"/>
  <c r="J74" i="74" s="1"/>
  <c r="X196" i="73"/>
  <c r="X266" i="73"/>
  <c r="X29" i="74" s="1"/>
  <c r="X74" i="74" s="1"/>
  <c r="N268" i="73"/>
  <c r="N31" i="74" s="1"/>
  <c r="N76" i="74" s="1"/>
  <c r="N198" i="73"/>
  <c r="R86" i="83"/>
  <c r="R157" i="83" s="1"/>
  <c r="R27" i="71" s="1"/>
  <c r="R132" i="71" s="1"/>
  <c r="R74" i="80"/>
  <c r="R86" i="80" s="1"/>
  <c r="R98" i="80"/>
  <c r="R110" i="80" s="1"/>
  <c r="R99" i="83"/>
  <c r="R187" i="83" s="1"/>
  <c r="R58" i="71" s="1"/>
  <c r="R163" i="71" s="1"/>
  <c r="R95" i="80"/>
  <c r="R107" i="80" s="1"/>
  <c r="R96" i="83"/>
  <c r="R184" i="83" s="1"/>
  <c r="R55" i="71" s="1"/>
  <c r="R160" i="71" s="1"/>
  <c r="N197" i="73"/>
  <c r="N267" i="73"/>
  <c r="N30" i="74" s="1"/>
  <c r="N75" i="74" s="1"/>
  <c r="T198" i="73"/>
  <c r="T268" i="73"/>
  <c r="T31" i="74" s="1"/>
  <c r="T76" i="74" s="1"/>
  <c r="T199" i="73"/>
  <c r="T269" i="73"/>
  <c r="T32" i="74" s="1"/>
  <c r="T77" i="74" s="1"/>
  <c r="AO22" i="71"/>
  <c r="AO127" i="71" s="1"/>
  <c r="N196" i="73"/>
  <c r="N266" i="73"/>
  <c r="N29" i="74" s="1"/>
  <c r="N74" i="74" s="1"/>
  <c r="V123" i="80"/>
  <c r="V135" i="80" s="1"/>
  <c r="V113" i="83"/>
  <c r="V218" i="83" s="1"/>
  <c r="V90" i="71" s="1"/>
  <c r="V195" i="71" s="1"/>
  <c r="V111" i="83"/>
  <c r="V216" i="83" s="1"/>
  <c r="V88" i="71" s="1"/>
  <c r="V193" i="71" s="1"/>
  <c r="V121" i="80"/>
  <c r="V133" i="80" s="1"/>
  <c r="V75" i="80"/>
  <c r="V87" i="80" s="1"/>
  <c r="V87" i="83"/>
  <c r="V158" i="83" s="1"/>
  <c r="V28" i="71" s="1"/>
  <c r="V133" i="71" s="1"/>
  <c r="K200" i="73"/>
  <c r="K270" i="73"/>
  <c r="K33" i="74" s="1"/>
  <c r="K78" i="74" s="1"/>
  <c r="Z200" i="73"/>
  <c r="Z270" i="73"/>
  <c r="Z33" i="74" s="1"/>
  <c r="Z78" i="74"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X269" i="73"/>
  <c r="X32" i="74" s="1"/>
  <c r="X77" i="74" s="1"/>
  <c r="X199" i="73"/>
  <c r="Q264" i="73"/>
  <c r="Q27" i="74" s="1"/>
  <c r="Q72" i="74" s="1"/>
  <c r="Q102" i="74" s="1"/>
  <c r="Q134" i="74" s="1"/>
  <c r="Q194" i="73"/>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269" i="73"/>
  <c r="W32" i="74" s="1"/>
  <c r="W77" i="74" s="1"/>
  <c r="W199" i="73"/>
  <c r="Y200" i="73"/>
  <c r="Y270" i="73"/>
  <c r="Y33" i="74" s="1"/>
  <c r="Y78" i="74" s="1"/>
  <c r="R267" i="73"/>
  <c r="R30" i="74" s="1"/>
  <c r="R75" i="74" s="1"/>
  <c r="R105" i="74" s="1"/>
  <c r="R137" i="74" s="1"/>
  <c r="R197" i="73"/>
  <c r="W101" i="80"/>
  <c r="W113" i="80" s="1"/>
  <c r="W102" i="83"/>
  <c r="W190" i="83" s="1"/>
  <c r="W61" i="71" s="1"/>
  <c r="W166" i="71" s="1"/>
  <c r="W101" i="83"/>
  <c r="W189" i="83" s="1"/>
  <c r="W60" i="71" s="1"/>
  <c r="W165" i="71" s="1"/>
  <c r="W100" i="80"/>
  <c r="W112" i="80" s="1"/>
  <c r="W111" i="83"/>
  <c r="W216" i="83" s="1"/>
  <c r="W88" i="71" s="1"/>
  <c r="W193" i="71" s="1"/>
  <c r="W121" i="80"/>
  <c r="W133" i="80" s="1"/>
  <c r="N199" i="73"/>
  <c r="N269" i="73"/>
  <c r="N32" i="74" s="1"/>
  <c r="N77" i="74" s="1"/>
  <c r="M265" i="73"/>
  <c r="M28" i="74" s="1"/>
  <c r="M73" i="74" s="1"/>
  <c r="M195" i="73"/>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200" i="73"/>
  <c r="U270" i="73"/>
  <c r="U33" i="74" s="1"/>
  <c r="U78" i="74" s="1"/>
  <c r="Q196" i="73"/>
  <c r="Q266" i="73"/>
  <c r="Q29" i="74" s="1"/>
  <c r="Q74" i="74" s="1"/>
  <c r="Q104" i="74" s="1"/>
  <c r="Q136" i="74"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T264" i="73"/>
  <c r="T27" i="74" s="1"/>
  <c r="T72" i="74" s="1"/>
  <c r="T194" i="73"/>
  <c r="O345" i="53"/>
  <c r="O356" i="53" s="1"/>
  <c r="AM22" i="71"/>
  <c r="AM127" i="71" s="1"/>
  <c r="R110" i="83"/>
  <c r="R215" i="83" s="1"/>
  <c r="R87" i="71" s="1"/>
  <c r="R192" i="71" s="1"/>
  <c r="R120" i="80"/>
  <c r="R132" i="80" s="1"/>
  <c r="R109" i="83"/>
  <c r="R214" i="83" s="1"/>
  <c r="R86" i="71" s="1"/>
  <c r="R191" i="71" s="1"/>
  <c r="R119" i="80"/>
  <c r="R131" i="80" s="1"/>
  <c r="R75" i="80"/>
  <c r="R87" i="80" s="1"/>
  <c r="R87" i="83"/>
  <c r="R158" i="83" s="1"/>
  <c r="R28" i="71" s="1"/>
  <c r="R133" i="71" s="1"/>
  <c r="P269" i="73"/>
  <c r="P32" i="74" s="1"/>
  <c r="P77" i="74" s="1"/>
  <c r="P107" i="74" s="1"/>
  <c r="P139" i="74" s="1"/>
  <c r="P199" i="73"/>
  <c r="S196" i="73"/>
  <c r="S266" i="73"/>
  <c r="S29" i="74" s="1"/>
  <c r="S74" i="74" s="1"/>
  <c r="K198" i="73"/>
  <c r="K268" i="73"/>
  <c r="K31" i="74" s="1"/>
  <c r="K76" i="74" s="1"/>
  <c r="Z199" i="73"/>
  <c r="Z269" i="73"/>
  <c r="Z32" i="74" s="1"/>
  <c r="Z77" i="74" s="1"/>
  <c r="J265" i="73"/>
  <c r="J28" i="74" s="1"/>
  <c r="J73" i="74" s="1"/>
  <c r="J195" i="73"/>
  <c r="N200" i="73"/>
  <c r="N270" i="73"/>
  <c r="N33" i="74" s="1"/>
  <c r="N78" i="74"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P194" i="73"/>
  <c r="P264" i="73"/>
  <c r="P27" i="74" s="1"/>
  <c r="P72" i="74" s="1"/>
  <c r="P102" i="74" s="1"/>
  <c r="P134" i="74" s="1"/>
  <c r="J269" i="73"/>
  <c r="J32" i="74" s="1"/>
  <c r="J77" i="74" s="1"/>
  <c r="J199" i="73"/>
  <c r="X268" i="73"/>
  <c r="X31" i="74" s="1"/>
  <c r="X76" i="74" s="1"/>
  <c r="X198" i="73"/>
  <c r="Q78" i="80"/>
  <c r="Q90" i="80" s="1"/>
  <c r="Q90" i="83"/>
  <c r="Q161" i="83" s="1"/>
  <c r="Q31" i="71" s="1"/>
  <c r="Q136" i="71" s="1"/>
  <c r="V199" i="73"/>
  <c r="V269" i="73"/>
  <c r="V32" i="74" s="1"/>
  <c r="V77" i="74" s="1"/>
  <c r="Q269" i="73"/>
  <c r="Q32" i="74" s="1"/>
  <c r="Q77" i="74" s="1"/>
  <c r="Q107" i="74" s="1"/>
  <c r="Q139" i="74" s="1"/>
  <c r="Q199" i="73"/>
  <c r="V265" i="73"/>
  <c r="V28" i="74" s="1"/>
  <c r="V73" i="74" s="1"/>
  <c r="V195" i="73"/>
  <c r="O344" i="53"/>
  <c r="O355" i="53" s="1"/>
  <c r="L268" i="73"/>
  <c r="L31" i="74" s="1"/>
  <c r="L76" i="74" s="1"/>
  <c r="L198" i="73"/>
  <c r="S267" i="73"/>
  <c r="S30" i="74" s="1"/>
  <c r="S75" i="74" s="1"/>
  <c r="S197" i="73"/>
  <c r="X265" i="73"/>
  <c r="X28" i="74" s="1"/>
  <c r="X73" i="74" s="1"/>
  <c r="X195" i="73"/>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R264" i="73"/>
  <c r="R27" i="74" s="1"/>
  <c r="R72" i="74" s="1"/>
  <c r="R102" i="74" s="1"/>
  <c r="R134" i="74" s="1"/>
  <c r="R194" i="73"/>
  <c r="V194" i="73"/>
  <c r="V264" i="73"/>
  <c r="V27" i="74" s="1"/>
  <c r="V72" i="74" s="1"/>
  <c r="O195" i="73"/>
  <c r="O265" i="73"/>
  <c r="O28" i="74" s="1"/>
  <c r="O73" i="74" s="1"/>
  <c r="AB264" i="73"/>
  <c r="AB27" i="74" s="1"/>
  <c r="AB72" i="74" s="1"/>
  <c r="AB194" i="73"/>
  <c r="L270" i="73"/>
  <c r="L33" i="74" s="1"/>
  <c r="L78" i="74" s="1"/>
  <c r="L200" i="73"/>
  <c r="AB199" i="73"/>
  <c r="AB269" i="73"/>
  <c r="AB32" i="74" s="1"/>
  <c r="AB77" i="74"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L357" i="53" s="1"/>
  <c r="W270" i="73"/>
  <c r="W33" i="74" s="1"/>
  <c r="W78" i="74" s="1"/>
  <c r="W200" i="73"/>
  <c r="Q105" i="83"/>
  <c r="Q210" i="83" s="1"/>
  <c r="Q82" i="71" s="1"/>
  <c r="Q187" i="71" s="1"/>
  <c r="Q106" i="83"/>
  <c r="Q211" i="83" s="1"/>
  <c r="Q83" i="71" s="1"/>
  <c r="Q188" i="71" s="1"/>
  <c r="Q116" i="80"/>
  <c r="Q128" i="80" s="1"/>
  <c r="O269" i="73"/>
  <c r="O32" i="74" s="1"/>
  <c r="O77" i="74" s="1"/>
  <c r="O199" i="73"/>
  <c r="U71" i="80"/>
  <c r="U83" i="80" s="1"/>
  <c r="U83" i="83"/>
  <c r="U154" i="83" s="1"/>
  <c r="U24" i="71" s="1"/>
  <c r="U129" i="71" s="1"/>
  <c r="W195" i="73"/>
  <c r="W265" i="73"/>
  <c r="W28" i="74" s="1"/>
  <c r="W73" i="74" s="1"/>
  <c r="Y266" i="73"/>
  <c r="Y29" i="74" s="1"/>
  <c r="Y74" i="74" s="1"/>
  <c r="Y196" i="73"/>
  <c r="Q95" i="83"/>
  <c r="Q183" i="83" s="1"/>
  <c r="Q54" i="71" s="1"/>
  <c r="Q159" i="71" s="1"/>
  <c r="Q94" i="80"/>
  <c r="Q106" i="80" s="1"/>
  <c r="AA195" i="73"/>
  <c r="AA265" i="73"/>
  <c r="AA28" i="74" s="1"/>
  <c r="AA73" i="74" s="1"/>
  <c r="U87" i="83"/>
  <c r="U158" i="83" s="1"/>
  <c r="U28" i="71" s="1"/>
  <c r="U133" i="71" s="1"/>
  <c r="U75" i="80"/>
  <c r="U87" i="80" s="1"/>
  <c r="AK22" i="71"/>
  <c r="AK127" i="71" s="1"/>
  <c r="Q265" i="73"/>
  <c r="Q28" i="74" s="1"/>
  <c r="Q73" i="74" s="1"/>
  <c r="Q103" i="74" s="1"/>
  <c r="Q135" i="74" s="1"/>
  <c r="Q195" i="73"/>
  <c r="W76" i="80"/>
  <c r="W88" i="80" s="1"/>
  <c r="W88" i="83"/>
  <c r="W159" i="83" s="1"/>
  <c r="W29" i="71" s="1"/>
  <c r="W134" i="71" s="1"/>
  <c r="R268" i="73"/>
  <c r="R31" i="74" s="1"/>
  <c r="R76" i="74" s="1"/>
  <c r="R106" i="74" s="1"/>
  <c r="R138" i="74" s="1"/>
  <c r="R198" i="73"/>
  <c r="N342" i="53"/>
  <c r="N353" i="53" s="1"/>
  <c r="Q76" i="80"/>
  <c r="Q88" i="80" s="1"/>
  <c r="Q88" i="83"/>
  <c r="Q159" i="83" s="1"/>
  <c r="Q29" i="71" s="1"/>
  <c r="Q134" i="71" s="1"/>
  <c r="J200" i="73"/>
  <c r="J270" i="73"/>
  <c r="J33" i="74" s="1"/>
  <c r="J78" i="74" s="1"/>
  <c r="J267" i="73"/>
  <c r="J30" i="74" s="1"/>
  <c r="J75" i="74" s="1"/>
  <c r="J197" i="73"/>
  <c r="Y265" i="73"/>
  <c r="Y28" i="74" s="1"/>
  <c r="Y73" i="74" s="1"/>
  <c r="Y195" i="73"/>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L266" i="73"/>
  <c r="L29" i="74" s="1"/>
  <c r="L74" i="74" s="1"/>
  <c r="L196" i="73"/>
  <c r="R200" i="73"/>
  <c r="R270" i="73"/>
  <c r="R33" i="74" s="1"/>
  <c r="R78" i="74" s="1"/>
  <c r="R108" i="74" s="1"/>
  <c r="R140" i="74" s="1"/>
  <c r="T88" i="53"/>
  <c r="T90" i="53" s="1"/>
  <c r="T120" i="53" s="1"/>
  <c r="T122" i="53" s="1"/>
  <c r="T343" i="53" s="1"/>
  <c r="T354" i="53" s="1"/>
  <c r="R266" i="73"/>
  <c r="R29" i="74" s="1"/>
  <c r="R74" i="74" s="1"/>
  <c r="R104" i="74" s="1"/>
  <c r="R136" i="74" s="1"/>
  <c r="R196" i="73"/>
  <c r="Q268" i="73"/>
  <c r="Q31" i="74" s="1"/>
  <c r="Q76" i="74" s="1"/>
  <c r="Q106" i="74" s="1"/>
  <c r="Q138" i="74" s="1"/>
  <c r="Q198" i="73"/>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T270" i="73"/>
  <c r="T33" i="74" s="1"/>
  <c r="T78" i="74" s="1"/>
  <c r="T200" i="73"/>
  <c r="U266" i="73"/>
  <c r="U29" i="74" s="1"/>
  <c r="U74" i="74" s="1"/>
  <c r="U196" i="73"/>
  <c r="AA196" i="73"/>
  <c r="AA266" i="73"/>
  <c r="AA29" i="74" s="1"/>
  <c r="AA74" i="74" s="1"/>
  <c r="AB195" i="73"/>
  <c r="AB265" i="73"/>
  <c r="AB28" i="74" s="1"/>
  <c r="AB73" i="74"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M269" i="73"/>
  <c r="M32" i="74" s="1"/>
  <c r="M77" i="74" s="1"/>
  <c r="M199" i="73"/>
  <c r="J88" i="53"/>
  <c r="R265" i="73"/>
  <c r="R28" i="74" s="1"/>
  <c r="R73" i="74" s="1"/>
  <c r="R103" i="74" s="1"/>
  <c r="R135" i="74" s="1"/>
  <c r="R195" i="73"/>
  <c r="AA269" i="73"/>
  <c r="AA32" i="74" s="1"/>
  <c r="AA77" i="74" s="1"/>
  <c r="AA199" i="7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Y267" i="73"/>
  <c r="Y30" i="74" s="1"/>
  <c r="Y75" i="74" s="1"/>
  <c r="Y197" i="73"/>
  <c r="K197" i="73"/>
  <c r="K267" i="73"/>
  <c r="K30" i="74" s="1"/>
  <c r="K75" i="74" s="1"/>
  <c r="J194" i="73"/>
  <c r="J264" i="73"/>
  <c r="J27" i="74" s="1"/>
  <c r="J72" i="74"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AB120" i="53" l="1"/>
  <c r="T270" i="83"/>
  <c r="Y120" i="53"/>
  <c r="Z120" i="53"/>
  <c r="Z122" i="53"/>
  <c r="Z306" i="53" s="1"/>
  <c r="Z522" i="53" s="1"/>
  <c r="X122" i="53"/>
  <c r="X321" i="53" s="1"/>
  <c r="X537" i="53" s="1"/>
  <c r="AB122" i="53"/>
  <c r="AB321" i="53" s="1"/>
  <c r="AB537" i="53" s="1"/>
  <c r="Y122" i="53"/>
  <c r="Y312" i="53" s="1"/>
  <c r="Y528" i="53" s="1"/>
  <c r="W142" i="80"/>
  <c r="W168" i="80" s="1"/>
  <c r="W269" i="80" s="1"/>
  <c r="W147" i="80"/>
  <c r="W173" i="80" s="1"/>
  <c r="W274" i="80" s="1"/>
  <c r="Q148" i="80"/>
  <c r="Q174" i="80" s="1"/>
  <c r="Q275" i="80" s="1"/>
  <c r="U143" i="80"/>
  <c r="U169" i="80" s="1"/>
  <c r="U270" i="80" s="1"/>
  <c r="S252" i="83"/>
  <c r="S262" i="83" s="1"/>
  <c r="S267" i="83" s="1"/>
  <c r="S383" i="53"/>
  <c r="V149" i="80"/>
  <c r="V175" i="80" s="1"/>
  <c r="V276" i="80" s="1"/>
  <c r="Q150" i="80"/>
  <c r="Q176" i="80" s="1"/>
  <c r="R143" i="80"/>
  <c r="R169" i="80" s="1"/>
  <c r="R270" i="80" s="1"/>
  <c r="U147" i="80"/>
  <c r="U173" i="80" s="1"/>
  <c r="U274" i="80" s="1"/>
  <c r="R145" i="80"/>
  <c r="R171" i="80" s="1"/>
  <c r="R272" i="80" s="1"/>
  <c r="U144" i="80"/>
  <c r="U170" i="80" s="1"/>
  <c r="U271" i="80" s="1"/>
  <c r="S342" i="53"/>
  <c r="S353" i="53" s="1"/>
  <c r="H415" i="53"/>
  <c r="H412" i="53"/>
  <c r="N350" i="53"/>
  <c r="H408" i="53"/>
  <c r="H407" i="53"/>
  <c r="R148" i="80"/>
  <c r="R174" i="80" s="1"/>
  <c r="R275" i="80" s="1"/>
  <c r="H411" i="53"/>
  <c r="H409" i="53"/>
  <c r="H413" i="53"/>
  <c r="H410" i="53"/>
  <c r="H414" i="53"/>
  <c r="A4" i="111"/>
  <c r="L341" i="53"/>
  <c r="L352" i="53" s="1"/>
  <c r="T340" i="53"/>
  <c r="T351" i="53" s="1"/>
  <c r="T345" i="53"/>
  <c r="T356" i="53" s="1"/>
  <c r="R150" i="80"/>
  <c r="R176" i="80" s="1"/>
  <c r="T338" i="53"/>
  <c r="T349" i="53" s="1"/>
  <c r="L340" i="53"/>
  <c r="L351" i="53" s="1"/>
  <c r="L343" i="53"/>
  <c r="L354" i="53" s="1"/>
  <c r="S339" i="53"/>
  <c r="S350" i="53" s="1"/>
  <c r="S346" i="53"/>
  <c r="S357" i="53" s="1"/>
  <c r="T342" i="53"/>
  <c r="T353" i="53" s="1"/>
  <c r="T341" i="53"/>
  <c r="T352" i="53" s="1"/>
  <c r="L338" i="53"/>
  <c r="L349" i="53" s="1"/>
  <c r="S341" i="53"/>
  <c r="S352" i="53" s="1"/>
  <c r="T339" i="53"/>
  <c r="T350" i="53" s="1"/>
  <c r="L342" i="53"/>
  <c r="L353" i="53" s="1"/>
  <c r="L344" i="53"/>
  <c r="L355" i="53" s="1"/>
  <c r="S340" i="53"/>
  <c r="S351" i="53" s="1"/>
  <c r="S338" i="53"/>
  <c r="S349" i="53" s="1"/>
  <c r="V147" i="80"/>
  <c r="V173" i="80" s="1"/>
  <c r="V274" i="80" s="1"/>
  <c r="W150" i="80"/>
  <c r="W176" i="80"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432" i="53" s="1"/>
  <c r="T385" i="53"/>
  <c r="T390" i="53"/>
  <c r="T387" i="53"/>
  <c r="T435" i="53" s="1"/>
  <c r="T391" i="53"/>
  <c r="T388" i="53"/>
  <c r="T383" i="53"/>
  <c r="T389" i="53"/>
  <c r="T386" i="53"/>
  <c r="AK106" i="74"/>
  <c r="AK138" i="74" s="1"/>
  <c r="AI106" i="74"/>
  <c r="AI138" i="74" s="1"/>
  <c r="L106" i="74"/>
  <c r="L138" i="74" s="1"/>
  <c r="U106" i="74"/>
  <c r="U138" i="74" s="1"/>
  <c r="AB106" i="74"/>
  <c r="AB138" i="74" s="1"/>
  <c r="AJ106" i="74"/>
  <c r="AJ138" i="74" s="1"/>
  <c r="AF106" i="74"/>
  <c r="AF138" i="74" s="1"/>
  <c r="AN106" i="74"/>
  <c r="AN138" i="74" s="1"/>
  <c r="Y106" i="74"/>
  <c r="Y138" i="74" s="1"/>
  <c r="AE106" i="74"/>
  <c r="AE138" i="74" s="1"/>
  <c r="V106" i="74"/>
  <c r="V138" i="74" s="1"/>
  <c r="AC106" i="74"/>
  <c r="AC138" i="74" s="1"/>
  <c r="AL106" i="74"/>
  <c r="AL138" i="74" s="1"/>
  <c r="X106" i="74"/>
  <c r="X138" i="74" s="1"/>
  <c r="Z106" i="74"/>
  <c r="Z138" i="74" s="1"/>
  <c r="W106" i="74"/>
  <c r="W138" i="74" s="1"/>
  <c r="AA106" i="74"/>
  <c r="AA138" i="74" s="1"/>
  <c r="AG106" i="74"/>
  <c r="AG138" i="74" s="1"/>
  <c r="AM106" i="74"/>
  <c r="AM138" i="74" s="1"/>
  <c r="AO106" i="74"/>
  <c r="AO138" i="74" s="1"/>
  <c r="AD106" i="74"/>
  <c r="AD138" i="74" s="1"/>
  <c r="AP106" i="74"/>
  <c r="AP138" i="74" s="1"/>
  <c r="AH106" i="74"/>
  <c r="AH138" i="74" s="1"/>
  <c r="O106" i="74"/>
  <c r="O138" i="74" s="1"/>
  <c r="R147" i="80"/>
  <c r="R173" i="80" s="1"/>
  <c r="R274" i="80" s="1"/>
  <c r="S345" i="53"/>
  <c r="S356" i="53" s="1"/>
  <c r="R146" i="80"/>
  <c r="R172" i="80" s="1"/>
  <c r="R273" i="80" s="1"/>
  <c r="S385" i="53"/>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Q272" i="80" s="1"/>
  <c r="R149" i="80"/>
  <c r="R175" i="80" s="1"/>
  <c r="R276" i="80" s="1"/>
  <c r="U145" i="80"/>
  <c r="U171" i="80" s="1"/>
  <c r="U272" i="80" s="1"/>
  <c r="Q143" i="80"/>
  <c r="Q169" i="80" s="1"/>
  <c r="Q270" i="80" s="1"/>
  <c r="K105" i="74"/>
  <c r="K137" i="74" s="1"/>
  <c r="M105" i="74"/>
  <c r="M137" i="74" s="1"/>
  <c r="S105" i="74"/>
  <c r="S137" i="74" s="1"/>
  <c r="J105" i="74"/>
  <c r="J137" i="74" s="1"/>
  <c r="T105" i="74"/>
  <c r="T137" i="74" s="1"/>
  <c r="N105" i="74"/>
  <c r="N137" i="74" s="1"/>
  <c r="S107" i="74"/>
  <c r="S139" i="74" s="1"/>
  <c r="K107" i="74"/>
  <c r="K139" i="74" s="1"/>
  <c r="N107" i="74"/>
  <c r="N139" i="74" s="1"/>
  <c r="J107" i="74"/>
  <c r="J139" i="74" s="1"/>
  <c r="T107" i="74"/>
  <c r="T139" i="74" s="1"/>
  <c r="M107" i="74"/>
  <c r="M139" i="74" s="1"/>
  <c r="V146" i="80"/>
  <c r="V172" i="80" s="1"/>
  <c r="V273" i="80" s="1"/>
  <c r="V148" i="80"/>
  <c r="V174" i="80" s="1"/>
  <c r="V275" i="80" s="1"/>
  <c r="S391" i="53"/>
  <c r="P109" i="83"/>
  <c r="P214" i="83" s="1"/>
  <c r="P86" i="71" s="1"/>
  <c r="P191" i="71" s="1"/>
  <c r="P119" i="80"/>
  <c r="P131" i="80" s="1"/>
  <c r="P74" i="80"/>
  <c r="P86" i="80" s="1"/>
  <c r="P86" i="83"/>
  <c r="P157" i="83" s="1"/>
  <c r="P27" i="71" s="1"/>
  <c r="P132" i="71" s="1"/>
  <c r="P95" i="83"/>
  <c r="P183" i="83" s="1"/>
  <c r="P54" i="71" s="1"/>
  <c r="P159" i="71" s="1"/>
  <c r="P94" i="80"/>
  <c r="P106" i="80" s="1"/>
  <c r="AP104" i="74"/>
  <c r="AP136" i="74" s="1"/>
  <c r="AL104" i="74"/>
  <c r="AL136" i="74" s="1"/>
  <c r="AJ104" i="74"/>
  <c r="AJ136" i="74" s="1"/>
  <c r="AC104" i="74"/>
  <c r="AC136" i="74" s="1"/>
  <c r="Z104" i="74"/>
  <c r="Z136" i="74" s="1"/>
  <c r="AE104" i="74"/>
  <c r="AE136" i="74" s="1"/>
  <c r="L104" i="74"/>
  <c r="L136" i="74" s="1"/>
  <c r="U104" i="74"/>
  <c r="U136" i="74" s="1"/>
  <c r="AI104" i="74"/>
  <c r="AI136" i="74" s="1"/>
  <c r="V104" i="74"/>
  <c r="V136" i="74" s="1"/>
  <c r="AA104" i="74"/>
  <c r="AA136" i="74" s="1"/>
  <c r="O104" i="74"/>
  <c r="O136" i="74" s="1"/>
  <c r="W104" i="74"/>
  <c r="W136" i="74" s="1"/>
  <c r="AK104" i="74"/>
  <c r="AK136" i="74" s="1"/>
  <c r="AO104" i="74"/>
  <c r="AO136" i="74" s="1"/>
  <c r="AH104" i="74"/>
  <c r="AH136" i="74" s="1"/>
  <c r="AD104" i="74"/>
  <c r="AD136" i="74" s="1"/>
  <c r="AG104" i="74"/>
  <c r="AG136" i="74" s="1"/>
  <c r="Y104" i="74"/>
  <c r="Y136" i="74" s="1"/>
  <c r="AF104" i="74"/>
  <c r="AF136" i="74" s="1"/>
  <c r="AN104" i="74"/>
  <c r="AN136" i="74" s="1"/>
  <c r="AM104" i="74"/>
  <c r="AM136" i="74" s="1"/>
  <c r="X104" i="74"/>
  <c r="X136" i="74" s="1"/>
  <c r="AB104" i="74"/>
  <c r="AB136" i="74" s="1"/>
  <c r="M108" i="74"/>
  <c r="M140" i="74" s="1"/>
  <c r="S108" i="74"/>
  <c r="S140" i="74" s="1"/>
  <c r="T108" i="74"/>
  <c r="T140" i="74" s="1"/>
  <c r="J108" i="74"/>
  <c r="J140" i="74" s="1"/>
  <c r="N108" i="74"/>
  <c r="N140" i="74" s="1"/>
  <c r="K108" i="74"/>
  <c r="K140" i="74" s="1"/>
  <c r="X316" i="53"/>
  <c r="X532" i="53" s="1"/>
  <c r="X319" i="53"/>
  <c r="X535" i="53" s="1"/>
  <c r="Q144" i="80"/>
  <c r="Q170" i="80" s="1"/>
  <c r="Q271"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R271" i="80" s="1"/>
  <c r="W143" i="80"/>
  <c r="W169" i="80" s="1"/>
  <c r="W270" i="80" s="1"/>
  <c r="W149" i="80"/>
  <c r="W175" i="80" s="1"/>
  <c r="W276"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V272" i="80" s="1"/>
  <c r="Q149" i="80"/>
  <c r="Q175" i="80" s="1"/>
  <c r="Q276"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Q273"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V271" i="80" s="1"/>
  <c r="K102" i="74"/>
  <c r="K134" i="74" s="1"/>
  <c r="T102" i="74"/>
  <c r="T134" i="74" s="1"/>
  <c r="N102" i="74"/>
  <c r="N134" i="74" s="1"/>
  <c r="M102" i="74"/>
  <c r="M134" i="74" s="1"/>
  <c r="J102" i="74"/>
  <c r="J134" i="74" s="1"/>
  <c r="S102" i="74"/>
  <c r="S134" i="74" s="1"/>
  <c r="U149" i="80"/>
  <c r="U175" i="80" s="1"/>
  <c r="U276" i="80" s="1"/>
  <c r="T344" i="53"/>
  <c r="T355" i="53" s="1"/>
  <c r="T346" i="53"/>
  <c r="T357" i="53" s="1"/>
  <c r="W148" i="80"/>
  <c r="W174" i="80" s="1"/>
  <c r="W275" i="80" s="1"/>
  <c r="L339" i="53"/>
  <c r="L350" i="53" s="1"/>
  <c r="V22" i="71"/>
  <c r="V127" i="71" s="1"/>
  <c r="S103" i="74"/>
  <c r="S135" i="74" s="1"/>
  <c r="J103" i="74"/>
  <c r="J135" i="74" s="1"/>
  <c r="T103" i="74"/>
  <c r="T135" i="74" s="1"/>
  <c r="N103" i="74"/>
  <c r="N135" i="74" s="1"/>
  <c r="M103" i="74"/>
  <c r="M135" i="74" s="1"/>
  <c r="K103" i="74"/>
  <c r="K135" i="74" s="1"/>
  <c r="S386" i="53"/>
  <c r="J106" i="74"/>
  <c r="J138" i="74" s="1"/>
  <c r="M106" i="74"/>
  <c r="M138" i="74" s="1"/>
  <c r="T106" i="74"/>
  <c r="T138" i="74" s="1"/>
  <c r="N106" i="74"/>
  <c r="N138" i="74" s="1"/>
  <c r="K106" i="74"/>
  <c r="K138" i="74" s="1"/>
  <c r="S106" i="74"/>
  <c r="S138" i="74" s="1"/>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AC105" i="74"/>
  <c r="AC137" i="74" s="1"/>
  <c r="AE105" i="74"/>
  <c r="AE137" i="74" s="1"/>
  <c r="W105" i="74"/>
  <c r="W137" i="74" s="1"/>
  <c r="X105" i="74"/>
  <c r="X137" i="74" s="1"/>
  <c r="AM105" i="74"/>
  <c r="AM137" i="74" s="1"/>
  <c r="AP105" i="74"/>
  <c r="AP137" i="74" s="1"/>
  <c r="Y105" i="74"/>
  <c r="Y137" i="74" s="1"/>
  <c r="V105" i="74"/>
  <c r="V137" i="74" s="1"/>
  <c r="U105" i="74"/>
  <c r="U137" i="74" s="1"/>
  <c r="AJ105" i="74"/>
  <c r="AJ137" i="74" s="1"/>
  <c r="AH105" i="74"/>
  <c r="AH137" i="74" s="1"/>
  <c r="L105" i="74"/>
  <c r="L137" i="74" s="1"/>
  <c r="AN105" i="74"/>
  <c r="AN137" i="74" s="1"/>
  <c r="AK105" i="74"/>
  <c r="AK137" i="74" s="1"/>
  <c r="AG105" i="74"/>
  <c r="AG137" i="74" s="1"/>
  <c r="Z105" i="74"/>
  <c r="Z137" i="74" s="1"/>
  <c r="AB105" i="74"/>
  <c r="AB137" i="74" s="1"/>
  <c r="AD105" i="74"/>
  <c r="AD137" i="74" s="1"/>
  <c r="AI105" i="74"/>
  <c r="AI137" i="74" s="1"/>
  <c r="O105" i="74"/>
  <c r="O137" i="74" s="1"/>
  <c r="AF105" i="74"/>
  <c r="AF137" i="74" s="1"/>
  <c r="AL105" i="74"/>
  <c r="AL137" i="74" s="1"/>
  <c r="AO105" i="74"/>
  <c r="AO137" i="74" s="1"/>
  <c r="AA105" i="74"/>
  <c r="AA137" i="74" s="1"/>
  <c r="W145" i="80"/>
  <c r="W171" i="80" s="1"/>
  <c r="W272"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U108" i="74"/>
  <c r="U140" i="74" s="1"/>
  <c r="AK108" i="74"/>
  <c r="AK140" i="74" s="1"/>
  <c r="AF108" i="74"/>
  <c r="AF140" i="74" s="1"/>
  <c r="AM108" i="74"/>
  <c r="AM140" i="74" s="1"/>
  <c r="Z108" i="74"/>
  <c r="Z140" i="74" s="1"/>
  <c r="V108" i="74"/>
  <c r="V140" i="74" s="1"/>
  <c r="AE108" i="74"/>
  <c r="AE140" i="74" s="1"/>
  <c r="AC108" i="74"/>
  <c r="AC140" i="74" s="1"/>
  <c r="AH108" i="74"/>
  <c r="AH140" i="74" s="1"/>
  <c r="AA108" i="74"/>
  <c r="AA140" i="74" s="1"/>
  <c r="AP108" i="74"/>
  <c r="AP140" i="74" s="1"/>
  <c r="X108" i="74"/>
  <c r="X140" i="74" s="1"/>
  <c r="AJ108" i="74"/>
  <c r="AJ140" i="74" s="1"/>
  <c r="AG108" i="74"/>
  <c r="AG140" i="74" s="1"/>
  <c r="W108" i="74"/>
  <c r="W140" i="74" s="1"/>
  <c r="AO108" i="74"/>
  <c r="AO140" i="74" s="1"/>
  <c r="AI108" i="74"/>
  <c r="AI140" i="74" s="1"/>
  <c r="AN108" i="74"/>
  <c r="AN140" i="74" s="1"/>
  <c r="L108" i="74"/>
  <c r="L140" i="74" s="1"/>
  <c r="AL108" i="74"/>
  <c r="AL140" i="74" s="1"/>
  <c r="AB108" i="74"/>
  <c r="AB140" i="74" s="1"/>
  <c r="O108" i="74"/>
  <c r="O140" i="74" s="1"/>
  <c r="Y108" i="74"/>
  <c r="Y140" i="74" s="1"/>
  <c r="AD108" i="74"/>
  <c r="AD140" i="74" s="1"/>
  <c r="V142" i="80"/>
  <c r="V168" i="80" s="1"/>
  <c r="AB312" i="53"/>
  <c r="AB528" i="53" s="1"/>
  <c r="S343" i="53"/>
  <c r="S354" i="53" s="1"/>
  <c r="J104" i="74"/>
  <c r="J136" i="74" s="1"/>
  <c r="M104" i="74"/>
  <c r="M136" i="74" s="1"/>
  <c r="T104" i="74"/>
  <c r="T136" i="74" s="1"/>
  <c r="N104" i="74"/>
  <c r="N136" i="74" s="1"/>
  <c r="S104" i="74"/>
  <c r="S136" i="74" s="1"/>
  <c r="K104" i="74"/>
  <c r="K136" i="74" s="1"/>
  <c r="S384" i="53"/>
  <c r="P90" i="83"/>
  <c r="P161" i="83" s="1"/>
  <c r="P31" i="71" s="1"/>
  <c r="P136" i="71" s="1"/>
  <c r="P78" i="80"/>
  <c r="P90" i="80" s="1"/>
  <c r="P88" i="83"/>
  <c r="P159" i="83" s="1"/>
  <c r="P29" i="71" s="1"/>
  <c r="P134" i="71" s="1"/>
  <c r="P76" i="80"/>
  <c r="P88" i="80" s="1"/>
  <c r="P96" i="83"/>
  <c r="P184" i="83" s="1"/>
  <c r="P55" i="71" s="1"/>
  <c r="P160" i="71" s="1"/>
  <c r="P95" i="80"/>
  <c r="P107" i="80" s="1"/>
  <c r="Q147" i="80"/>
  <c r="Q173" i="80" s="1"/>
  <c r="Q274" i="80" s="1"/>
  <c r="W144" i="80"/>
  <c r="W170" i="80" s="1"/>
  <c r="W271" i="80" s="1"/>
  <c r="S254" i="83"/>
  <c r="S264" i="83" s="1"/>
  <c r="S269" i="83" s="1"/>
  <c r="J90" i="53"/>
  <c r="J120" i="53" s="1"/>
  <c r="J122" i="53" s="1"/>
  <c r="U148" i="80"/>
  <c r="U174" i="80" s="1"/>
  <c r="U275" i="80" s="1"/>
  <c r="L345" i="53"/>
  <c r="L356" i="53" s="1"/>
  <c r="S344" i="53"/>
  <c r="S355" i="53" s="1"/>
  <c r="U146" i="80"/>
  <c r="U172" i="80" s="1"/>
  <c r="U273" i="80" s="1"/>
  <c r="V103" i="74"/>
  <c r="V135" i="74" s="1"/>
  <c r="AD103" i="74"/>
  <c r="AD135" i="74" s="1"/>
  <c r="W103" i="74"/>
  <c r="W135" i="74" s="1"/>
  <c r="AP103" i="74"/>
  <c r="AP135" i="74" s="1"/>
  <c r="AG103" i="74"/>
  <c r="AG135" i="74" s="1"/>
  <c r="AM103" i="74"/>
  <c r="AM135" i="74" s="1"/>
  <c r="AB103" i="74"/>
  <c r="AB135" i="74" s="1"/>
  <c r="AE103" i="74"/>
  <c r="AE135" i="74" s="1"/>
  <c r="X103" i="74"/>
  <c r="X135" i="74" s="1"/>
  <c r="AN103" i="74"/>
  <c r="AN135" i="74" s="1"/>
  <c r="Y103" i="74"/>
  <c r="Y135" i="74" s="1"/>
  <c r="Z103" i="74"/>
  <c r="Z135" i="74" s="1"/>
  <c r="AI103" i="74"/>
  <c r="AI135" i="74" s="1"/>
  <c r="AC103" i="74"/>
  <c r="AC135" i="74" s="1"/>
  <c r="AH103" i="74"/>
  <c r="AH135" i="74" s="1"/>
  <c r="O103" i="74"/>
  <c r="O135" i="74" s="1"/>
  <c r="U103" i="74"/>
  <c r="U135" i="74" s="1"/>
  <c r="AK103" i="74"/>
  <c r="AK135" i="74" s="1"/>
  <c r="AF103" i="74"/>
  <c r="AF135" i="74" s="1"/>
  <c r="AL103" i="74"/>
  <c r="AL135" i="74" s="1"/>
  <c r="AJ103" i="74"/>
  <c r="AJ135" i="74" s="1"/>
  <c r="L103" i="74"/>
  <c r="L135" i="74" s="1"/>
  <c r="AA103" i="74"/>
  <c r="AA135" i="74" s="1"/>
  <c r="AO103" i="74"/>
  <c r="AO135" i="74" s="1"/>
  <c r="V143" i="80"/>
  <c r="V169" i="80" s="1"/>
  <c r="V270" i="80" s="1"/>
  <c r="AH107" i="74"/>
  <c r="AH139" i="74" s="1"/>
  <c r="AN107" i="74"/>
  <c r="AN139" i="74" s="1"/>
  <c r="AF107" i="74"/>
  <c r="AF139" i="74" s="1"/>
  <c r="O107" i="74"/>
  <c r="O139" i="74" s="1"/>
  <c r="AC107" i="74"/>
  <c r="AC139" i="74" s="1"/>
  <c r="AA107" i="74"/>
  <c r="AA139" i="74" s="1"/>
  <c r="Z107" i="74"/>
  <c r="Z139" i="74" s="1"/>
  <c r="AL107" i="74"/>
  <c r="AL139" i="74" s="1"/>
  <c r="AM107" i="74"/>
  <c r="AM139" i="74" s="1"/>
  <c r="AJ107" i="74"/>
  <c r="AJ139" i="74" s="1"/>
  <c r="AK107" i="74"/>
  <c r="AK139" i="74" s="1"/>
  <c r="AP107" i="74"/>
  <c r="AP139" i="74" s="1"/>
  <c r="W107" i="74"/>
  <c r="W139" i="74" s="1"/>
  <c r="AO107" i="74"/>
  <c r="AO139" i="74" s="1"/>
  <c r="Y107" i="74"/>
  <c r="Y139" i="74" s="1"/>
  <c r="AB107" i="74"/>
  <c r="AB139" i="74" s="1"/>
  <c r="AI107" i="74"/>
  <c r="AI139" i="74" s="1"/>
  <c r="AG107" i="74"/>
  <c r="AG139" i="74" s="1"/>
  <c r="V107" i="74"/>
  <c r="V139" i="74" s="1"/>
  <c r="AE107" i="74"/>
  <c r="AE139" i="74" s="1"/>
  <c r="U107" i="74"/>
  <c r="U139" i="74" s="1"/>
  <c r="L107" i="74"/>
  <c r="L139" i="74" s="1"/>
  <c r="X107" i="74"/>
  <c r="X139" i="74" s="1"/>
  <c r="AD107" i="74"/>
  <c r="AD139" i="74" s="1"/>
  <c r="S388" i="53"/>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W273" i="80" s="1"/>
  <c r="O102" i="74"/>
  <c r="O134" i="74" s="1"/>
  <c r="W102" i="74"/>
  <c r="W134" i="74" s="1"/>
  <c r="AH102" i="74"/>
  <c r="AH134" i="74" s="1"/>
  <c r="Z102" i="74"/>
  <c r="Z134" i="74" s="1"/>
  <c r="AJ102" i="74"/>
  <c r="AJ134" i="74" s="1"/>
  <c r="AA102" i="74"/>
  <c r="AA134" i="74" s="1"/>
  <c r="AK102" i="74"/>
  <c r="AK134" i="74" s="1"/>
  <c r="X102" i="74"/>
  <c r="X134" i="74" s="1"/>
  <c r="V102" i="74"/>
  <c r="V134" i="74" s="1"/>
  <c r="AL102" i="74"/>
  <c r="AL134" i="74" s="1"/>
  <c r="AB102" i="74"/>
  <c r="AB134" i="74" s="1"/>
  <c r="AN102" i="74"/>
  <c r="AN134" i="74" s="1"/>
  <c r="AG102" i="74"/>
  <c r="AG134" i="74" s="1"/>
  <c r="AP102" i="74"/>
  <c r="AP134" i="74" s="1"/>
  <c r="AM102" i="74"/>
  <c r="AM134" i="74" s="1"/>
  <c r="AC102" i="74"/>
  <c r="AC134" i="74" s="1"/>
  <c r="L102" i="74"/>
  <c r="L134" i="74" s="1"/>
  <c r="AE102" i="74"/>
  <c r="AE134" i="74" s="1"/>
  <c r="AD102" i="74"/>
  <c r="AD134" i="74" s="1"/>
  <c r="AO102" i="74"/>
  <c r="AO134" i="74" s="1"/>
  <c r="AF102" i="74"/>
  <c r="AF134" i="74" s="1"/>
  <c r="AI102" i="74"/>
  <c r="AI134" i="74" s="1"/>
  <c r="U102" i="74"/>
  <c r="U134" i="74" s="1"/>
  <c r="Y102" i="74"/>
  <c r="Y134" i="74" s="1"/>
  <c r="S253" i="83"/>
  <c r="S263" i="83" s="1"/>
  <c r="S268" i="83" s="1"/>
  <c r="AB309" i="53" l="1"/>
  <c r="AB525" i="53" s="1"/>
  <c r="AB99" i="83" s="1"/>
  <c r="AB187" i="83" s="1"/>
  <c r="AB58" i="71" s="1"/>
  <c r="AB163" i="71" s="1"/>
  <c r="AB311" i="53"/>
  <c r="AB527" i="53" s="1"/>
  <c r="Y298" i="53"/>
  <c r="Y514" i="53" s="1"/>
  <c r="Y87" i="83" s="1"/>
  <c r="Y158" i="83" s="1"/>
  <c r="Y28" i="71" s="1"/>
  <c r="Y133" i="71" s="1"/>
  <c r="Z323" i="53"/>
  <c r="Z539" i="53" s="1"/>
  <c r="AB322" i="53"/>
  <c r="AB538" i="53" s="1"/>
  <c r="AB123" i="80" s="1"/>
  <c r="AB135" i="80" s="1"/>
  <c r="AB295" i="53"/>
  <c r="AB511" i="53" s="1"/>
  <c r="AB84" i="83" s="1"/>
  <c r="AB155" i="83" s="1"/>
  <c r="AB25" i="71" s="1"/>
  <c r="AB130" i="71" s="1"/>
  <c r="AB304" i="53"/>
  <c r="AB520" i="53" s="1"/>
  <c r="AB93" i="80" s="1"/>
  <c r="AB105" i="80" s="1"/>
  <c r="AB305" i="53"/>
  <c r="AB521" i="53" s="1"/>
  <c r="AB308" i="53"/>
  <c r="AB524" i="53" s="1"/>
  <c r="AB97" i="80" s="1"/>
  <c r="AB109" i="80" s="1"/>
  <c r="AB301" i="53"/>
  <c r="AB517" i="53" s="1"/>
  <c r="AB78" i="80" s="1"/>
  <c r="AB90" i="80" s="1"/>
  <c r="AB323" i="53"/>
  <c r="AB539" i="53" s="1"/>
  <c r="AB114" i="83" s="1"/>
  <c r="AB219" i="83" s="1"/>
  <c r="AB91" i="71" s="1"/>
  <c r="AB196" i="71" s="1"/>
  <c r="AB293" i="53"/>
  <c r="AB509" i="53" s="1"/>
  <c r="AB317" i="53"/>
  <c r="AB533" i="53" s="1"/>
  <c r="AB108" i="83" s="1"/>
  <c r="AB213" i="83" s="1"/>
  <c r="AB85" i="71" s="1"/>
  <c r="AB190" i="71" s="1"/>
  <c r="AB315" i="53"/>
  <c r="AB531" i="53" s="1"/>
  <c r="AB105" i="83" s="1"/>
  <c r="AB210" i="83" s="1"/>
  <c r="AB82" i="71" s="1"/>
  <c r="AB187" i="71" s="1"/>
  <c r="Y316" i="53"/>
  <c r="Y532" i="53" s="1"/>
  <c r="Y107" i="83" s="1"/>
  <c r="Y212" i="83" s="1"/>
  <c r="Y84" i="71" s="1"/>
  <c r="Y189" i="71" s="1"/>
  <c r="Y295" i="53"/>
  <c r="Y511" i="53" s="1"/>
  <c r="Y311" i="53"/>
  <c r="Y527" i="53" s="1"/>
  <c r="Y101" i="83" s="1"/>
  <c r="Y189" i="83" s="1"/>
  <c r="Y60" i="71" s="1"/>
  <c r="Y165" i="71" s="1"/>
  <c r="AB297" i="53"/>
  <c r="AB513" i="53" s="1"/>
  <c r="AB86" i="83" s="1"/>
  <c r="AB157" i="83" s="1"/>
  <c r="AB27" i="71" s="1"/>
  <c r="AB132" i="71" s="1"/>
  <c r="AB320" i="53"/>
  <c r="AB536" i="53" s="1"/>
  <c r="AB111" i="83" s="1"/>
  <c r="AB216" i="83" s="1"/>
  <c r="AB88" i="71" s="1"/>
  <c r="AB193" i="71" s="1"/>
  <c r="AB298" i="53"/>
  <c r="AB514" i="53" s="1"/>
  <c r="AB75" i="80" s="1"/>
  <c r="AB87" i="80" s="1"/>
  <c r="AB296" i="53"/>
  <c r="AB512" i="53" s="1"/>
  <c r="AB73" i="80" s="1"/>
  <c r="AB85" i="80" s="1"/>
  <c r="AB307" i="53"/>
  <c r="AB523" i="53" s="1"/>
  <c r="AB96" i="80" s="1"/>
  <c r="AB108" i="80" s="1"/>
  <c r="AB310" i="53"/>
  <c r="AB526" i="53" s="1"/>
  <c r="AB100" i="83" s="1"/>
  <c r="AB188" i="83" s="1"/>
  <c r="AB59" i="71" s="1"/>
  <c r="AB164" i="71" s="1"/>
  <c r="AB318" i="53"/>
  <c r="AB534" i="53" s="1"/>
  <c r="AB109" i="83" s="1"/>
  <c r="AB214" i="83" s="1"/>
  <c r="AB86" i="71" s="1"/>
  <c r="AB191" i="71" s="1"/>
  <c r="AB319" i="53"/>
  <c r="AB535" i="53" s="1"/>
  <c r="AB120" i="80" s="1"/>
  <c r="AB132" i="80" s="1"/>
  <c r="AB300" i="53"/>
  <c r="AB516" i="53" s="1"/>
  <c r="AB77" i="80" s="1"/>
  <c r="AB89" i="80" s="1"/>
  <c r="AB299" i="53"/>
  <c r="AB515" i="53" s="1"/>
  <c r="AB76" i="80" s="1"/>
  <c r="AB88" i="80" s="1"/>
  <c r="AB294" i="53"/>
  <c r="AB510" i="53" s="1"/>
  <c r="AB83" i="83" s="1"/>
  <c r="AB154" i="83" s="1"/>
  <c r="AB24" i="71" s="1"/>
  <c r="AB129" i="71" s="1"/>
  <c r="AB316" i="53"/>
  <c r="AB532" i="53" s="1"/>
  <c r="AB107" i="83" s="1"/>
  <c r="AB212" i="83" s="1"/>
  <c r="AB84" i="71" s="1"/>
  <c r="AB189" i="71" s="1"/>
  <c r="AB306" i="53"/>
  <c r="AB522" i="53" s="1"/>
  <c r="AB96" i="83" s="1"/>
  <c r="AB184" i="83" s="1"/>
  <c r="AB55" i="71" s="1"/>
  <c r="AB160" i="71" s="1"/>
  <c r="Z322" i="53"/>
  <c r="Z538" i="53" s="1"/>
  <c r="Z113" i="83" s="1"/>
  <c r="Z218" i="83" s="1"/>
  <c r="Z90" i="71" s="1"/>
  <c r="Z195" i="71" s="1"/>
  <c r="Z298" i="53"/>
  <c r="Z514" i="53" s="1"/>
  <c r="Z75" i="80" s="1"/>
  <c r="Z87" i="80" s="1"/>
  <c r="Z310" i="53"/>
  <c r="Z526" i="53" s="1"/>
  <c r="Z99" i="80" s="1"/>
  <c r="Z111" i="80" s="1"/>
  <c r="Y319" i="53"/>
  <c r="Y535" i="53" s="1"/>
  <c r="Y120" i="80" s="1"/>
  <c r="Y132" i="80" s="1"/>
  <c r="Y305" i="53"/>
  <c r="Y521" i="53" s="1"/>
  <c r="Y95" i="83" s="1"/>
  <c r="Y183" i="83" s="1"/>
  <c r="Y54" i="71" s="1"/>
  <c r="Y159" i="71" s="1"/>
  <c r="Y306" i="53"/>
  <c r="Y522" i="53" s="1"/>
  <c r="Y95" i="80" s="1"/>
  <c r="Y107" i="80" s="1"/>
  <c r="Y308" i="53"/>
  <c r="Y524" i="53" s="1"/>
  <c r="Y98" i="83" s="1"/>
  <c r="Y186" i="83" s="1"/>
  <c r="Y57" i="71" s="1"/>
  <c r="Y162" i="71" s="1"/>
  <c r="Y293" i="53"/>
  <c r="Y509" i="53" s="1"/>
  <c r="Y82" i="83" s="1"/>
  <c r="Y153" i="83" s="1"/>
  <c r="Y23" i="71" s="1"/>
  <c r="Y128" i="71" s="1"/>
  <c r="Y294" i="53"/>
  <c r="Y510" i="53" s="1"/>
  <c r="Y83" i="83" s="1"/>
  <c r="Y154" i="83" s="1"/>
  <c r="Y24" i="71" s="1"/>
  <c r="Y129" i="71" s="1"/>
  <c r="Y317" i="53"/>
  <c r="Y533" i="53" s="1"/>
  <c r="Y118" i="80" s="1"/>
  <c r="Y130" i="80" s="1"/>
  <c r="Y322" i="53"/>
  <c r="Y538" i="53" s="1"/>
  <c r="Y123" i="80" s="1"/>
  <c r="Y135" i="80" s="1"/>
  <c r="Y307" i="53"/>
  <c r="Y523" i="53" s="1"/>
  <c r="Y97" i="83" s="1"/>
  <c r="Y185" i="83" s="1"/>
  <c r="Y56" i="71" s="1"/>
  <c r="Y161" i="71" s="1"/>
  <c r="Y323" i="53"/>
  <c r="Y539" i="53" s="1"/>
  <c r="Y114" i="83" s="1"/>
  <c r="Y219" i="83" s="1"/>
  <c r="Y91" i="71" s="1"/>
  <c r="Y196" i="71" s="1"/>
  <c r="R208" i="80"/>
  <c r="Z297" i="53"/>
  <c r="Z513" i="53" s="1"/>
  <c r="Z86" i="83" s="1"/>
  <c r="Z157" i="83" s="1"/>
  <c r="Z27" i="71" s="1"/>
  <c r="Z132" i="71" s="1"/>
  <c r="Z309" i="53"/>
  <c r="Z525" i="53" s="1"/>
  <c r="Z99" i="83" s="1"/>
  <c r="Z187" i="83" s="1"/>
  <c r="Z58" i="71" s="1"/>
  <c r="Z163" i="71" s="1"/>
  <c r="Z321" i="53"/>
  <c r="Z537" i="53" s="1"/>
  <c r="Z122" i="80" s="1"/>
  <c r="Z134" i="80" s="1"/>
  <c r="Z304" i="53"/>
  <c r="Z520" i="53" s="1"/>
  <c r="Z94" i="83" s="1"/>
  <c r="Z182" i="83" s="1"/>
  <c r="Z53" i="71" s="1"/>
  <c r="Z158" i="71" s="1"/>
  <c r="Z308" i="53"/>
  <c r="Z524" i="53" s="1"/>
  <c r="Z98" i="83" s="1"/>
  <c r="Z186" i="83" s="1"/>
  <c r="Z57" i="71" s="1"/>
  <c r="Z162" i="71" s="1"/>
  <c r="Z318" i="53"/>
  <c r="Z534" i="53" s="1"/>
  <c r="Z109" i="83" s="1"/>
  <c r="Z214" i="83" s="1"/>
  <c r="Z86" i="71" s="1"/>
  <c r="Z191" i="71" s="1"/>
  <c r="Z299" i="53"/>
  <c r="Z515" i="53" s="1"/>
  <c r="Z88" i="83" s="1"/>
  <c r="Z159" i="83" s="1"/>
  <c r="Z29" i="71" s="1"/>
  <c r="Z134" i="71" s="1"/>
  <c r="Y300" i="53"/>
  <c r="Y516" i="53" s="1"/>
  <c r="Y89" i="83" s="1"/>
  <c r="Y160" i="83" s="1"/>
  <c r="Y30" i="71" s="1"/>
  <c r="Y135" i="71" s="1"/>
  <c r="Y304" i="53"/>
  <c r="Y520" i="53" s="1"/>
  <c r="Y94" i="83" s="1"/>
  <c r="Y182" i="83" s="1"/>
  <c r="Y53" i="71" s="1"/>
  <c r="Y158" i="71" s="1"/>
  <c r="Y320" i="53"/>
  <c r="Y536" i="53" s="1"/>
  <c r="Y121" i="80" s="1"/>
  <c r="Y133" i="80" s="1"/>
  <c r="Y318" i="53"/>
  <c r="Y534" i="53" s="1"/>
  <c r="Y109" i="83" s="1"/>
  <c r="Y214" i="83" s="1"/>
  <c r="Y86" i="71" s="1"/>
  <c r="Y191" i="71" s="1"/>
  <c r="Y301" i="53"/>
  <c r="Y517" i="53" s="1"/>
  <c r="Y90" i="83" s="1"/>
  <c r="Y161" i="83" s="1"/>
  <c r="Y31" i="71" s="1"/>
  <c r="Y136" i="71" s="1"/>
  <c r="Y299" i="53"/>
  <c r="Y515" i="53" s="1"/>
  <c r="Y76" i="80" s="1"/>
  <c r="Y88" i="80" s="1"/>
  <c r="Y321" i="53"/>
  <c r="Y537" i="53" s="1"/>
  <c r="Y122" i="80" s="1"/>
  <c r="Y134" i="80" s="1"/>
  <c r="Z294" i="53"/>
  <c r="Z510" i="53" s="1"/>
  <c r="Z71" i="80" s="1"/>
  <c r="Z83" i="80" s="1"/>
  <c r="Z305" i="53"/>
  <c r="Z521" i="53" s="1"/>
  <c r="Z95" i="83" s="1"/>
  <c r="Z183" i="83" s="1"/>
  <c r="Z54" i="71" s="1"/>
  <c r="Z159" i="71" s="1"/>
  <c r="Z295" i="53"/>
  <c r="Z511" i="53" s="1"/>
  <c r="Z84" i="83" s="1"/>
  <c r="Z155" i="83" s="1"/>
  <c r="Z25" i="71" s="1"/>
  <c r="Z130" i="71" s="1"/>
  <c r="Y297" i="53"/>
  <c r="Y513" i="53" s="1"/>
  <c r="Y74" i="80" s="1"/>
  <c r="Y86" i="80" s="1"/>
  <c r="Y296" i="53"/>
  <c r="Y512" i="53" s="1"/>
  <c r="Y73" i="80" s="1"/>
  <c r="Y85" i="80" s="1"/>
  <c r="Y309" i="53"/>
  <c r="Y525" i="53" s="1"/>
  <c r="Y98" i="80" s="1"/>
  <c r="Y110" i="80" s="1"/>
  <c r="Y315" i="53"/>
  <c r="Y531" i="53" s="1"/>
  <c r="Y116" i="80" s="1"/>
  <c r="Y128" i="80" s="1"/>
  <c r="Y310" i="53"/>
  <c r="Y526" i="53" s="1"/>
  <c r="Y100" i="83" s="1"/>
  <c r="Y188" i="83" s="1"/>
  <c r="Y59" i="71" s="1"/>
  <c r="Y164" i="71" s="1"/>
  <c r="S270" i="83"/>
  <c r="Z311" i="53"/>
  <c r="Z527" i="53" s="1"/>
  <c r="Z101" i="83" s="1"/>
  <c r="Z189" i="83" s="1"/>
  <c r="Z60" i="71" s="1"/>
  <c r="Z165" i="71" s="1"/>
  <c r="Z307" i="53"/>
  <c r="Z523" i="53" s="1"/>
  <c r="Z97" i="83" s="1"/>
  <c r="Z185" i="83" s="1"/>
  <c r="Z56" i="71" s="1"/>
  <c r="Z161" i="71" s="1"/>
  <c r="Z320" i="53"/>
  <c r="Z536" i="53" s="1"/>
  <c r="Z121" i="80" s="1"/>
  <c r="Z133" i="80" s="1"/>
  <c r="Z293" i="53"/>
  <c r="Z509" i="53" s="1"/>
  <c r="Z70" i="80" s="1"/>
  <c r="Z82" i="80" s="1"/>
  <c r="Z312" i="53"/>
  <c r="Z528" i="53" s="1"/>
  <c r="Z101" i="80" s="1"/>
  <c r="Z113" i="80" s="1"/>
  <c r="Z301" i="53"/>
  <c r="Z517" i="53" s="1"/>
  <c r="Z90" i="83" s="1"/>
  <c r="Z161" i="83" s="1"/>
  <c r="Z31" i="71" s="1"/>
  <c r="Z136" i="71" s="1"/>
  <c r="X298" i="53"/>
  <c r="X514" i="53" s="1"/>
  <c r="X87" i="83" s="1"/>
  <c r="X158" i="83" s="1"/>
  <c r="X28" i="71" s="1"/>
  <c r="X133" i="71" s="1"/>
  <c r="X310" i="53"/>
  <c r="X526" i="53" s="1"/>
  <c r="X100" i="83" s="1"/>
  <c r="X188" i="83" s="1"/>
  <c r="X59" i="71" s="1"/>
  <c r="X164" i="71" s="1"/>
  <c r="X308" i="53"/>
  <c r="X524" i="53" s="1"/>
  <c r="X98" i="83" s="1"/>
  <c r="X186" i="83" s="1"/>
  <c r="X57" i="71" s="1"/>
  <c r="X162" i="71" s="1"/>
  <c r="X301" i="53"/>
  <c r="X517" i="53" s="1"/>
  <c r="X90" i="83" s="1"/>
  <c r="X161" i="83" s="1"/>
  <c r="X31" i="71" s="1"/>
  <c r="X136" i="71" s="1"/>
  <c r="Z319" i="53"/>
  <c r="Z535" i="53" s="1"/>
  <c r="Z120" i="80" s="1"/>
  <c r="Z132" i="80" s="1"/>
  <c r="Z300" i="53"/>
  <c r="Z516" i="53" s="1"/>
  <c r="Z89" i="83" s="1"/>
  <c r="Z160" i="83" s="1"/>
  <c r="Z30" i="71" s="1"/>
  <c r="Z135" i="71" s="1"/>
  <c r="Z296" i="53"/>
  <c r="Z512" i="53" s="1"/>
  <c r="Z73" i="80" s="1"/>
  <c r="Z85" i="80" s="1"/>
  <c r="Z316" i="53"/>
  <c r="Z532" i="53" s="1"/>
  <c r="Z107" i="83" s="1"/>
  <c r="Z212" i="83" s="1"/>
  <c r="Z84" i="71" s="1"/>
  <c r="Z189" i="71" s="1"/>
  <c r="Z315" i="53"/>
  <c r="Z531" i="53" s="1"/>
  <c r="Z105" i="83" s="1"/>
  <c r="Z210" i="83" s="1"/>
  <c r="Z82" i="71" s="1"/>
  <c r="Z187" i="71" s="1"/>
  <c r="Z317" i="53"/>
  <c r="Z533" i="53" s="1"/>
  <c r="Z118" i="80" s="1"/>
  <c r="Z130" i="80" s="1"/>
  <c r="X294" i="53"/>
  <c r="X510" i="53" s="1"/>
  <c r="X83" i="83" s="1"/>
  <c r="X154" i="83" s="1"/>
  <c r="X24" i="71" s="1"/>
  <c r="X129" i="71" s="1"/>
  <c r="X322" i="53"/>
  <c r="X538" i="53" s="1"/>
  <c r="X123" i="80" s="1"/>
  <c r="X135" i="80" s="1"/>
  <c r="X300" i="53"/>
  <c r="X516" i="53" s="1"/>
  <c r="X89" i="83" s="1"/>
  <c r="X160" i="83" s="1"/>
  <c r="X30" i="71" s="1"/>
  <c r="X135" i="71" s="1"/>
  <c r="X315" i="53"/>
  <c r="X531" i="53" s="1"/>
  <c r="X116" i="80" s="1"/>
  <c r="X128" i="80" s="1"/>
  <c r="X296" i="53"/>
  <c r="X512" i="53" s="1"/>
  <c r="X73" i="80" s="1"/>
  <c r="X85" i="80" s="1"/>
  <c r="X323" i="53"/>
  <c r="X539" i="53" s="1"/>
  <c r="X124" i="80" s="1"/>
  <c r="X136" i="80" s="1"/>
  <c r="X306" i="53"/>
  <c r="X522" i="53" s="1"/>
  <c r="X95" i="80" s="1"/>
  <c r="X107" i="80" s="1"/>
  <c r="X295" i="53"/>
  <c r="X511" i="53" s="1"/>
  <c r="X84" i="83" s="1"/>
  <c r="X155" i="83" s="1"/>
  <c r="X25" i="71" s="1"/>
  <c r="X130" i="71" s="1"/>
  <c r="X311" i="53"/>
  <c r="X527" i="53" s="1"/>
  <c r="X101" i="83" s="1"/>
  <c r="X189" i="83" s="1"/>
  <c r="X60" i="71" s="1"/>
  <c r="X165" i="71" s="1"/>
  <c r="X304" i="53"/>
  <c r="X520" i="53" s="1"/>
  <c r="X93" i="80" s="1"/>
  <c r="X105" i="80" s="1"/>
  <c r="X305" i="53"/>
  <c r="X521" i="53" s="1"/>
  <c r="X95" i="83" s="1"/>
  <c r="X183" i="83" s="1"/>
  <c r="X54" i="71" s="1"/>
  <c r="X159" i="71" s="1"/>
  <c r="X293" i="53"/>
  <c r="X509" i="53" s="1"/>
  <c r="X81" i="83" s="1"/>
  <c r="X152" i="83" s="1"/>
  <c r="X318" i="53"/>
  <c r="X534" i="53" s="1"/>
  <c r="X109" i="83" s="1"/>
  <c r="X214" i="83" s="1"/>
  <c r="X86" i="71" s="1"/>
  <c r="X191" i="71" s="1"/>
  <c r="X317" i="53"/>
  <c r="X533" i="53" s="1"/>
  <c r="X118" i="80" s="1"/>
  <c r="X130" i="80" s="1"/>
  <c r="X312" i="53"/>
  <c r="X528" i="53" s="1"/>
  <c r="X102" i="83" s="1"/>
  <c r="X190" i="83" s="1"/>
  <c r="X61" i="71" s="1"/>
  <c r="X166" i="71" s="1"/>
  <c r="X297" i="53"/>
  <c r="X513" i="53" s="1"/>
  <c r="X86" i="83" s="1"/>
  <c r="X157" i="83" s="1"/>
  <c r="X27" i="71" s="1"/>
  <c r="X132" i="71" s="1"/>
  <c r="X320" i="53"/>
  <c r="X536" i="53" s="1"/>
  <c r="X121" i="80" s="1"/>
  <c r="X133" i="80" s="1"/>
  <c r="X309" i="53"/>
  <c r="X525" i="53" s="1"/>
  <c r="X98" i="80" s="1"/>
  <c r="X110" i="80" s="1"/>
  <c r="X307" i="53"/>
  <c r="X523" i="53" s="1"/>
  <c r="X96" i="80" s="1"/>
  <c r="X108" i="80" s="1"/>
  <c r="X299" i="53"/>
  <c r="X515" i="53" s="1"/>
  <c r="X88" i="83" s="1"/>
  <c r="X159" i="83" s="1"/>
  <c r="X29" i="71" s="1"/>
  <c r="X134" i="71" s="1"/>
  <c r="W208" i="80"/>
  <c r="T431" i="53"/>
  <c r="T442" i="53" s="1"/>
  <c r="M464" i="53" s="1"/>
  <c r="M488" i="53" s="1"/>
  <c r="P150" i="80"/>
  <c r="P208" i="80" s="1"/>
  <c r="T433" i="53"/>
  <c r="T444" i="53" s="1"/>
  <c r="N466" i="53" s="1"/>
  <c r="N490" i="53" s="1"/>
  <c r="Q208" i="80"/>
  <c r="T438" i="53"/>
  <c r="T449" i="53" s="1"/>
  <c r="O471" i="53" s="1"/>
  <c r="O495" i="53" s="1"/>
  <c r="P148" i="80"/>
  <c r="P174" i="80" s="1"/>
  <c r="P275" i="80" s="1"/>
  <c r="T434" i="53"/>
  <c r="T445" i="53" s="1"/>
  <c r="N467" i="53" s="1"/>
  <c r="N491" i="53" s="1"/>
  <c r="T439" i="53"/>
  <c r="T450" i="53" s="1"/>
  <c r="T436" i="53"/>
  <c r="T447" i="53" s="1"/>
  <c r="N469" i="53" s="1"/>
  <c r="N493" i="53" s="1"/>
  <c r="T437" i="53"/>
  <c r="T448" i="53" s="1"/>
  <c r="T446" i="53"/>
  <c r="M468" i="53" s="1"/>
  <c r="M492" i="53" s="1"/>
  <c r="T443" i="53"/>
  <c r="O465" i="53" s="1"/>
  <c r="O489" i="53" s="1"/>
  <c r="W177" i="80"/>
  <c r="P143" i="80"/>
  <c r="P169" i="80" s="1"/>
  <c r="P270" i="80" s="1"/>
  <c r="AB95" i="83"/>
  <c r="AB183" i="83" s="1"/>
  <c r="AB54" i="71" s="1"/>
  <c r="AB159" i="71" s="1"/>
  <c r="AB94" i="80"/>
  <c r="AB106" i="80" s="1"/>
  <c r="Z93" i="80"/>
  <c r="Z105" i="80" s="1"/>
  <c r="U208" i="80"/>
  <c r="U176" i="80"/>
  <c r="U177" i="80" s="1"/>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X122" i="80"/>
  <c r="X134" i="80" s="1"/>
  <c r="X112" i="83"/>
  <c r="X217" i="83" s="1"/>
  <c r="X89" i="71" s="1"/>
  <c r="X194" i="71" s="1"/>
  <c r="U269" i="80"/>
  <c r="AB112" i="83"/>
  <c r="AB217" i="83" s="1"/>
  <c r="AB89" i="71" s="1"/>
  <c r="AB194" i="71" s="1"/>
  <c r="AB122" i="80"/>
  <c r="AB134" i="80" s="1"/>
  <c r="AA100" i="83"/>
  <c r="AA188" i="83" s="1"/>
  <c r="AA59" i="71" s="1"/>
  <c r="AA164" i="71" s="1"/>
  <c r="AA99" i="80"/>
  <c r="AA111" i="80" s="1"/>
  <c r="AB93" i="83"/>
  <c r="AB181" i="83" s="1"/>
  <c r="AB52" i="71" s="1"/>
  <c r="AB157" i="71" s="1"/>
  <c r="AB97" i="83"/>
  <c r="AB185" i="83" s="1"/>
  <c r="AB56" i="71" s="1"/>
  <c r="AB161" i="71"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X110" i="83"/>
  <c r="X215" i="83" s="1"/>
  <c r="X87" i="71" s="1"/>
  <c r="X192" i="71" s="1"/>
  <c r="X120" i="80"/>
  <c r="X132" i="80" s="1"/>
  <c r="X107" i="83"/>
  <c r="X212" i="83" s="1"/>
  <c r="X84" i="71" s="1"/>
  <c r="X189" i="71" s="1"/>
  <c r="X117" i="80"/>
  <c r="X129" i="80" s="1"/>
  <c r="AB88" i="83"/>
  <c r="AB159" i="83" s="1"/>
  <c r="AB29" i="71" s="1"/>
  <c r="AB134" i="71" s="1"/>
  <c r="Z114" i="83"/>
  <c r="Z219" i="83" s="1"/>
  <c r="Z91" i="71" s="1"/>
  <c r="Z196" i="71" s="1"/>
  <c r="Z124" i="80"/>
  <c r="Z136" i="80" s="1"/>
  <c r="AB124" i="80"/>
  <c r="AB136"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101" i="80"/>
  <c r="Y113" i="80" s="1"/>
  <c r="Y102" i="83"/>
  <c r="Y190" i="83" s="1"/>
  <c r="Y61" i="71" s="1"/>
  <c r="Y166" i="71" s="1"/>
  <c r="X106" i="83"/>
  <c r="X211" i="83" s="1"/>
  <c r="X83" i="71" s="1"/>
  <c r="X188" i="71" s="1"/>
  <c r="AB95" i="80"/>
  <c r="AB107"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17" i="80"/>
  <c r="Y129" i="80" s="1"/>
  <c r="Y84" i="83"/>
  <c r="Y155" i="83" s="1"/>
  <c r="Y25" i="71" s="1"/>
  <c r="Y130" i="71" s="1"/>
  <c r="Y72" i="80"/>
  <c r="Y84" i="80" s="1"/>
  <c r="P149" i="80"/>
  <c r="P175" i="80" s="1"/>
  <c r="P276" i="80" s="1"/>
  <c r="P147" i="80"/>
  <c r="P173" i="80" s="1"/>
  <c r="P274" i="80" s="1"/>
  <c r="P142" i="80"/>
  <c r="P168" i="80" s="1"/>
  <c r="V269" i="80"/>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42" i="53"/>
  <c r="J346" i="53"/>
  <c r="J339" i="53"/>
  <c r="J344" i="53"/>
  <c r="J338" i="53"/>
  <c r="J343" i="53"/>
  <c r="J345" i="53"/>
  <c r="J340" i="53"/>
  <c r="AB101" i="83"/>
  <c r="AB189" i="83" s="1"/>
  <c r="AB60" i="71" s="1"/>
  <c r="AB165" i="71" s="1"/>
  <c r="AB100" i="80"/>
  <c r="AB112" i="80" s="1"/>
  <c r="AB101" i="80"/>
  <c r="AB113" i="80" s="1"/>
  <c r="AB102" i="83"/>
  <c r="AB190" i="83" s="1"/>
  <c r="AB61" i="71" s="1"/>
  <c r="AB166" i="71" s="1"/>
  <c r="Q177" i="80"/>
  <c r="Q269" i="80"/>
  <c r="AA86" i="83"/>
  <c r="AA157" i="83" s="1"/>
  <c r="AA27" i="71" s="1"/>
  <c r="AA132" i="71" s="1"/>
  <c r="AA74" i="80"/>
  <c r="AA86" i="80" s="1"/>
  <c r="AA97" i="83"/>
  <c r="AA185" i="83" s="1"/>
  <c r="AA56" i="71" s="1"/>
  <c r="AA161" i="71" s="1"/>
  <c r="AA96" i="80"/>
  <c r="AA108" i="80" s="1"/>
  <c r="AA87" i="83"/>
  <c r="AA158" i="83" s="1"/>
  <c r="AA28" i="71" s="1"/>
  <c r="AA133" i="71" s="1"/>
  <c r="AA75" i="80"/>
  <c r="AA87" i="80" s="1"/>
  <c r="X74" i="80"/>
  <c r="X86" i="80" s="1"/>
  <c r="P146" i="80"/>
  <c r="P172" i="80" s="1"/>
  <c r="P273" i="80" s="1"/>
  <c r="Z87" i="83"/>
  <c r="Z158" i="83" s="1"/>
  <c r="Z28" i="71" s="1"/>
  <c r="Z133" i="71" s="1"/>
  <c r="AA78" i="80"/>
  <c r="AA90" i="80" s="1"/>
  <c r="AA90" i="83"/>
  <c r="AA161" i="83" s="1"/>
  <c r="AA31" i="71" s="1"/>
  <c r="AA136" i="71" s="1"/>
  <c r="Y96" i="80"/>
  <c r="Y108" i="80" s="1"/>
  <c r="AB98" i="83"/>
  <c r="AB186" i="83" s="1"/>
  <c r="AB57" i="71" s="1"/>
  <c r="AB162" i="71" s="1"/>
  <c r="AB121" i="80"/>
  <c r="AB133" i="80" s="1"/>
  <c r="Z82" i="83"/>
  <c r="Z153" i="83" s="1"/>
  <c r="Z23" i="71" s="1"/>
  <c r="Z128" i="71" s="1"/>
  <c r="AA120" i="80"/>
  <c r="AA132" i="80" s="1"/>
  <c r="AA110" i="83"/>
  <c r="AA215" i="83" s="1"/>
  <c r="AA87" i="71" s="1"/>
  <c r="AA192" i="71" s="1"/>
  <c r="AA119" i="80"/>
  <c r="AA131" i="80" s="1"/>
  <c r="AA109" i="83"/>
  <c r="AA214" i="83" s="1"/>
  <c r="AA86" i="71" s="1"/>
  <c r="AA191" i="71" s="1"/>
  <c r="AA102" i="83"/>
  <c r="AA190" i="83" s="1"/>
  <c r="AA61" i="71" s="1"/>
  <c r="AA166" i="71" s="1"/>
  <c r="AA101" i="80"/>
  <c r="AA113" i="80" s="1"/>
  <c r="X71" i="80"/>
  <c r="X83" i="80" s="1"/>
  <c r="AA105" i="83"/>
  <c r="AA210" i="83" s="1"/>
  <c r="AA82" i="71" s="1"/>
  <c r="AA187" i="71" s="1"/>
  <c r="AA116" i="80"/>
  <c r="AA128" i="80" s="1"/>
  <c r="AA106" i="83"/>
  <c r="AA211" i="83" s="1"/>
  <c r="AA83" i="71" s="1"/>
  <c r="AA188" i="71" s="1"/>
  <c r="R177" i="80"/>
  <c r="R269" i="80"/>
  <c r="AB81" i="83"/>
  <c r="AB152" i="83" s="1"/>
  <c r="AB82" i="83"/>
  <c r="AB153" i="83" s="1"/>
  <c r="AB23" i="71" s="1"/>
  <c r="AB128" i="71" s="1"/>
  <c r="AB70" i="80"/>
  <c r="AB82" i="80" s="1"/>
  <c r="AB116" i="80"/>
  <c r="AB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P271" i="80" s="1"/>
  <c r="Y99" i="83"/>
  <c r="Y187" i="83" s="1"/>
  <c r="Y58" i="71" s="1"/>
  <c r="Y163" i="71" s="1"/>
  <c r="P145" i="80"/>
  <c r="P171" i="80" s="1"/>
  <c r="P272" i="80" s="1"/>
  <c r="AB98" i="80" l="1"/>
  <c r="AB110" i="80" s="1"/>
  <c r="AB113" i="83"/>
  <c r="AB218" i="83" s="1"/>
  <c r="AB90" i="71" s="1"/>
  <c r="AB195" i="71" s="1"/>
  <c r="AB118" i="80"/>
  <c r="AB130" i="80" s="1"/>
  <c r="X76" i="80"/>
  <c r="X88" i="80" s="1"/>
  <c r="Z83" i="83"/>
  <c r="Z154" i="83" s="1"/>
  <c r="Z24" i="71" s="1"/>
  <c r="Z129" i="71" s="1"/>
  <c r="Y85" i="83"/>
  <c r="Y156" i="83" s="1"/>
  <c r="Y26" i="71" s="1"/>
  <c r="Y131" i="71" s="1"/>
  <c r="AB94" i="83"/>
  <c r="AB182" i="83" s="1"/>
  <c r="AB53" i="71" s="1"/>
  <c r="AB158" i="71" s="1"/>
  <c r="X70" i="80"/>
  <c r="X82" i="80" s="1"/>
  <c r="X142" i="80" s="1"/>
  <c r="X168" i="80" s="1"/>
  <c r="X269" i="80" s="1"/>
  <c r="AB99" i="80"/>
  <c r="AB111" i="80" s="1"/>
  <c r="Y71" i="80"/>
  <c r="Y83" i="80" s="1"/>
  <c r="Y75" i="80"/>
  <c r="Y87" i="80" s="1"/>
  <c r="Z108" i="83"/>
  <c r="Z213" i="83" s="1"/>
  <c r="Z85" i="71" s="1"/>
  <c r="Z190" i="71" s="1"/>
  <c r="Y124" i="80"/>
  <c r="Y136" i="80" s="1"/>
  <c r="Z123" i="80"/>
  <c r="Z135" i="80" s="1"/>
  <c r="Y94" i="80"/>
  <c r="Y106" i="80" s="1"/>
  <c r="Z77" i="80"/>
  <c r="Z89" i="80" s="1"/>
  <c r="Z112" i="83"/>
  <c r="Z217" i="83" s="1"/>
  <c r="Z89" i="71" s="1"/>
  <c r="Z194" i="71" s="1"/>
  <c r="AB106" i="83"/>
  <c r="AB211" i="83" s="1"/>
  <c r="AB83" i="71" s="1"/>
  <c r="AB188" i="71" s="1"/>
  <c r="Y81" i="83"/>
  <c r="Y152" i="83" s="1"/>
  <c r="Y22" i="71" s="1"/>
  <c r="Y127" i="71" s="1"/>
  <c r="X94" i="80"/>
  <c r="X106" i="80" s="1"/>
  <c r="X143" i="80" s="1"/>
  <c r="X169" i="80" s="1"/>
  <c r="X270" i="80" s="1"/>
  <c r="AB90" i="83"/>
  <c r="AB161" i="83" s="1"/>
  <c r="AB31" i="71" s="1"/>
  <c r="AB136" i="71" s="1"/>
  <c r="AB74" i="80"/>
  <c r="AB86" i="80" s="1"/>
  <c r="AB146" i="80" s="1"/>
  <c r="AB172" i="80" s="1"/>
  <c r="AB273" i="80" s="1"/>
  <c r="Y112" i="83"/>
  <c r="Y217" i="83" s="1"/>
  <c r="Y89" i="71" s="1"/>
  <c r="Y194" i="71" s="1"/>
  <c r="AB89" i="83"/>
  <c r="AB160" i="83" s="1"/>
  <c r="AB30" i="71" s="1"/>
  <c r="AB135" i="71" s="1"/>
  <c r="AB72" i="80"/>
  <c r="AB84" i="80" s="1"/>
  <c r="Y111" i="83"/>
  <c r="Y216" i="83" s="1"/>
  <c r="Y88" i="71" s="1"/>
  <c r="Y193" i="71" s="1"/>
  <c r="Z119" i="80"/>
  <c r="Z131" i="80" s="1"/>
  <c r="AB117" i="80"/>
  <c r="AB129" i="80" s="1"/>
  <c r="Y113" i="83"/>
  <c r="Y218" i="83" s="1"/>
  <c r="Y90" i="71" s="1"/>
  <c r="Y195" i="71" s="1"/>
  <c r="Z100" i="83"/>
  <c r="Z188" i="83" s="1"/>
  <c r="Z59" i="71" s="1"/>
  <c r="Z164" i="71" s="1"/>
  <c r="Y100" i="80"/>
  <c r="Y112" i="80" s="1"/>
  <c r="AB85" i="83"/>
  <c r="AB156" i="83" s="1"/>
  <c r="AB26" i="71" s="1"/>
  <c r="AB131" i="71" s="1"/>
  <c r="Z85" i="83"/>
  <c r="Z156" i="83" s="1"/>
  <c r="Z26" i="71" s="1"/>
  <c r="Z131" i="71" s="1"/>
  <c r="Y78" i="80"/>
  <c r="Y90" i="80" s="1"/>
  <c r="Y150" i="80" s="1"/>
  <c r="Y176" i="80" s="1"/>
  <c r="Z93" i="83"/>
  <c r="Z181" i="83" s="1"/>
  <c r="Z52" i="71" s="1"/>
  <c r="Z157" i="71" s="1"/>
  <c r="Y77" i="80"/>
  <c r="Y89" i="80" s="1"/>
  <c r="Y108" i="83"/>
  <c r="Y213" i="83" s="1"/>
  <c r="Y85" i="71" s="1"/>
  <c r="Y190" i="71" s="1"/>
  <c r="AB119" i="80"/>
  <c r="AB131" i="80" s="1"/>
  <c r="AB145" i="80" s="1"/>
  <c r="AB171" i="80" s="1"/>
  <c r="AB272" i="80" s="1"/>
  <c r="AB87" i="83"/>
  <c r="AB158" i="83" s="1"/>
  <c r="AB28" i="71" s="1"/>
  <c r="AB133" i="71" s="1"/>
  <c r="X111" i="83"/>
  <c r="X216" i="83" s="1"/>
  <c r="X88" i="71" s="1"/>
  <c r="X193" i="71" s="1"/>
  <c r="Y96" i="83"/>
  <c r="Y184" i="83" s="1"/>
  <c r="Y55" i="71" s="1"/>
  <c r="Y160" i="71" s="1"/>
  <c r="AB110" i="83"/>
  <c r="AB215" i="83" s="1"/>
  <c r="AB87" i="71" s="1"/>
  <c r="AB192" i="71" s="1"/>
  <c r="Z96" i="80"/>
  <c r="Z108" i="80" s="1"/>
  <c r="Z145" i="80" s="1"/>
  <c r="Z171" i="80" s="1"/>
  <c r="Z272" i="80" s="1"/>
  <c r="X97" i="80"/>
  <c r="X109" i="80" s="1"/>
  <c r="X146" i="80" s="1"/>
  <c r="X172" i="80" s="1"/>
  <c r="X273" i="80" s="1"/>
  <c r="Z94" i="80"/>
  <c r="Z106" i="80" s="1"/>
  <c r="AB71" i="80"/>
  <c r="AB83" i="80" s="1"/>
  <c r="Z102" i="83"/>
  <c r="Z190" i="83" s="1"/>
  <c r="Z61" i="71" s="1"/>
  <c r="Z166" i="71" s="1"/>
  <c r="Z72" i="80"/>
  <c r="Z84" i="80" s="1"/>
  <c r="Z144" i="80" s="1"/>
  <c r="Z170" i="80" s="1"/>
  <c r="Z271" i="80" s="1"/>
  <c r="Y106" i="83"/>
  <c r="Y211" i="83" s="1"/>
  <c r="Y83" i="71" s="1"/>
  <c r="Y188" i="71" s="1"/>
  <c r="X78" i="80"/>
  <c r="X90" i="80" s="1"/>
  <c r="Z100" i="80"/>
  <c r="Z112" i="80" s="1"/>
  <c r="X77" i="80"/>
  <c r="X89" i="80" s="1"/>
  <c r="Z116" i="80"/>
  <c r="Z128" i="80" s="1"/>
  <c r="Y70" i="80"/>
  <c r="Y82" i="80" s="1"/>
  <c r="Z98" i="80"/>
  <c r="Z110" i="80" s="1"/>
  <c r="Z147" i="80" s="1"/>
  <c r="Z173" i="80" s="1"/>
  <c r="Z274" i="80" s="1"/>
  <c r="Y99" i="80"/>
  <c r="Y111" i="80" s="1"/>
  <c r="Y148" i="80" s="1"/>
  <c r="Y174" i="80" s="1"/>
  <c r="Y275" i="80" s="1"/>
  <c r="Y86" i="83"/>
  <c r="Y157" i="83" s="1"/>
  <c r="Y27" i="71" s="1"/>
  <c r="Y132" i="71" s="1"/>
  <c r="P176" i="80"/>
  <c r="P177" i="80" s="1"/>
  <c r="X99" i="83"/>
  <c r="X187" i="83" s="1"/>
  <c r="X58" i="71" s="1"/>
  <c r="X163" i="71" s="1"/>
  <c r="Z97" i="80"/>
  <c r="Z109" i="80" s="1"/>
  <c r="X113" i="83"/>
  <c r="X218" i="83" s="1"/>
  <c r="X90" i="71" s="1"/>
  <c r="X195" i="71" s="1"/>
  <c r="Y88" i="83"/>
  <c r="Y159" i="83" s="1"/>
  <c r="Y29" i="71" s="1"/>
  <c r="Y134" i="71" s="1"/>
  <c r="Y93" i="83"/>
  <c r="Y181" i="83" s="1"/>
  <c r="Y52" i="71" s="1"/>
  <c r="Y157" i="71" s="1"/>
  <c r="Z78" i="80"/>
  <c r="Z90" i="80" s="1"/>
  <c r="Z150" i="80" s="1"/>
  <c r="Y105" i="83"/>
  <c r="Y210" i="83" s="1"/>
  <c r="Y82" i="71" s="1"/>
  <c r="Y187" i="71" s="1"/>
  <c r="Z117" i="80"/>
  <c r="Z129" i="80" s="1"/>
  <c r="Z74" i="80"/>
  <c r="Z86" i="80" s="1"/>
  <c r="AA148" i="80"/>
  <c r="AA174" i="80" s="1"/>
  <c r="AA275" i="80" s="1"/>
  <c r="Y97" i="80"/>
  <c r="Y109" i="80" s="1"/>
  <c r="Y146" i="80" s="1"/>
  <c r="Y172" i="80" s="1"/>
  <c r="Y273" i="80" s="1"/>
  <c r="Y93" i="80"/>
  <c r="Y105" i="80" s="1"/>
  <c r="O464" i="53"/>
  <c r="O488" i="53" s="1"/>
  <c r="O531" i="53" s="1"/>
  <c r="X82" i="83"/>
  <c r="X153" i="83" s="1"/>
  <c r="X23" i="71" s="1"/>
  <c r="X128" i="71" s="1"/>
  <c r="Z76" i="80"/>
  <c r="Z88" i="80" s="1"/>
  <c r="Z148" i="80" s="1"/>
  <c r="Z174" i="80" s="1"/>
  <c r="Z275" i="80" s="1"/>
  <c r="X72" i="80"/>
  <c r="X84" i="80" s="1"/>
  <c r="X144" i="80" s="1"/>
  <c r="X170" i="80" s="1"/>
  <c r="X271" i="80" s="1"/>
  <c r="X105" i="83"/>
  <c r="X210" i="83" s="1"/>
  <c r="X82" i="71" s="1"/>
  <c r="X187" i="71" s="1"/>
  <c r="X99" i="80"/>
  <c r="X111" i="80" s="1"/>
  <c r="X148" i="80" s="1"/>
  <c r="X174" i="80" s="1"/>
  <c r="X275" i="80" s="1"/>
  <c r="Y119" i="80"/>
  <c r="Y131" i="80" s="1"/>
  <c r="Z81" i="83"/>
  <c r="Z152" i="83" s="1"/>
  <c r="Z22" i="71" s="1"/>
  <c r="Z127" i="71" s="1"/>
  <c r="X75" i="80"/>
  <c r="X87" i="80" s="1"/>
  <c r="X147" i="80" s="1"/>
  <c r="X173" i="80" s="1"/>
  <c r="X274" i="80" s="1"/>
  <c r="X96" i="83"/>
  <c r="X184" i="83" s="1"/>
  <c r="X55" i="71" s="1"/>
  <c r="X160" i="71" s="1"/>
  <c r="Z111" i="83"/>
  <c r="Z216" i="83" s="1"/>
  <c r="Z88" i="71" s="1"/>
  <c r="Z193" i="71" s="1"/>
  <c r="Z106" i="83"/>
  <c r="Z211" i="83" s="1"/>
  <c r="Z83" i="71" s="1"/>
  <c r="Z188" i="71" s="1"/>
  <c r="Z110" i="83"/>
  <c r="Z215" i="83" s="1"/>
  <c r="Z87" i="71" s="1"/>
  <c r="Z192" i="71" s="1"/>
  <c r="X101" i="80"/>
  <c r="X113" i="80" s="1"/>
  <c r="X85" i="83"/>
  <c r="X156" i="83" s="1"/>
  <c r="X26" i="71" s="1"/>
  <c r="X131" i="71" s="1"/>
  <c r="X119" i="80"/>
  <c r="X131" i="80" s="1"/>
  <c r="X145" i="80" s="1"/>
  <c r="X171" i="80" s="1"/>
  <c r="X272" i="80" s="1"/>
  <c r="X100" i="80"/>
  <c r="X112" i="80" s="1"/>
  <c r="X114" i="83"/>
  <c r="X219" i="83" s="1"/>
  <c r="X91" i="71" s="1"/>
  <c r="X196" i="71" s="1"/>
  <c r="X94" i="83"/>
  <c r="X182" i="83" s="1"/>
  <c r="X53" i="71" s="1"/>
  <c r="X158" i="71" s="1"/>
  <c r="X97" i="83"/>
  <c r="X185" i="83" s="1"/>
  <c r="X56" i="71" s="1"/>
  <c r="X161" i="71" s="1"/>
  <c r="T476" i="53"/>
  <c r="T489" i="53" s="1"/>
  <c r="T532" i="53" s="1"/>
  <c r="T107" i="83" s="1"/>
  <c r="T212" i="83" s="1"/>
  <c r="T84" i="71" s="1"/>
  <c r="T189" i="71" s="1"/>
  <c r="M465" i="53"/>
  <c r="M489" i="53" s="1"/>
  <c r="M532" i="53" s="1"/>
  <c r="T475" i="53"/>
  <c r="T488" i="53" s="1"/>
  <c r="T520" i="53" s="1"/>
  <c r="T93" i="80" s="1"/>
  <c r="T105" i="80" s="1"/>
  <c r="X93" i="83"/>
  <c r="X181" i="83" s="1"/>
  <c r="X52" i="71" s="1"/>
  <c r="X157" i="71" s="1"/>
  <c r="X108" i="83"/>
  <c r="X213" i="83" s="1"/>
  <c r="X85" i="71" s="1"/>
  <c r="X190" i="71" s="1"/>
  <c r="N464" i="53"/>
  <c r="N488" i="53" s="1"/>
  <c r="N520" i="53" s="1"/>
  <c r="T482" i="53"/>
  <c r="T495" i="53" s="1"/>
  <c r="T527" i="53" s="1"/>
  <c r="T100" i="80" s="1"/>
  <c r="T112" i="80" s="1"/>
  <c r="N471" i="53"/>
  <c r="N495" i="53" s="1"/>
  <c r="N527" i="53" s="1"/>
  <c r="M471" i="53"/>
  <c r="M495" i="53" s="1"/>
  <c r="M527" i="53" s="1"/>
  <c r="N465" i="53"/>
  <c r="N489" i="53" s="1"/>
  <c r="N532" i="53" s="1"/>
  <c r="T480" i="53"/>
  <c r="T493" i="53" s="1"/>
  <c r="T514" i="53" s="1"/>
  <c r="T87" i="83" s="1"/>
  <c r="T158" i="83" s="1"/>
  <c r="T28" i="71" s="1"/>
  <c r="T133" i="71" s="1"/>
  <c r="O469" i="53"/>
  <c r="O493" i="53" s="1"/>
  <c r="O536" i="53" s="1"/>
  <c r="N468" i="53"/>
  <c r="N492" i="53" s="1"/>
  <c r="N513" i="53" s="1"/>
  <c r="T479" i="53"/>
  <c r="T492" i="53" s="1"/>
  <c r="T524" i="53" s="1"/>
  <c r="T97" i="80" s="1"/>
  <c r="T109" i="80" s="1"/>
  <c r="O466" i="53"/>
  <c r="O490" i="53" s="1"/>
  <c r="O533" i="53" s="1"/>
  <c r="M466" i="53"/>
  <c r="M490" i="53" s="1"/>
  <c r="M511" i="53" s="1"/>
  <c r="O467" i="53"/>
  <c r="O491" i="53" s="1"/>
  <c r="O512" i="53" s="1"/>
  <c r="T477" i="53"/>
  <c r="T490" i="53" s="1"/>
  <c r="AA147" i="80"/>
  <c r="AA173" i="80" s="1"/>
  <c r="AA274" i="80" s="1"/>
  <c r="O468" i="53"/>
  <c r="O492" i="53" s="1"/>
  <c r="O535" i="53" s="1"/>
  <c r="M469" i="53"/>
  <c r="M493" i="53" s="1"/>
  <c r="M536" i="53" s="1"/>
  <c r="T478" i="53"/>
  <c r="T491" i="53" s="1"/>
  <c r="M467" i="53"/>
  <c r="M491" i="53" s="1"/>
  <c r="M523" i="53" s="1"/>
  <c r="J356" i="53"/>
  <c r="H403" i="53"/>
  <c r="S427" i="53" s="1"/>
  <c r="J350" i="53"/>
  <c r="H397" i="53"/>
  <c r="S421" i="53" s="1"/>
  <c r="J354" i="53"/>
  <c r="H401" i="53"/>
  <c r="S425" i="53" s="1"/>
  <c r="J357" i="53"/>
  <c r="H404" i="53"/>
  <c r="S428" i="53" s="1"/>
  <c r="J349" i="53"/>
  <c r="H396" i="53"/>
  <c r="S420" i="53" s="1"/>
  <c r="J353" i="53"/>
  <c r="H400" i="53"/>
  <c r="S424" i="53" s="1"/>
  <c r="J351" i="53"/>
  <c r="H398" i="53"/>
  <c r="S422" i="53" s="1"/>
  <c r="J355" i="53"/>
  <c r="H402" i="53"/>
  <c r="S426" i="53" s="1"/>
  <c r="J352" i="53"/>
  <c r="H399" i="53"/>
  <c r="S423" i="53" s="1"/>
  <c r="AB149" i="80"/>
  <c r="AB175" i="80" s="1"/>
  <c r="AB276" i="80" s="1"/>
  <c r="O532" i="53"/>
  <c r="O510" i="53"/>
  <c r="O521" i="53"/>
  <c r="M535" i="53"/>
  <c r="M513" i="53"/>
  <c r="M524" i="53"/>
  <c r="AB142" i="80"/>
  <c r="AB168" i="80" s="1"/>
  <c r="O538" i="53"/>
  <c r="O516" i="53"/>
  <c r="O527" i="53"/>
  <c r="AA150" i="80"/>
  <c r="AB147" i="80"/>
  <c r="AB173" i="80" s="1"/>
  <c r="AB274" i="80" s="1"/>
  <c r="AA149" i="80"/>
  <c r="AA175" i="80" s="1"/>
  <c r="AA276" i="80" s="1"/>
  <c r="AA144" i="80"/>
  <c r="AA170" i="80" s="1"/>
  <c r="AA271" i="80" s="1"/>
  <c r="N534" i="53"/>
  <c r="N512" i="53"/>
  <c r="N523" i="53"/>
  <c r="X22" i="71"/>
  <c r="X127" i="71" s="1"/>
  <c r="AB22" i="71"/>
  <c r="AB127" i="71" s="1"/>
  <c r="AA145" i="80"/>
  <c r="AA171" i="80" s="1"/>
  <c r="AA272" i="80" s="1"/>
  <c r="Y145" i="80"/>
  <c r="Y171" i="80" s="1"/>
  <c r="Y272" i="80" s="1"/>
  <c r="P269" i="80"/>
  <c r="Z142" i="80"/>
  <c r="Z168" i="80" s="1"/>
  <c r="N536" i="53"/>
  <c r="N514" i="53"/>
  <c r="N525" i="53"/>
  <c r="AA146" i="80"/>
  <c r="AA172" i="80" s="1"/>
  <c r="AA273" i="80" s="1"/>
  <c r="Y144" i="80"/>
  <c r="Y170" i="80" s="1"/>
  <c r="Y271" i="80" s="1"/>
  <c r="N470" i="53"/>
  <c r="N494" i="53" s="1"/>
  <c r="O470" i="53"/>
  <c r="O494" i="53" s="1"/>
  <c r="T481" i="53"/>
  <c r="T494" i="53" s="1"/>
  <c r="M470" i="53"/>
  <c r="M494" i="53" s="1"/>
  <c r="AB150" i="80"/>
  <c r="AA143" i="80"/>
  <c r="AA169" i="80" s="1"/>
  <c r="AA270" i="80" s="1"/>
  <c r="N472" i="53"/>
  <c r="N496" i="53" s="1"/>
  <c r="M472" i="53"/>
  <c r="M496" i="53" s="1"/>
  <c r="T483" i="53"/>
  <c r="T496" i="53" s="1"/>
  <c r="O472" i="53"/>
  <c r="O496" i="53" s="1"/>
  <c r="T75" i="80"/>
  <c r="T87" i="80" s="1"/>
  <c r="M509" i="53"/>
  <c r="M520" i="53"/>
  <c r="M531" i="53"/>
  <c r="N511" i="53"/>
  <c r="N533" i="53"/>
  <c r="N522" i="53"/>
  <c r="AA142" i="80"/>
  <c r="AA168" i="80" s="1"/>
  <c r="Y147" i="80"/>
  <c r="Y173" i="80" s="1"/>
  <c r="Y274" i="80" s="1"/>
  <c r="AB148" i="80"/>
  <c r="AB174" i="80" s="1"/>
  <c r="AB275" i="80" s="1"/>
  <c r="AA22" i="71"/>
  <c r="AA127" i="71" s="1"/>
  <c r="Y149" i="80" l="1"/>
  <c r="Y175" i="80" s="1"/>
  <c r="Y276" i="80" s="1"/>
  <c r="AB144" i="80"/>
  <c r="AB170" i="80" s="1"/>
  <c r="AB271" i="80" s="1"/>
  <c r="Y143" i="80"/>
  <c r="Y169" i="80" s="1"/>
  <c r="Y270" i="80" s="1"/>
  <c r="Z149" i="80"/>
  <c r="Z175" i="80" s="1"/>
  <c r="Z276" i="80" s="1"/>
  <c r="X149" i="80"/>
  <c r="X175" i="80" s="1"/>
  <c r="X276" i="80" s="1"/>
  <c r="Z146" i="80"/>
  <c r="Z172" i="80" s="1"/>
  <c r="Z273" i="80" s="1"/>
  <c r="AB143" i="80"/>
  <c r="AB169" i="80" s="1"/>
  <c r="AB270" i="80" s="1"/>
  <c r="Y142" i="80"/>
  <c r="Y168" i="80" s="1"/>
  <c r="X150" i="80"/>
  <c r="O511" i="53"/>
  <c r="O84" i="83" s="1"/>
  <c r="O155" i="83" s="1"/>
  <c r="O25" i="71" s="1"/>
  <c r="O130" i="71" s="1"/>
  <c r="M510" i="53"/>
  <c r="M71" i="80" s="1"/>
  <c r="M83" i="80" s="1"/>
  <c r="Z143" i="80"/>
  <c r="Z169" i="80" s="1"/>
  <c r="Z270" i="80" s="1"/>
  <c r="T93" i="83"/>
  <c r="T181" i="83" s="1"/>
  <c r="O520" i="53"/>
  <c r="O93" i="80" s="1"/>
  <c r="O105" i="80" s="1"/>
  <c r="N538" i="53"/>
  <c r="N123" i="80" s="1"/>
  <c r="N135" i="80" s="1"/>
  <c r="O509" i="53"/>
  <c r="O70" i="80" s="1"/>
  <c r="O82" i="80" s="1"/>
  <c r="T117" i="80"/>
  <c r="T129" i="80" s="1"/>
  <c r="T94" i="83"/>
  <c r="T182" i="83" s="1"/>
  <c r="T53" i="71" s="1"/>
  <c r="T158" i="71" s="1"/>
  <c r="T509" i="53"/>
  <c r="T70" i="80" s="1"/>
  <c r="T82" i="80" s="1"/>
  <c r="T521" i="53"/>
  <c r="T94" i="80" s="1"/>
  <c r="T106" i="80" s="1"/>
  <c r="T510" i="53"/>
  <c r="T71" i="80" s="1"/>
  <c r="T83" i="80" s="1"/>
  <c r="N516" i="53"/>
  <c r="N77" i="80" s="1"/>
  <c r="N89" i="80" s="1"/>
  <c r="M522" i="53"/>
  <c r="M95" i="80" s="1"/>
  <c r="M107" i="80" s="1"/>
  <c r="M521" i="53"/>
  <c r="M94" i="80" s="1"/>
  <c r="M106" i="80" s="1"/>
  <c r="T531" i="53"/>
  <c r="T106" i="83" s="1"/>
  <c r="T211" i="83" s="1"/>
  <c r="T83" i="71" s="1"/>
  <c r="T188" i="71" s="1"/>
  <c r="N509" i="53"/>
  <c r="N81" i="83" s="1"/>
  <c r="N152" i="83" s="1"/>
  <c r="O524" i="53"/>
  <c r="O98" i="83" s="1"/>
  <c r="O186" i="83" s="1"/>
  <c r="O57" i="71" s="1"/>
  <c r="O162" i="71" s="1"/>
  <c r="T101" i="83"/>
  <c r="T189" i="83" s="1"/>
  <c r="T60" i="71" s="1"/>
  <c r="T165" i="71" s="1"/>
  <c r="T516" i="53"/>
  <c r="T89" i="83" s="1"/>
  <c r="T160" i="83" s="1"/>
  <c r="T30" i="71" s="1"/>
  <c r="T135" i="71" s="1"/>
  <c r="O522" i="53"/>
  <c r="O96" i="83" s="1"/>
  <c r="O184" i="83" s="1"/>
  <c r="O55" i="71" s="1"/>
  <c r="O160" i="71" s="1"/>
  <c r="Y208" i="80"/>
  <c r="N531" i="53"/>
  <c r="N106" i="83" s="1"/>
  <c r="N211" i="83" s="1"/>
  <c r="N83" i="71" s="1"/>
  <c r="N188" i="71" s="1"/>
  <c r="N524" i="53"/>
  <c r="N97" i="80" s="1"/>
  <c r="N109" i="80" s="1"/>
  <c r="T513" i="53"/>
  <c r="T74" i="80" s="1"/>
  <c r="T86" i="80" s="1"/>
  <c r="O514" i="53"/>
  <c r="O75" i="80" s="1"/>
  <c r="O87" i="80" s="1"/>
  <c r="T98" i="83"/>
  <c r="T186" i="83" s="1"/>
  <c r="T57" i="71" s="1"/>
  <c r="T162" i="71" s="1"/>
  <c r="M516" i="53"/>
  <c r="M89" i="83" s="1"/>
  <c r="M160" i="83" s="1"/>
  <c r="M30" i="71" s="1"/>
  <c r="M135" i="71" s="1"/>
  <c r="O534" i="53"/>
  <c r="O109" i="83" s="1"/>
  <c r="O214" i="83" s="1"/>
  <c r="O86" i="71" s="1"/>
  <c r="O191" i="71" s="1"/>
  <c r="M538" i="53"/>
  <c r="M123" i="80" s="1"/>
  <c r="M135" i="80" s="1"/>
  <c r="O525" i="53"/>
  <c r="O99" i="83" s="1"/>
  <c r="O187" i="83" s="1"/>
  <c r="O58" i="71" s="1"/>
  <c r="O163" i="71" s="1"/>
  <c r="T535" i="53"/>
  <c r="T120" i="80" s="1"/>
  <c r="T132" i="80" s="1"/>
  <c r="T538" i="53"/>
  <c r="T113" i="83" s="1"/>
  <c r="T218" i="83" s="1"/>
  <c r="T90" i="71" s="1"/>
  <c r="T195" i="71" s="1"/>
  <c r="N510" i="53"/>
  <c r="N71" i="80" s="1"/>
  <c r="N83" i="80" s="1"/>
  <c r="N521" i="53"/>
  <c r="N94" i="80" s="1"/>
  <c r="N106" i="80" s="1"/>
  <c r="M533" i="53"/>
  <c r="M108" i="83" s="1"/>
  <c r="M213" i="83" s="1"/>
  <c r="M85" i="71" s="1"/>
  <c r="M190" i="71" s="1"/>
  <c r="T123" i="80"/>
  <c r="T135" i="80" s="1"/>
  <c r="T536" i="53"/>
  <c r="T525" i="53"/>
  <c r="T99" i="83" s="1"/>
  <c r="T187" i="83" s="1"/>
  <c r="T58" i="71" s="1"/>
  <c r="T163" i="71" s="1"/>
  <c r="N535" i="53"/>
  <c r="N110" i="83" s="1"/>
  <c r="N215" i="83" s="1"/>
  <c r="N87" i="71" s="1"/>
  <c r="N192" i="71" s="1"/>
  <c r="M514" i="53"/>
  <c r="M87" i="83" s="1"/>
  <c r="M158" i="83" s="1"/>
  <c r="M28" i="71" s="1"/>
  <c r="M133" i="71" s="1"/>
  <c r="M525" i="53"/>
  <c r="M98" i="80" s="1"/>
  <c r="M110" i="80" s="1"/>
  <c r="O523" i="53"/>
  <c r="O96" i="80" s="1"/>
  <c r="O108" i="80" s="1"/>
  <c r="O513" i="53"/>
  <c r="O74" i="80" s="1"/>
  <c r="O86" i="80" s="1"/>
  <c r="M512" i="53"/>
  <c r="M85" i="83" s="1"/>
  <c r="M156" i="83" s="1"/>
  <c r="M26" i="71" s="1"/>
  <c r="M131" i="71" s="1"/>
  <c r="T533" i="53"/>
  <c r="T522" i="53"/>
  <c r="T511" i="53"/>
  <c r="S448" i="53"/>
  <c r="S450" i="53"/>
  <c r="S443" i="53"/>
  <c r="M534" i="53"/>
  <c r="M119" i="80" s="1"/>
  <c r="M131" i="80" s="1"/>
  <c r="T523" i="53"/>
  <c r="T512" i="53"/>
  <c r="T534" i="53"/>
  <c r="S446" i="53"/>
  <c r="S445" i="53"/>
  <c r="S444" i="53"/>
  <c r="S442" i="53"/>
  <c r="S447" i="53"/>
  <c r="S449" i="53"/>
  <c r="AO126" i="105"/>
  <c r="AO132" i="105"/>
  <c r="N101" i="83"/>
  <c r="N189" i="83" s="1"/>
  <c r="N60" i="71" s="1"/>
  <c r="N165" i="71" s="1"/>
  <c r="N100" i="80"/>
  <c r="N112" i="80" s="1"/>
  <c r="AA269" i="80"/>
  <c r="O537" i="53"/>
  <c r="O526" i="53"/>
  <c r="O515" i="53"/>
  <c r="M101" i="83"/>
  <c r="M189" i="83" s="1"/>
  <c r="M60" i="71" s="1"/>
  <c r="M165" i="71" s="1"/>
  <c r="M100" i="80"/>
  <c r="M112" i="80" s="1"/>
  <c r="AA208" i="80"/>
  <c r="AA176" i="80"/>
  <c r="AA177" i="80" s="1"/>
  <c r="M98" i="83"/>
  <c r="M186" i="83" s="1"/>
  <c r="M57" i="71" s="1"/>
  <c r="M162" i="71" s="1"/>
  <c r="M97" i="80"/>
  <c r="M109" i="80" s="1"/>
  <c r="O85" i="83"/>
  <c r="O156" i="83" s="1"/>
  <c r="O26" i="71" s="1"/>
  <c r="O131" i="71" s="1"/>
  <c r="O73" i="80"/>
  <c r="O85" i="80" s="1"/>
  <c r="O110" i="83"/>
  <c r="O215" i="83" s="1"/>
  <c r="O87" i="71" s="1"/>
  <c r="O192" i="71" s="1"/>
  <c r="O120" i="80"/>
  <c r="O132" i="80" s="1"/>
  <c r="M86" i="83"/>
  <c r="M157" i="83" s="1"/>
  <c r="M27" i="71" s="1"/>
  <c r="M132" i="71" s="1"/>
  <c r="M74" i="80"/>
  <c r="M86" i="80" s="1"/>
  <c r="N118" i="80"/>
  <c r="N130" i="80" s="1"/>
  <c r="N108" i="83"/>
  <c r="N213" i="83" s="1"/>
  <c r="N85" i="71" s="1"/>
  <c r="N190" i="71" s="1"/>
  <c r="T539" i="53"/>
  <c r="T528" i="53"/>
  <c r="T517" i="53"/>
  <c r="N107" i="83"/>
  <c r="N212" i="83" s="1"/>
  <c r="N84" i="71" s="1"/>
  <c r="N189" i="71" s="1"/>
  <c r="N117" i="80"/>
  <c r="N129" i="80" s="1"/>
  <c r="Z269" i="80"/>
  <c r="N113" i="83"/>
  <c r="N218" i="83" s="1"/>
  <c r="N90" i="71" s="1"/>
  <c r="N195" i="71" s="1"/>
  <c r="O105" i="83"/>
  <c r="O210" i="83" s="1"/>
  <c r="O116" i="80"/>
  <c r="O128" i="80" s="1"/>
  <c r="O106" i="83"/>
  <c r="O211" i="83" s="1"/>
  <c r="O83" i="71" s="1"/>
  <c r="O188" i="71" s="1"/>
  <c r="M83" i="83"/>
  <c r="M154" i="83" s="1"/>
  <c r="M24" i="71" s="1"/>
  <c r="M129" i="71" s="1"/>
  <c r="M110" i="83"/>
  <c r="M215" i="83" s="1"/>
  <c r="M87" i="71" s="1"/>
  <c r="M192" i="71" s="1"/>
  <c r="M120" i="80"/>
  <c r="M132" i="80" s="1"/>
  <c r="N96" i="83"/>
  <c r="N184" i="83" s="1"/>
  <c r="N55" i="71" s="1"/>
  <c r="N160" i="71" s="1"/>
  <c r="N95" i="80"/>
  <c r="N107" i="80" s="1"/>
  <c r="N72" i="80"/>
  <c r="N84" i="80" s="1"/>
  <c r="N84" i="83"/>
  <c r="N155" i="83" s="1"/>
  <c r="N25" i="71" s="1"/>
  <c r="N130" i="71" s="1"/>
  <c r="M539" i="53"/>
  <c r="M517" i="53"/>
  <c r="M528" i="53"/>
  <c r="M96" i="80"/>
  <c r="M108" i="80" s="1"/>
  <c r="M97" i="83"/>
  <c r="M185" i="83" s="1"/>
  <c r="M56" i="71" s="1"/>
  <c r="M161" i="71" s="1"/>
  <c r="N99" i="83"/>
  <c r="N187" i="83" s="1"/>
  <c r="N58" i="71" s="1"/>
  <c r="N163" i="71" s="1"/>
  <c r="N98" i="80"/>
  <c r="N110" i="80" s="1"/>
  <c r="O101" i="83"/>
  <c r="O189" i="83" s="1"/>
  <c r="O60" i="71" s="1"/>
  <c r="O165" i="71" s="1"/>
  <c r="O100" i="80"/>
  <c r="O112" i="80" s="1"/>
  <c r="T52" i="71"/>
  <c r="T157" i="71" s="1"/>
  <c r="M105" i="83"/>
  <c r="M210" i="83" s="1"/>
  <c r="M116" i="80"/>
  <c r="M128" i="80" s="1"/>
  <c r="M106" i="83"/>
  <c r="M211" i="83" s="1"/>
  <c r="M83" i="71" s="1"/>
  <c r="M188" i="71" s="1"/>
  <c r="N539" i="53"/>
  <c r="N528" i="53"/>
  <c r="N517" i="53"/>
  <c r="N93" i="83"/>
  <c r="N181" i="83" s="1"/>
  <c r="N94" i="83"/>
  <c r="N182" i="83" s="1"/>
  <c r="N53" i="71" s="1"/>
  <c r="N158" i="71" s="1"/>
  <c r="N93" i="80"/>
  <c r="N105" i="80" s="1"/>
  <c r="N75" i="80"/>
  <c r="N87" i="80" s="1"/>
  <c r="N87" i="83"/>
  <c r="N158" i="83" s="1"/>
  <c r="N28" i="71" s="1"/>
  <c r="N133" i="71" s="1"/>
  <c r="Y269" i="80"/>
  <c r="O111" i="83"/>
  <c r="O216" i="83" s="1"/>
  <c r="O88" i="71" s="1"/>
  <c r="O193" i="71" s="1"/>
  <c r="O121" i="80"/>
  <c r="O133" i="80" s="1"/>
  <c r="X176" i="80"/>
  <c r="X177" i="80" s="1"/>
  <c r="X208" i="80"/>
  <c r="M117" i="80"/>
  <c r="M129" i="80" s="1"/>
  <c r="M107" i="83"/>
  <c r="M212" i="83" s="1"/>
  <c r="M84" i="71" s="1"/>
  <c r="M189" i="71" s="1"/>
  <c r="O89" i="83"/>
  <c r="O160" i="83" s="1"/>
  <c r="O30" i="71" s="1"/>
  <c r="O135" i="71" s="1"/>
  <c r="O77" i="80"/>
  <c r="O89" i="80" s="1"/>
  <c r="O95" i="83"/>
  <c r="O183" i="83" s="1"/>
  <c r="O54" i="71" s="1"/>
  <c r="O159" i="71" s="1"/>
  <c r="O94" i="80"/>
  <c r="O106" i="80" s="1"/>
  <c r="M93" i="83"/>
  <c r="M181" i="83" s="1"/>
  <c r="M94" i="83"/>
  <c r="M182" i="83" s="1"/>
  <c r="M53" i="71" s="1"/>
  <c r="M158" i="71" s="1"/>
  <c r="M93" i="80"/>
  <c r="M105" i="80" s="1"/>
  <c r="AB176" i="80"/>
  <c r="AB177" i="80" s="1"/>
  <c r="AB208" i="80"/>
  <c r="N121" i="80"/>
  <c r="N133" i="80" s="1"/>
  <c r="N111" i="83"/>
  <c r="N216" i="83" s="1"/>
  <c r="N88" i="71" s="1"/>
  <c r="N193" i="71" s="1"/>
  <c r="N74" i="80"/>
  <c r="N86" i="80" s="1"/>
  <c r="N86" i="83"/>
  <c r="N157" i="83" s="1"/>
  <c r="N27" i="71" s="1"/>
  <c r="N132" i="71" s="1"/>
  <c r="N96" i="80"/>
  <c r="N108" i="80" s="1"/>
  <c r="N97" i="83"/>
  <c r="N185" i="83" s="1"/>
  <c r="N56" i="71" s="1"/>
  <c r="N161" i="71" s="1"/>
  <c r="O87" i="83"/>
  <c r="O158" i="83" s="1"/>
  <c r="O28" i="71" s="1"/>
  <c r="O133" i="71" s="1"/>
  <c r="O113" i="83"/>
  <c r="O218" i="83" s="1"/>
  <c r="O90" i="71" s="1"/>
  <c r="O195" i="71" s="1"/>
  <c r="O123" i="80"/>
  <c r="O135" i="80" s="1"/>
  <c r="O83" i="83"/>
  <c r="O154" i="83" s="1"/>
  <c r="O24" i="71" s="1"/>
  <c r="O129" i="71" s="1"/>
  <c r="O71" i="80"/>
  <c r="O83" i="80" s="1"/>
  <c r="O539" i="53"/>
  <c r="O517" i="53"/>
  <c r="O528" i="53"/>
  <c r="M82" i="83"/>
  <c r="M153" i="83" s="1"/>
  <c r="M23" i="71" s="1"/>
  <c r="M128" i="71" s="1"/>
  <c r="M81" i="83"/>
  <c r="M152" i="83" s="1"/>
  <c r="M70" i="80"/>
  <c r="M82" i="80" s="1"/>
  <c r="M537" i="53"/>
  <c r="M515" i="53"/>
  <c r="M526" i="53"/>
  <c r="N85" i="83"/>
  <c r="N156" i="83" s="1"/>
  <c r="N26" i="71" s="1"/>
  <c r="N131" i="71" s="1"/>
  <c r="N73" i="80"/>
  <c r="N85" i="80" s="1"/>
  <c r="AB269" i="80"/>
  <c r="O107" i="83"/>
  <c r="O212" i="83" s="1"/>
  <c r="O84" i="71" s="1"/>
  <c r="O189" i="71" s="1"/>
  <c r="O117" i="80"/>
  <c r="O129" i="80" s="1"/>
  <c r="N537" i="53"/>
  <c r="N515" i="53"/>
  <c r="N526" i="53"/>
  <c r="Z208" i="80"/>
  <c r="Z176" i="80"/>
  <c r="O118" i="80"/>
  <c r="O130" i="80" s="1"/>
  <c r="O108" i="83"/>
  <c r="O213" i="83" s="1"/>
  <c r="O85" i="71" s="1"/>
  <c r="O190" i="71" s="1"/>
  <c r="T537" i="53"/>
  <c r="T515" i="53"/>
  <c r="T526" i="53"/>
  <c r="M111" i="83"/>
  <c r="M216" i="83" s="1"/>
  <c r="M88" i="71" s="1"/>
  <c r="M193" i="71" s="1"/>
  <c r="M121" i="80"/>
  <c r="M133" i="80" s="1"/>
  <c r="N119" i="80"/>
  <c r="N131" i="80" s="1"/>
  <c r="N109" i="83"/>
  <c r="N214" i="83" s="1"/>
  <c r="N86" i="71" s="1"/>
  <c r="N191" i="71" s="1"/>
  <c r="M72" i="80"/>
  <c r="M84" i="80" s="1"/>
  <c r="M84" i="83"/>
  <c r="M155" i="83" s="1"/>
  <c r="M25" i="71" s="1"/>
  <c r="M130" i="71" s="1"/>
  <c r="O94" i="83" l="1"/>
  <c r="O182" i="83" s="1"/>
  <c r="O53" i="71" s="1"/>
  <c r="O158" i="71" s="1"/>
  <c r="Y177" i="80"/>
  <c r="M113" i="83"/>
  <c r="M218" i="83" s="1"/>
  <c r="M90" i="71" s="1"/>
  <c r="M195" i="71" s="1"/>
  <c r="M99" i="83"/>
  <c r="M187" i="83" s="1"/>
  <c r="M58" i="71" s="1"/>
  <c r="M163" i="71" s="1"/>
  <c r="O93" i="83"/>
  <c r="O181" i="83" s="1"/>
  <c r="O52" i="71" s="1"/>
  <c r="O157" i="71" s="1"/>
  <c r="N89" i="83"/>
  <c r="N160" i="83" s="1"/>
  <c r="N30" i="71" s="1"/>
  <c r="N135" i="71" s="1"/>
  <c r="O72" i="80"/>
  <c r="O84" i="80" s="1"/>
  <c r="M73" i="80"/>
  <c r="M85" i="80" s="1"/>
  <c r="M145" i="80" s="1"/>
  <c r="M171" i="80" s="1"/>
  <c r="M272" i="80" s="1"/>
  <c r="O81" i="83"/>
  <c r="O152" i="83" s="1"/>
  <c r="O22" i="71" s="1"/>
  <c r="O127" i="71" s="1"/>
  <c r="Z177" i="80"/>
  <c r="N105" i="83"/>
  <c r="N210" i="83" s="1"/>
  <c r="N82" i="71" s="1"/>
  <c r="N187" i="71" s="1"/>
  <c r="N116" i="80"/>
  <c r="N128" i="80" s="1"/>
  <c r="O82" i="83"/>
  <c r="O153" i="83" s="1"/>
  <c r="O23" i="71" s="1"/>
  <c r="O128" i="71" s="1"/>
  <c r="M95" i="83"/>
  <c r="M183" i="83" s="1"/>
  <c r="M54" i="71" s="1"/>
  <c r="M159" i="71" s="1"/>
  <c r="T95" i="83"/>
  <c r="T183" i="83" s="1"/>
  <c r="T54" i="71" s="1"/>
  <c r="T159" i="71" s="1"/>
  <c r="N95" i="83"/>
  <c r="N183" i="83" s="1"/>
  <c r="N54" i="71" s="1"/>
  <c r="N159" i="71" s="1"/>
  <c r="T116" i="80"/>
  <c r="T128" i="80" s="1"/>
  <c r="T142" i="80" s="1"/>
  <c r="T168" i="80" s="1"/>
  <c r="T269" i="80" s="1"/>
  <c r="M77" i="80"/>
  <c r="M89" i="80" s="1"/>
  <c r="M118" i="80"/>
  <c r="M130" i="80" s="1"/>
  <c r="M144" i="80" s="1"/>
  <c r="M170" i="80" s="1"/>
  <c r="M271" i="80" s="1"/>
  <c r="N98" i="83"/>
  <c r="N186" i="83" s="1"/>
  <c r="N57" i="71" s="1"/>
  <c r="N162" i="71" s="1"/>
  <c r="T143" i="80"/>
  <c r="T169" i="80" s="1"/>
  <c r="T270" i="80" s="1"/>
  <c r="T77" i="80"/>
  <c r="T89" i="80" s="1"/>
  <c r="T149" i="80" s="1"/>
  <c r="T175" i="80" s="1"/>
  <c r="T276" i="80" s="1"/>
  <c r="T81" i="83"/>
  <c r="T152" i="83" s="1"/>
  <c r="T22" i="71" s="1"/>
  <c r="T127" i="71" s="1"/>
  <c r="T82" i="83"/>
  <c r="T153" i="83" s="1"/>
  <c r="T23" i="71" s="1"/>
  <c r="T128" i="71" s="1"/>
  <c r="T86" i="83"/>
  <c r="T157" i="83" s="1"/>
  <c r="T27" i="71" s="1"/>
  <c r="T132" i="71" s="1"/>
  <c r="O119" i="80"/>
  <c r="O131" i="80" s="1"/>
  <c r="O145" i="80" s="1"/>
  <c r="O171" i="80" s="1"/>
  <c r="O272" i="80" s="1"/>
  <c r="O95" i="80"/>
  <c r="O107" i="80" s="1"/>
  <c r="O144" i="80" s="1"/>
  <c r="O170" i="80" s="1"/>
  <c r="O271" i="80" s="1"/>
  <c r="M96" i="83"/>
  <c r="M184" i="83" s="1"/>
  <c r="M55" i="71" s="1"/>
  <c r="M160" i="71" s="1"/>
  <c r="O97" i="80"/>
  <c r="O109" i="80" s="1"/>
  <c r="O146" i="80" s="1"/>
  <c r="O172" i="80" s="1"/>
  <c r="O273" i="80" s="1"/>
  <c r="T83" i="83"/>
  <c r="T154" i="83" s="1"/>
  <c r="T24" i="71" s="1"/>
  <c r="T129" i="71" s="1"/>
  <c r="N82" i="83"/>
  <c r="N153" i="83" s="1"/>
  <c r="N23" i="71" s="1"/>
  <c r="N128" i="71" s="1"/>
  <c r="N70" i="80"/>
  <c r="N82" i="80" s="1"/>
  <c r="N142" i="80" s="1"/>
  <c r="N168" i="80" s="1"/>
  <c r="T110" i="83"/>
  <c r="T215" i="83" s="1"/>
  <c r="T87" i="71" s="1"/>
  <c r="T192" i="71" s="1"/>
  <c r="T105" i="83"/>
  <c r="T210" i="83" s="1"/>
  <c r="T82" i="71" s="1"/>
  <c r="T187" i="71" s="1"/>
  <c r="O97" i="83"/>
  <c r="O185" i="83" s="1"/>
  <c r="O56" i="71" s="1"/>
  <c r="O161" i="71" s="1"/>
  <c r="N120" i="80"/>
  <c r="N132" i="80" s="1"/>
  <c r="N146" i="80" s="1"/>
  <c r="N172" i="80" s="1"/>
  <c r="N273" i="80" s="1"/>
  <c r="O98" i="80"/>
  <c r="O110" i="80" s="1"/>
  <c r="O147" i="80" s="1"/>
  <c r="O173" i="80" s="1"/>
  <c r="O274" i="80" s="1"/>
  <c r="N83" i="83"/>
  <c r="N154" i="83" s="1"/>
  <c r="N24" i="71" s="1"/>
  <c r="N129" i="71" s="1"/>
  <c r="M75" i="80"/>
  <c r="M87" i="80" s="1"/>
  <c r="M147" i="80" s="1"/>
  <c r="M173" i="80" s="1"/>
  <c r="M274" i="80" s="1"/>
  <c r="T111" i="83"/>
  <c r="T216" i="83" s="1"/>
  <c r="T88" i="71" s="1"/>
  <c r="T193" i="71" s="1"/>
  <c r="T121" i="80"/>
  <c r="T133" i="80" s="1"/>
  <c r="T98" i="80"/>
  <c r="T110" i="80" s="1"/>
  <c r="O86" i="83"/>
  <c r="O157" i="83" s="1"/>
  <c r="O27" i="71" s="1"/>
  <c r="O132" i="71" s="1"/>
  <c r="T146" i="80"/>
  <c r="T172" i="80" s="1"/>
  <c r="T273" i="80" s="1"/>
  <c r="T84" i="83"/>
  <c r="T155" i="83" s="1"/>
  <c r="T25" i="71" s="1"/>
  <c r="T130" i="71" s="1"/>
  <c r="T72" i="80"/>
  <c r="T84" i="80" s="1"/>
  <c r="T96" i="83"/>
  <c r="T184" i="83" s="1"/>
  <c r="T55" i="71" s="1"/>
  <c r="T160" i="71" s="1"/>
  <c r="T95" i="80"/>
  <c r="T107" i="80" s="1"/>
  <c r="T108" i="83"/>
  <c r="T213" i="83" s="1"/>
  <c r="T85" i="71" s="1"/>
  <c r="T190" i="71" s="1"/>
  <c r="T118" i="80"/>
  <c r="T130" i="80" s="1"/>
  <c r="O142" i="80"/>
  <c r="O168" i="80" s="1"/>
  <c r="O269" i="80" s="1"/>
  <c r="J453" i="53"/>
  <c r="J488" i="53" s="1"/>
  <c r="L453" i="53"/>
  <c r="L488" i="53" s="1"/>
  <c r="K453" i="53"/>
  <c r="K488" i="53" s="1"/>
  <c r="S475" i="53"/>
  <c r="S488" i="53" s="1"/>
  <c r="K455" i="53"/>
  <c r="K490" i="53" s="1"/>
  <c r="L455" i="53"/>
  <c r="L490" i="53" s="1"/>
  <c r="J455" i="53"/>
  <c r="J490" i="53" s="1"/>
  <c r="S477" i="53"/>
  <c r="S490" i="53" s="1"/>
  <c r="J454" i="53"/>
  <c r="J489" i="53" s="1"/>
  <c r="L454" i="53"/>
  <c r="L489" i="53" s="1"/>
  <c r="S476" i="53"/>
  <c r="S489" i="53" s="1"/>
  <c r="K454" i="53"/>
  <c r="K489" i="53" s="1"/>
  <c r="M109" i="83"/>
  <c r="M214" i="83" s="1"/>
  <c r="M86" i="71" s="1"/>
  <c r="M191" i="71" s="1"/>
  <c r="S482" i="53"/>
  <c r="S495" i="53" s="1"/>
  <c r="K460" i="53"/>
  <c r="K495" i="53" s="1"/>
  <c r="L460" i="53"/>
  <c r="L495" i="53" s="1"/>
  <c r="J460" i="53"/>
  <c r="J495" i="53" s="1"/>
  <c r="J456" i="53"/>
  <c r="J491" i="53" s="1"/>
  <c r="K456" i="53"/>
  <c r="K491" i="53" s="1"/>
  <c r="L456" i="53"/>
  <c r="L491" i="53" s="1"/>
  <c r="S478" i="53"/>
  <c r="S491" i="53" s="1"/>
  <c r="T85" i="83"/>
  <c r="T156" i="83" s="1"/>
  <c r="T26" i="71" s="1"/>
  <c r="T131" i="71" s="1"/>
  <c r="T73" i="80"/>
  <c r="T85" i="80" s="1"/>
  <c r="L461" i="53"/>
  <c r="L496" i="53" s="1"/>
  <c r="K461" i="53"/>
  <c r="K496" i="53" s="1"/>
  <c r="S483" i="53"/>
  <c r="S496" i="53" s="1"/>
  <c r="J461" i="53"/>
  <c r="J496" i="53" s="1"/>
  <c r="M142" i="80"/>
  <c r="M168" i="80" s="1"/>
  <c r="M269" i="80" s="1"/>
  <c r="T109" i="83"/>
  <c r="T214" i="83" s="1"/>
  <c r="T86" i="71" s="1"/>
  <c r="T191" i="71" s="1"/>
  <c r="T119" i="80"/>
  <c r="T131" i="80" s="1"/>
  <c r="N143" i="80"/>
  <c r="N169" i="80" s="1"/>
  <c r="N270" i="80" s="1"/>
  <c r="N149" i="80"/>
  <c r="N175" i="80" s="1"/>
  <c r="N276" i="80" s="1"/>
  <c r="J458" i="53"/>
  <c r="J493" i="53" s="1"/>
  <c r="L458" i="53"/>
  <c r="L493" i="53" s="1"/>
  <c r="K458" i="53"/>
  <c r="K493" i="53" s="1"/>
  <c r="S480" i="53"/>
  <c r="S493" i="53" s="1"/>
  <c r="S479" i="53"/>
  <c r="S492" i="53" s="1"/>
  <c r="K457" i="53"/>
  <c r="K492" i="53" s="1"/>
  <c r="J457" i="53"/>
  <c r="J492" i="53" s="1"/>
  <c r="L457" i="53"/>
  <c r="L492" i="53" s="1"/>
  <c r="T96" i="80"/>
  <c r="T108" i="80" s="1"/>
  <c r="T97" i="83"/>
  <c r="T185" i="83" s="1"/>
  <c r="T56" i="71" s="1"/>
  <c r="T161" i="71" s="1"/>
  <c r="L459" i="53"/>
  <c r="L494" i="53" s="1"/>
  <c r="J459" i="53"/>
  <c r="J494" i="53" s="1"/>
  <c r="J515" i="53" s="1"/>
  <c r="S481" i="53"/>
  <c r="S494" i="53" s="1"/>
  <c r="K459" i="53"/>
  <c r="K494" i="53" s="1"/>
  <c r="N144" i="80"/>
  <c r="N170" i="80" s="1"/>
  <c r="N271" i="80" s="1"/>
  <c r="M143" i="80"/>
  <c r="M169" i="80" s="1"/>
  <c r="M270" i="80" s="1"/>
  <c r="T122" i="80"/>
  <c r="T134" i="80" s="1"/>
  <c r="T112" i="83"/>
  <c r="T217" i="83" s="1"/>
  <c r="T90" i="83"/>
  <c r="T161" i="83" s="1"/>
  <c r="T31" i="71" s="1"/>
  <c r="T136" i="71" s="1"/>
  <c r="T78" i="80"/>
  <c r="T90" i="80" s="1"/>
  <c r="N145" i="80"/>
  <c r="N171" i="80" s="1"/>
  <c r="N272" i="80" s="1"/>
  <c r="O78" i="80"/>
  <c r="O90" i="80" s="1"/>
  <c r="O90" i="83"/>
  <c r="O161" i="83" s="1"/>
  <c r="O31" i="71" s="1"/>
  <c r="O136" i="71" s="1"/>
  <c r="O149" i="80"/>
  <c r="O175" i="80" s="1"/>
  <c r="O276" i="80" s="1"/>
  <c r="O76" i="80"/>
  <c r="O88" i="80" s="1"/>
  <c r="O88" i="83"/>
  <c r="O159" i="83" s="1"/>
  <c r="O29" i="71" s="1"/>
  <c r="O134" i="71" s="1"/>
  <c r="M100" i="83"/>
  <c r="M188" i="83" s="1"/>
  <c r="M59" i="71" s="1"/>
  <c r="M164" i="71" s="1"/>
  <c r="M99" i="80"/>
  <c r="M111" i="80" s="1"/>
  <c r="O99" i="80"/>
  <c r="O111" i="80" s="1"/>
  <c r="O100" i="83"/>
  <c r="O188" i="83" s="1"/>
  <c r="O59" i="71" s="1"/>
  <c r="O164" i="71" s="1"/>
  <c r="M149" i="80"/>
  <c r="M175" i="80" s="1"/>
  <c r="M276" i="80" s="1"/>
  <c r="T99" i="80"/>
  <c r="T111" i="80" s="1"/>
  <c r="T100" i="83"/>
  <c r="T188" i="83" s="1"/>
  <c r="N76" i="80"/>
  <c r="N88" i="80" s="1"/>
  <c r="N88" i="83"/>
  <c r="N159" i="83" s="1"/>
  <c r="N29" i="71" s="1"/>
  <c r="N134" i="71" s="1"/>
  <c r="M88" i="83"/>
  <c r="M159" i="83" s="1"/>
  <c r="M29" i="71" s="1"/>
  <c r="M134" i="71" s="1"/>
  <c r="M76" i="80"/>
  <c r="M88" i="80" s="1"/>
  <c r="N52" i="71"/>
  <c r="N157" i="71" s="1"/>
  <c r="O122" i="80"/>
  <c r="O134" i="80" s="1"/>
  <c r="O112" i="83"/>
  <c r="O217" i="83" s="1"/>
  <c r="O89" i="71" s="1"/>
  <c r="O194" i="71" s="1"/>
  <c r="T76" i="80"/>
  <c r="T88" i="80" s="1"/>
  <c r="T88" i="83"/>
  <c r="T159" i="83" s="1"/>
  <c r="N112" i="83"/>
  <c r="N217" i="83" s="1"/>
  <c r="N89" i="71" s="1"/>
  <c r="N194" i="71" s="1"/>
  <c r="N122" i="80"/>
  <c r="N134" i="80" s="1"/>
  <c r="M112" i="83"/>
  <c r="M217" i="83" s="1"/>
  <c r="M89" i="71" s="1"/>
  <c r="M194" i="71" s="1"/>
  <c r="M122" i="80"/>
  <c r="M134" i="80" s="1"/>
  <c r="O143" i="80"/>
  <c r="O169" i="80" s="1"/>
  <c r="O270" i="80" s="1"/>
  <c r="M22" i="71"/>
  <c r="M127" i="71" s="1"/>
  <c r="N22" i="71"/>
  <c r="N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N147" i="80"/>
  <c r="N173" i="80" s="1"/>
  <c r="N274" i="80" s="1"/>
  <c r="N102" i="83"/>
  <c r="N190" i="83" s="1"/>
  <c r="N61" i="71" s="1"/>
  <c r="N166" i="71" s="1"/>
  <c r="N101" i="80"/>
  <c r="N113" i="80" s="1"/>
  <c r="M114" i="83"/>
  <c r="M219" i="83" s="1"/>
  <c r="M91" i="71" s="1"/>
  <c r="M196" i="71" s="1"/>
  <c r="M124" i="80"/>
  <c r="M136" i="80" s="1"/>
  <c r="T124" i="80"/>
  <c r="T136" i="80" s="1"/>
  <c r="T114" i="83"/>
  <c r="T219" i="83" s="1"/>
  <c r="T91" i="71" s="1"/>
  <c r="T196" i="71" s="1"/>
  <c r="M146" i="80"/>
  <c r="M172" i="80" s="1"/>
  <c r="M273" i="80"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N114" i="83"/>
  <c r="N219" i="83" s="1"/>
  <c r="N91" i="71" s="1"/>
  <c r="N196" i="71" s="1"/>
  <c r="N124" i="80"/>
  <c r="N136" i="80" s="1"/>
  <c r="M82" i="71"/>
  <c r="M187" i="71" s="1"/>
  <c r="J526" i="53" l="1"/>
  <c r="J99" i="80" s="1"/>
  <c r="J111" i="80" s="1"/>
  <c r="T147" i="80"/>
  <c r="T173" i="80" s="1"/>
  <c r="T274" i="80" s="1"/>
  <c r="T144" i="80"/>
  <c r="T170" i="80" s="1"/>
  <c r="T271" i="80" s="1"/>
  <c r="T145" i="80"/>
  <c r="T171" i="80" s="1"/>
  <c r="T272" i="80" s="1"/>
  <c r="L535" i="53"/>
  <c r="L513" i="53"/>
  <c r="L524" i="53"/>
  <c r="L523" i="53"/>
  <c r="L534" i="53"/>
  <c r="L512" i="53"/>
  <c r="S522" i="53"/>
  <c r="S533" i="53"/>
  <c r="S511" i="53"/>
  <c r="J537" i="53"/>
  <c r="J122" i="80" s="1"/>
  <c r="J134" i="80" s="1"/>
  <c r="L537" i="53"/>
  <c r="L515" i="53"/>
  <c r="L526" i="53"/>
  <c r="K514" i="53"/>
  <c r="K536" i="53"/>
  <c r="K525" i="53"/>
  <c r="K516" i="53"/>
  <c r="K527" i="53"/>
  <c r="K538" i="53"/>
  <c r="J522" i="53"/>
  <c r="J533" i="53"/>
  <c r="J511" i="53"/>
  <c r="K537" i="53"/>
  <c r="K526" i="53"/>
  <c r="K515" i="53"/>
  <c r="K524" i="53"/>
  <c r="K535" i="53"/>
  <c r="K513" i="53"/>
  <c r="L536" i="53"/>
  <c r="L525" i="53"/>
  <c r="L514" i="53"/>
  <c r="S528" i="53"/>
  <c r="S539" i="53"/>
  <c r="S517" i="53"/>
  <c r="J534" i="53"/>
  <c r="J512" i="53"/>
  <c r="J523" i="53"/>
  <c r="S538" i="53"/>
  <c r="S516" i="53"/>
  <c r="S527" i="53"/>
  <c r="L521" i="53"/>
  <c r="L532" i="53"/>
  <c r="L510" i="53"/>
  <c r="L522" i="53"/>
  <c r="L511" i="53"/>
  <c r="L533" i="53"/>
  <c r="L520" i="53"/>
  <c r="L509" i="53"/>
  <c r="L531" i="53"/>
  <c r="S525" i="53"/>
  <c r="S514" i="53"/>
  <c r="S536" i="53"/>
  <c r="L517" i="53"/>
  <c r="L539" i="53"/>
  <c r="L528" i="53"/>
  <c r="L538" i="53"/>
  <c r="L516" i="53"/>
  <c r="L527" i="53"/>
  <c r="K521" i="53"/>
  <c r="K510" i="53"/>
  <c r="K532" i="53"/>
  <c r="S509" i="53"/>
  <c r="S520" i="53"/>
  <c r="S531" i="53"/>
  <c r="J513" i="53"/>
  <c r="J535" i="53"/>
  <c r="J524" i="53"/>
  <c r="J539" i="53"/>
  <c r="J517" i="53"/>
  <c r="J528" i="53"/>
  <c r="K523" i="53"/>
  <c r="K512" i="53"/>
  <c r="K534" i="53"/>
  <c r="S521" i="53"/>
  <c r="S532" i="53"/>
  <c r="S510" i="53"/>
  <c r="K520" i="53"/>
  <c r="K531" i="53"/>
  <c r="K509" i="53"/>
  <c r="S515" i="53"/>
  <c r="S526" i="53"/>
  <c r="S537" i="53"/>
  <c r="S524" i="53"/>
  <c r="S513" i="53"/>
  <c r="S535" i="53"/>
  <c r="J536" i="53"/>
  <c r="J525" i="53"/>
  <c r="J514" i="53"/>
  <c r="K528" i="53"/>
  <c r="K539" i="53"/>
  <c r="K517" i="53"/>
  <c r="S523" i="53"/>
  <c r="S534" i="53"/>
  <c r="S512" i="53"/>
  <c r="J516" i="53"/>
  <c r="J527" i="53"/>
  <c r="J538" i="53"/>
  <c r="J532" i="53"/>
  <c r="J521" i="53"/>
  <c r="J510" i="53"/>
  <c r="K511" i="53"/>
  <c r="K522" i="53"/>
  <c r="K533" i="53"/>
  <c r="J531" i="53"/>
  <c r="J520" i="53"/>
  <c r="J509" i="53"/>
  <c r="T59" i="71"/>
  <c r="T164" i="71" s="1"/>
  <c r="T29" i="71"/>
  <c r="T134" i="71" s="1"/>
  <c r="T89" i="71"/>
  <c r="T194" i="71" s="1"/>
  <c r="N269" i="80"/>
  <c r="M148" i="80"/>
  <c r="M174" i="80" s="1"/>
  <c r="O148" i="80"/>
  <c r="O174" i="80" s="1"/>
  <c r="O275" i="80" s="1"/>
  <c r="O150" i="80"/>
  <c r="T148" i="80"/>
  <c r="T174" i="80" s="1"/>
  <c r="N148" i="80"/>
  <c r="N174" i="80" s="1"/>
  <c r="N275" i="80" s="1"/>
  <c r="M150" i="80"/>
  <c r="N150" i="80"/>
  <c r="T150" i="80"/>
  <c r="J76" i="80"/>
  <c r="J88" i="80" s="1"/>
  <c r="J88" i="83"/>
  <c r="J159" i="83" s="1"/>
  <c r="H543" i="53" a="1"/>
  <c r="H543" i="53" s="1"/>
  <c r="J100" i="83" l="1"/>
  <c r="J188" i="83" s="1"/>
  <c r="J112" i="83"/>
  <c r="J217" i="83" s="1"/>
  <c r="J89" i="71" s="1"/>
  <c r="J194" i="71" s="1"/>
  <c r="J106" i="83"/>
  <c r="J211" i="83" s="1"/>
  <c r="J83" i="71" s="1"/>
  <c r="J188" i="71" s="1"/>
  <c r="J105" i="83"/>
  <c r="J210" i="83" s="1"/>
  <c r="J82" i="71" s="1"/>
  <c r="J187" i="71" s="1"/>
  <c r="J116" i="80"/>
  <c r="J128" i="80" s="1"/>
  <c r="J100" i="80"/>
  <c r="J112" i="80" s="1"/>
  <c r="J101" i="83"/>
  <c r="J189" i="83" s="1"/>
  <c r="J60" i="71" s="1"/>
  <c r="J165" i="71" s="1"/>
  <c r="J87" i="83"/>
  <c r="J158" i="83" s="1"/>
  <c r="J28" i="71" s="1"/>
  <c r="J133" i="71" s="1"/>
  <c r="J75" i="80"/>
  <c r="J87" i="80" s="1"/>
  <c r="S76" i="80"/>
  <c r="S88" i="80" s="1"/>
  <c r="S88" i="83"/>
  <c r="S159" i="83" s="1"/>
  <c r="S29" i="71" s="1"/>
  <c r="S134" i="71" s="1"/>
  <c r="K73" i="80"/>
  <c r="K85" i="80" s="1"/>
  <c r="K85" i="83"/>
  <c r="K156" i="83" s="1"/>
  <c r="K26" i="71" s="1"/>
  <c r="K131" i="71" s="1"/>
  <c r="S106" i="83"/>
  <c r="S211" i="83" s="1"/>
  <c r="S83" i="71" s="1"/>
  <c r="S188" i="71" s="1"/>
  <c r="S116" i="80"/>
  <c r="S128" i="80" s="1"/>
  <c r="S105" i="83"/>
  <c r="S210" i="83" s="1"/>
  <c r="S82" i="71" s="1"/>
  <c r="S187" i="71" s="1"/>
  <c r="K71" i="80"/>
  <c r="K83" i="80" s="1"/>
  <c r="K83" i="83"/>
  <c r="K154" i="83" s="1"/>
  <c r="K24" i="71" s="1"/>
  <c r="K129" i="71" s="1"/>
  <c r="S111" i="83"/>
  <c r="S216" i="83" s="1"/>
  <c r="S88" i="71" s="1"/>
  <c r="S193" i="71" s="1"/>
  <c r="S121" i="80"/>
  <c r="S133" i="80" s="1"/>
  <c r="L96" i="83"/>
  <c r="L184" i="83" s="1"/>
  <c r="L55" i="71" s="1"/>
  <c r="L160" i="71" s="1"/>
  <c r="L95" i="80"/>
  <c r="L107" i="80" s="1"/>
  <c r="J73" i="80"/>
  <c r="J85" i="80" s="1"/>
  <c r="J85" i="83"/>
  <c r="J156" i="83" s="1"/>
  <c r="J26" i="71" s="1"/>
  <c r="J131" i="71" s="1"/>
  <c r="S101" i="80"/>
  <c r="S113" i="80" s="1"/>
  <c r="S102" i="83"/>
  <c r="S190" i="83" s="1"/>
  <c r="S61" i="71" s="1"/>
  <c r="S166" i="71" s="1"/>
  <c r="K100" i="83"/>
  <c r="K188" i="83" s="1"/>
  <c r="K59" i="71" s="1"/>
  <c r="K164" i="71" s="1"/>
  <c r="K99" i="80"/>
  <c r="K111" i="80" s="1"/>
  <c r="J95" i="80"/>
  <c r="J107" i="80" s="1"/>
  <c r="J96" i="83"/>
  <c r="J184" i="83" s="1"/>
  <c r="J55" i="71" s="1"/>
  <c r="J160" i="71" s="1"/>
  <c r="K99" i="83"/>
  <c r="K187" i="83" s="1"/>
  <c r="K58" i="71" s="1"/>
  <c r="K163" i="71" s="1"/>
  <c r="K98" i="80"/>
  <c r="K110" i="80" s="1"/>
  <c r="L76" i="80"/>
  <c r="L88" i="80" s="1"/>
  <c r="L88" i="83"/>
  <c r="L159" i="83" s="1"/>
  <c r="L29" i="71" s="1"/>
  <c r="L134" i="71" s="1"/>
  <c r="L97" i="83"/>
  <c r="L185" i="83" s="1"/>
  <c r="L56" i="71" s="1"/>
  <c r="L161" i="71" s="1"/>
  <c r="L96" i="80"/>
  <c r="L108" i="80" s="1"/>
  <c r="K108" i="83"/>
  <c r="K213" i="83" s="1"/>
  <c r="K85" i="71" s="1"/>
  <c r="K190" i="71" s="1"/>
  <c r="K118" i="80"/>
  <c r="K130" i="80" s="1"/>
  <c r="J89" i="83"/>
  <c r="J160" i="83" s="1"/>
  <c r="J30" i="71" s="1"/>
  <c r="J135" i="71" s="1"/>
  <c r="J77" i="80"/>
  <c r="J89" i="80" s="1"/>
  <c r="J98" i="80"/>
  <c r="J110" i="80" s="1"/>
  <c r="J99" i="83"/>
  <c r="J187" i="83" s="1"/>
  <c r="J58" i="71" s="1"/>
  <c r="J163" i="71" s="1"/>
  <c r="K70" i="80"/>
  <c r="K82" i="80" s="1"/>
  <c r="K81" i="83"/>
  <c r="K152" i="83" s="1"/>
  <c r="K22" i="71" s="1"/>
  <c r="K127" i="71" s="1"/>
  <c r="K82" i="83"/>
  <c r="K153" i="83" s="1"/>
  <c r="K23" i="71" s="1"/>
  <c r="K128" i="71" s="1"/>
  <c r="S117" i="80"/>
  <c r="S129" i="80" s="1"/>
  <c r="S107" i="83"/>
  <c r="S212" i="83" s="1"/>
  <c r="S84" i="71" s="1"/>
  <c r="S189" i="71" s="1"/>
  <c r="J98" i="83"/>
  <c r="J186" i="83" s="1"/>
  <c r="J57" i="71" s="1"/>
  <c r="J162" i="71" s="1"/>
  <c r="J97" i="80"/>
  <c r="J109" i="80" s="1"/>
  <c r="K95" i="83"/>
  <c r="K183" i="83" s="1"/>
  <c r="K54" i="71" s="1"/>
  <c r="K159" i="71" s="1"/>
  <c r="K94" i="80"/>
  <c r="K106" i="80" s="1"/>
  <c r="S75" i="80"/>
  <c r="S87" i="80" s="1"/>
  <c r="S87" i="83"/>
  <c r="S158" i="83" s="1"/>
  <c r="S28" i="71" s="1"/>
  <c r="S133" i="71" s="1"/>
  <c r="L94" i="83"/>
  <c r="L182" i="83" s="1"/>
  <c r="L53" i="71" s="1"/>
  <c r="L158" i="71" s="1"/>
  <c r="L93" i="83"/>
  <c r="L181" i="83" s="1"/>
  <c r="L52" i="71" s="1"/>
  <c r="L157" i="71" s="1"/>
  <c r="L93" i="80"/>
  <c r="L105" i="80" s="1"/>
  <c r="L71" i="80"/>
  <c r="L83" i="80" s="1"/>
  <c r="L83" i="83"/>
  <c r="L154" i="83" s="1"/>
  <c r="L24" i="71" s="1"/>
  <c r="L129" i="71" s="1"/>
  <c r="J109" i="83"/>
  <c r="J214" i="83" s="1"/>
  <c r="J86" i="71" s="1"/>
  <c r="J191" i="71" s="1"/>
  <c r="J119" i="80"/>
  <c r="J131" i="80" s="1"/>
  <c r="L75" i="80"/>
  <c r="L87" i="80" s="1"/>
  <c r="L87" i="83"/>
  <c r="L158" i="83" s="1"/>
  <c r="L28" i="71" s="1"/>
  <c r="L133" i="71" s="1"/>
  <c r="K120" i="80"/>
  <c r="K132" i="80" s="1"/>
  <c r="K110" i="83"/>
  <c r="K215" i="83" s="1"/>
  <c r="K87" i="71" s="1"/>
  <c r="K192" i="71" s="1"/>
  <c r="K122" i="80"/>
  <c r="K134" i="80" s="1"/>
  <c r="K112" i="83"/>
  <c r="K217" i="83" s="1"/>
  <c r="K89" i="71" s="1"/>
  <c r="K194" i="71" s="1"/>
  <c r="K113" i="83"/>
  <c r="K218" i="83" s="1"/>
  <c r="K90" i="71" s="1"/>
  <c r="K195" i="71" s="1"/>
  <c r="K123" i="80"/>
  <c r="K135" i="80" s="1"/>
  <c r="K121" i="80"/>
  <c r="K133" i="80" s="1"/>
  <c r="K111" i="83"/>
  <c r="K216" i="83" s="1"/>
  <c r="K88" i="71" s="1"/>
  <c r="K193" i="71" s="1"/>
  <c r="L112" i="83"/>
  <c r="L217" i="83" s="1"/>
  <c r="L89" i="71" s="1"/>
  <c r="L194" i="71" s="1"/>
  <c r="L122" i="80"/>
  <c r="L134" i="80" s="1"/>
  <c r="L98" i="83"/>
  <c r="L186" i="83" s="1"/>
  <c r="L57" i="71" s="1"/>
  <c r="L162" i="71" s="1"/>
  <c r="L97" i="80"/>
  <c r="L109" i="80" s="1"/>
  <c r="J82" i="83"/>
  <c r="J153" i="83" s="1"/>
  <c r="J23" i="71" s="1"/>
  <c r="J128" i="71" s="1"/>
  <c r="J70" i="80"/>
  <c r="J82" i="80" s="1"/>
  <c r="J81" i="83"/>
  <c r="J152" i="83" s="1"/>
  <c r="J22" i="71" s="1"/>
  <c r="J127" i="71" s="1"/>
  <c r="K96" i="83"/>
  <c r="K184" i="83" s="1"/>
  <c r="K55" i="71" s="1"/>
  <c r="K160" i="71" s="1"/>
  <c r="K95" i="80"/>
  <c r="K107" i="80" s="1"/>
  <c r="J107" i="83"/>
  <c r="J212" i="83" s="1"/>
  <c r="J84" i="71" s="1"/>
  <c r="J189" i="71" s="1"/>
  <c r="J117" i="80"/>
  <c r="J129" i="80" s="1"/>
  <c r="S73" i="80"/>
  <c r="S85" i="80" s="1"/>
  <c r="S85" i="83"/>
  <c r="S156" i="83" s="1"/>
  <c r="S26" i="71" s="1"/>
  <c r="S131" i="71" s="1"/>
  <c r="K114" i="83"/>
  <c r="K219" i="83" s="1"/>
  <c r="K91" i="71" s="1"/>
  <c r="K196" i="71" s="1"/>
  <c r="K124" i="80"/>
  <c r="K136" i="80" s="1"/>
  <c r="J111" i="83"/>
  <c r="J216" i="83" s="1"/>
  <c r="J88" i="71" s="1"/>
  <c r="J193" i="71" s="1"/>
  <c r="J121" i="80"/>
  <c r="J133" i="80" s="1"/>
  <c r="S122" i="80"/>
  <c r="S134" i="80" s="1"/>
  <c r="S112" i="83"/>
  <c r="S217" i="83" s="1"/>
  <c r="S89" i="71" s="1"/>
  <c r="S194" i="71" s="1"/>
  <c r="K106" i="83"/>
  <c r="K211" i="83" s="1"/>
  <c r="K83" i="71" s="1"/>
  <c r="K188" i="71" s="1"/>
  <c r="K116" i="80"/>
  <c r="K128" i="80" s="1"/>
  <c r="K105" i="83"/>
  <c r="K210" i="83" s="1"/>
  <c r="K82" i="71" s="1"/>
  <c r="K187" i="71" s="1"/>
  <c r="S95" i="83"/>
  <c r="S183" i="83" s="1"/>
  <c r="S54" i="71" s="1"/>
  <c r="S159" i="71" s="1"/>
  <c r="S94" i="80"/>
  <c r="S106" i="80" s="1"/>
  <c r="J102" i="83"/>
  <c r="J190" i="83" s="1"/>
  <c r="J61" i="71" s="1"/>
  <c r="J166" i="71" s="1"/>
  <c r="J101" i="80"/>
  <c r="J113" i="80" s="1"/>
  <c r="J110" i="83"/>
  <c r="J215" i="83" s="1"/>
  <c r="J87" i="71" s="1"/>
  <c r="J192" i="71" s="1"/>
  <c r="J120" i="80"/>
  <c r="J132" i="80" s="1"/>
  <c r="S82" i="83"/>
  <c r="S153" i="83" s="1"/>
  <c r="S23" i="71" s="1"/>
  <c r="S128" i="71" s="1"/>
  <c r="S81" i="83"/>
  <c r="S152" i="83" s="1"/>
  <c r="S22" i="71" s="1"/>
  <c r="S127" i="71" s="1"/>
  <c r="S70" i="80"/>
  <c r="S82" i="80" s="1"/>
  <c r="L101" i="83"/>
  <c r="L189" i="83" s="1"/>
  <c r="L60" i="71" s="1"/>
  <c r="L165" i="71" s="1"/>
  <c r="L100" i="80"/>
  <c r="L112" i="80" s="1"/>
  <c r="L114" i="83"/>
  <c r="L219" i="83" s="1"/>
  <c r="L91" i="71" s="1"/>
  <c r="L196" i="71" s="1"/>
  <c r="L124" i="80"/>
  <c r="L136" i="80" s="1"/>
  <c r="S99" i="83"/>
  <c r="S187" i="83" s="1"/>
  <c r="S58" i="71" s="1"/>
  <c r="S163" i="71" s="1"/>
  <c r="S98" i="80"/>
  <c r="S110" i="80" s="1"/>
  <c r="L118" i="80"/>
  <c r="L130" i="80" s="1"/>
  <c r="L108" i="83"/>
  <c r="L213" i="83" s="1"/>
  <c r="L85" i="71" s="1"/>
  <c r="L190" i="71" s="1"/>
  <c r="L107" i="83"/>
  <c r="L212" i="83" s="1"/>
  <c r="L84" i="71" s="1"/>
  <c r="L189" i="71" s="1"/>
  <c r="L117" i="80"/>
  <c r="L129" i="80" s="1"/>
  <c r="S123" i="80"/>
  <c r="S135" i="80" s="1"/>
  <c r="S113" i="83"/>
  <c r="S218" i="83" s="1"/>
  <c r="S90" i="71" s="1"/>
  <c r="S195" i="71" s="1"/>
  <c r="S90" i="83"/>
  <c r="S161" i="83" s="1"/>
  <c r="S31" i="71" s="1"/>
  <c r="S136" i="71" s="1"/>
  <c r="S78" i="80"/>
  <c r="S90" i="80" s="1"/>
  <c r="L99" i="83"/>
  <c r="L187" i="83" s="1"/>
  <c r="L58" i="71" s="1"/>
  <c r="L163" i="71" s="1"/>
  <c r="L98" i="80"/>
  <c r="L110" i="80" s="1"/>
  <c r="K98" i="83"/>
  <c r="K186" i="83" s="1"/>
  <c r="K57" i="71" s="1"/>
  <c r="K162" i="71" s="1"/>
  <c r="K97" i="80"/>
  <c r="K109" i="80" s="1"/>
  <c r="J72" i="80"/>
  <c r="J84" i="80" s="1"/>
  <c r="J84" i="83"/>
  <c r="J155" i="83" s="1"/>
  <c r="J25" i="71" s="1"/>
  <c r="J130" i="71" s="1"/>
  <c r="K101" i="83"/>
  <c r="K189" i="83" s="1"/>
  <c r="K60" i="71" s="1"/>
  <c r="K165" i="71" s="1"/>
  <c r="K100" i="80"/>
  <c r="K112" i="80" s="1"/>
  <c r="K75" i="80"/>
  <c r="K87" i="80" s="1"/>
  <c r="K87" i="83"/>
  <c r="K158" i="83" s="1"/>
  <c r="K28" i="71" s="1"/>
  <c r="K133" i="71" s="1"/>
  <c r="L85" i="83"/>
  <c r="L156" i="83" s="1"/>
  <c r="L26" i="71" s="1"/>
  <c r="L131" i="71" s="1"/>
  <c r="L73" i="80"/>
  <c r="L85" i="80" s="1"/>
  <c r="L86" i="83"/>
  <c r="L157" i="83" s="1"/>
  <c r="L27" i="71" s="1"/>
  <c r="L132" i="71" s="1"/>
  <c r="L74" i="80"/>
  <c r="L86" i="80" s="1"/>
  <c r="J83" i="83"/>
  <c r="J154" i="83" s="1"/>
  <c r="J24" i="71" s="1"/>
  <c r="J129" i="71" s="1"/>
  <c r="J71" i="80"/>
  <c r="J83" i="80" s="1"/>
  <c r="S96" i="80"/>
  <c r="S108" i="80" s="1"/>
  <c r="S97" i="83"/>
  <c r="S185" i="83" s="1"/>
  <c r="S56" i="71" s="1"/>
  <c r="S161" i="71" s="1"/>
  <c r="S86" i="83"/>
  <c r="S157" i="83" s="1"/>
  <c r="S27" i="71" s="1"/>
  <c r="S132" i="71" s="1"/>
  <c r="S74" i="80"/>
  <c r="S86" i="80" s="1"/>
  <c r="S71" i="80"/>
  <c r="S83" i="80" s="1"/>
  <c r="S83" i="83"/>
  <c r="S154" i="83" s="1"/>
  <c r="S24" i="71" s="1"/>
  <c r="S129" i="71" s="1"/>
  <c r="J114" i="83"/>
  <c r="J219" i="83" s="1"/>
  <c r="J91" i="71" s="1"/>
  <c r="J196" i="71" s="1"/>
  <c r="J124" i="80"/>
  <c r="J136" i="80" s="1"/>
  <c r="L123" i="80"/>
  <c r="L135" i="80" s="1"/>
  <c r="L113" i="83"/>
  <c r="L218" i="83" s="1"/>
  <c r="L90" i="71" s="1"/>
  <c r="L195" i="71" s="1"/>
  <c r="L81" i="83"/>
  <c r="L152" i="83" s="1"/>
  <c r="L22" i="71" s="1"/>
  <c r="L127" i="71" s="1"/>
  <c r="L82" i="83"/>
  <c r="L153" i="83" s="1"/>
  <c r="L23" i="71" s="1"/>
  <c r="L128" i="71" s="1"/>
  <c r="L70" i="80"/>
  <c r="L82" i="80" s="1"/>
  <c r="S101" i="83"/>
  <c r="S189" i="83" s="1"/>
  <c r="S60" i="71" s="1"/>
  <c r="S165" i="71" s="1"/>
  <c r="S100" i="80"/>
  <c r="S112" i="80" s="1"/>
  <c r="K86" i="83"/>
  <c r="K157" i="83" s="1"/>
  <c r="K27" i="71" s="1"/>
  <c r="K132" i="71" s="1"/>
  <c r="K74" i="80"/>
  <c r="K86" i="80" s="1"/>
  <c r="S118" i="80"/>
  <c r="S130" i="80" s="1"/>
  <c r="S108" i="83"/>
  <c r="S213" i="83" s="1"/>
  <c r="S85" i="71" s="1"/>
  <c r="S190" i="71" s="1"/>
  <c r="J95" i="83"/>
  <c r="J183" i="83" s="1"/>
  <c r="J54" i="71" s="1"/>
  <c r="J159" i="71" s="1"/>
  <c r="J94" i="80"/>
  <c r="J106" i="80" s="1"/>
  <c r="K78" i="80"/>
  <c r="K90" i="80" s="1"/>
  <c r="K90" i="83"/>
  <c r="K161" i="83" s="1"/>
  <c r="K31" i="71" s="1"/>
  <c r="K136" i="71" s="1"/>
  <c r="S97" i="80"/>
  <c r="S109" i="80" s="1"/>
  <c r="S98" i="83"/>
  <c r="S186" i="83" s="1"/>
  <c r="S57" i="71" s="1"/>
  <c r="S162" i="71" s="1"/>
  <c r="K96" i="80"/>
  <c r="K108" i="80" s="1"/>
  <c r="K97" i="83"/>
  <c r="K185" i="83" s="1"/>
  <c r="K56" i="71" s="1"/>
  <c r="K161" i="71" s="1"/>
  <c r="S93" i="80"/>
  <c r="S105" i="80" s="1"/>
  <c r="S93" i="83"/>
  <c r="S181" i="83" s="1"/>
  <c r="S52" i="71" s="1"/>
  <c r="S157" i="71" s="1"/>
  <c r="S94" i="83"/>
  <c r="S182" i="83" s="1"/>
  <c r="S53" i="71" s="1"/>
  <c r="S158" i="71" s="1"/>
  <c r="L102" i="83"/>
  <c r="L190" i="83" s="1"/>
  <c r="L61" i="71" s="1"/>
  <c r="L166" i="71" s="1"/>
  <c r="L101" i="80"/>
  <c r="L113" i="80" s="1"/>
  <c r="S77" i="80"/>
  <c r="S89" i="80" s="1"/>
  <c r="S89" i="83"/>
  <c r="S160" i="83" s="1"/>
  <c r="S30" i="71" s="1"/>
  <c r="S135" i="71" s="1"/>
  <c r="S95" i="80"/>
  <c r="S107" i="80" s="1"/>
  <c r="S96" i="83"/>
  <c r="S184" i="83" s="1"/>
  <c r="S55" i="71" s="1"/>
  <c r="S160" i="71" s="1"/>
  <c r="J93" i="80"/>
  <c r="J105" i="80" s="1"/>
  <c r="J93" i="83"/>
  <c r="J181" i="83" s="1"/>
  <c r="J52" i="71" s="1"/>
  <c r="J157" i="71" s="1"/>
  <c r="J94" i="83"/>
  <c r="J182" i="83" s="1"/>
  <c r="J53" i="71" s="1"/>
  <c r="J158" i="71" s="1"/>
  <c r="K84" i="83"/>
  <c r="K155" i="83" s="1"/>
  <c r="K25" i="71" s="1"/>
  <c r="K130" i="71" s="1"/>
  <c r="K72" i="80"/>
  <c r="K84" i="80" s="1"/>
  <c r="J123" i="80"/>
  <c r="J135" i="80" s="1"/>
  <c r="J113" i="83"/>
  <c r="J218" i="83" s="1"/>
  <c r="J90" i="71" s="1"/>
  <c r="J195" i="71" s="1"/>
  <c r="S109" i="83"/>
  <c r="S214" i="83" s="1"/>
  <c r="S86" i="71" s="1"/>
  <c r="S191" i="71" s="1"/>
  <c r="S119" i="80"/>
  <c r="S131" i="80" s="1"/>
  <c r="K101" i="80"/>
  <c r="K113" i="80" s="1"/>
  <c r="K102" i="83"/>
  <c r="K190" i="83" s="1"/>
  <c r="K61" i="71" s="1"/>
  <c r="K166" i="71" s="1"/>
  <c r="S110" i="83"/>
  <c r="S215" i="83" s="1"/>
  <c r="S87" i="71" s="1"/>
  <c r="S192" i="71" s="1"/>
  <c r="S120" i="80"/>
  <c r="S132" i="80" s="1"/>
  <c r="S99" i="80"/>
  <c r="S111" i="80" s="1"/>
  <c r="S100" i="83"/>
  <c r="S188" i="83" s="1"/>
  <c r="S59" i="71" s="1"/>
  <c r="S164" i="71" s="1"/>
  <c r="K93" i="80"/>
  <c r="K105" i="80" s="1"/>
  <c r="K93" i="83"/>
  <c r="K181" i="83" s="1"/>
  <c r="K52" i="71" s="1"/>
  <c r="K157" i="71" s="1"/>
  <c r="K94" i="83"/>
  <c r="K182" i="83" s="1"/>
  <c r="K53" i="71" s="1"/>
  <c r="K158" i="71" s="1"/>
  <c r="K109" i="83"/>
  <c r="K214" i="83" s="1"/>
  <c r="K86" i="71" s="1"/>
  <c r="K191" i="71" s="1"/>
  <c r="K119" i="80"/>
  <c r="K131" i="80" s="1"/>
  <c r="J90" i="83"/>
  <c r="J161" i="83" s="1"/>
  <c r="J31" i="71" s="1"/>
  <c r="J136" i="71" s="1"/>
  <c r="J78" i="80"/>
  <c r="J90" i="80" s="1"/>
  <c r="J86" i="83"/>
  <c r="J157" i="83" s="1"/>
  <c r="J27" i="71" s="1"/>
  <c r="J132" i="71" s="1"/>
  <c r="J74" i="80"/>
  <c r="J86" i="80" s="1"/>
  <c r="K107" i="83"/>
  <c r="K212" i="83" s="1"/>
  <c r="K84" i="71" s="1"/>
  <c r="K189" i="71" s="1"/>
  <c r="K117" i="80"/>
  <c r="K129" i="80" s="1"/>
  <c r="L89" i="83"/>
  <c r="L160" i="83" s="1"/>
  <c r="L30" i="71" s="1"/>
  <c r="L135" i="71" s="1"/>
  <c r="L77" i="80"/>
  <c r="L89" i="80" s="1"/>
  <c r="L90" i="83"/>
  <c r="L161" i="83" s="1"/>
  <c r="L31" i="71" s="1"/>
  <c r="L136" i="71" s="1"/>
  <c r="L78" i="80"/>
  <c r="L90" i="80" s="1"/>
  <c r="L116" i="80"/>
  <c r="L128" i="80" s="1"/>
  <c r="L106" i="83"/>
  <c r="L211" i="83" s="1"/>
  <c r="L83" i="71" s="1"/>
  <c r="L188" i="71" s="1"/>
  <c r="L105" i="83"/>
  <c r="L210" i="83" s="1"/>
  <c r="L82" i="71" s="1"/>
  <c r="L187" i="71" s="1"/>
  <c r="L72" i="80"/>
  <c r="L84" i="80" s="1"/>
  <c r="L84" i="83"/>
  <c r="L155" i="83" s="1"/>
  <c r="L25" i="71" s="1"/>
  <c r="L130" i="71" s="1"/>
  <c r="L95" i="83"/>
  <c r="L183" i="83" s="1"/>
  <c r="L54" i="71" s="1"/>
  <c r="L159" i="71" s="1"/>
  <c r="L94" i="80"/>
  <c r="L106" i="80" s="1"/>
  <c r="J96" i="80"/>
  <c r="J108" i="80" s="1"/>
  <c r="J97" i="83"/>
  <c r="J185" i="83" s="1"/>
  <c r="J56" i="71" s="1"/>
  <c r="J161" i="71" s="1"/>
  <c r="S124" i="80"/>
  <c r="S136" i="80" s="1"/>
  <c r="S114" i="83"/>
  <c r="S219" i="83" s="1"/>
  <c r="S91" i="71" s="1"/>
  <c r="S196" i="71" s="1"/>
  <c r="L121" i="80"/>
  <c r="L133" i="80" s="1"/>
  <c r="L111" i="83"/>
  <c r="L216" i="83" s="1"/>
  <c r="L88" i="71" s="1"/>
  <c r="L193" i="71" s="1"/>
  <c r="K76" i="80"/>
  <c r="K88" i="80" s="1"/>
  <c r="K88" i="83"/>
  <c r="K159" i="83" s="1"/>
  <c r="K29" i="71" s="1"/>
  <c r="K134" i="71" s="1"/>
  <c r="J108" i="83"/>
  <c r="J213" i="83" s="1"/>
  <c r="J85" i="71" s="1"/>
  <c r="J190" i="71" s="1"/>
  <c r="J118" i="80"/>
  <c r="J130" i="80" s="1"/>
  <c r="K77" i="80"/>
  <c r="K89" i="80" s="1"/>
  <c r="K89" i="83"/>
  <c r="K160" i="83" s="1"/>
  <c r="K30" i="71" s="1"/>
  <c r="K135" i="71" s="1"/>
  <c r="L99" i="80"/>
  <c r="L111" i="80" s="1"/>
  <c r="L100" i="83"/>
  <c r="L188" i="83" s="1"/>
  <c r="L59" i="71" s="1"/>
  <c r="L164" i="71" s="1"/>
  <c r="S72" i="80"/>
  <c r="S84" i="80" s="1"/>
  <c r="S84" i="83"/>
  <c r="S155" i="83" s="1"/>
  <c r="S25" i="71" s="1"/>
  <c r="S130" i="71" s="1"/>
  <c r="L119" i="80"/>
  <c r="L131" i="80" s="1"/>
  <c r="L109" i="83"/>
  <c r="L214" i="83" s="1"/>
  <c r="L86" i="71" s="1"/>
  <c r="L191" i="71" s="1"/>
  <c r="L110" i="83"/>
  <c r="L215" i="83" s="1"/>
  <c r="L87" i="71" s="1"/>
  <c r="L192" i="71" s="1"/>
  <c r="L120" i="80"/>
  <c r="L132" i="80" s="1"/>
  <c r="J59" i="71"/>
  <c r="J164" i="71" s="1"/>
  <c r="J29" i="71"/>
  <c r="J134" i="71" s="1"/>
  <c r="T275" i="80"/>
  <c r="M275" i="80"/>
  <c r="J148" i="80"/>
  <c r="O208" i="80"/>
  <c r="O176" i="80"/>
  <c r="O177" i="80" s="1"/>
  <c r="A4" i="53"/>
  <c r="J42" i="55"/>
  <c r="T208" i="80"/>
  <c r="T176" i="80"/>
  <c r="T177" i="80" s="1"/>
  <c r="M176" i="80"/>
  <c r="M177" i="80" s="1"/>
  <c r="M208" i="80"/>
  <c r="N176" i="80"/>
  <c r="N177" i="80" s="1"/>
  <c r="N208" i="80"/>
  <c r="K146" i="80" l="1"/>
  <c r="K172" i="80" s="1"/>
  <c r="K273" i="80" s="1"/>
  <c r="K149" i="80"/>
  <c r="K175" i="80" s="1"/>
  <c r="K276" i="80" s="1"/>
  <c r="L149" i="80"/>
  <c r="L175" i="80" s="1"/>
  <c r="L276" i="80" s="1"/>
  <c r="K147" i="80"/>
  <c r="K173" i="80" s="1"/>
  <c r="K274" i="80" s="1"/>
  <c r="K148" i="80"/>
  <c r="K174" i="80" s="1"/>
  <c r="K275" i="80" s="1"/>
  <c r="J150" i="80"/>
  <c r="J176" i="80" s="1"/>
  <c r="S145" i="80"/>
  <c r="S171" i="80" s="1"/>
  <c r="S272" i="80" s="1"/>
  <c r="S148" i="80"/>
  <c r="S174" i="80" s="1"/>
  <c r="S275" i="80" s="1"/>
  <c r="L144" i="80"/>
  <c r="L170" i="80" s="1"/>
  <c r="L271" i="80" s="1"/>
  <c r="K150" i="80"/>
  <c r="L146" i="80"/>
  <c r="L172" i="80" s="1"/>
  <c r="L273" i="80" s="1"/>
  <c r="S142" i="80"/>
  <c r="S168" i="80" s="1"/>
  <c r="L147" i="80"/>
  <c r="L173" i="80" s="1"/>
  <c r="L274" i="80" s="1"/>
  <c r="L148" i="80"/>
  <c r="L174" i="80" s="1"/>
  <c r="L275" i="80" s="1"/>
  <c r="K143" i="80"/>
  <c r="K169" i="80" s="1"/>
  <c r="K270" i="80" s="1"/>
  <c r="J147" i="80"/>
  <c r="K144" i="80"/>
  <c r="K170" i="80" s="1"/>
  <c r="K271" i="80" s="1"/>
  <c r="S149" i="80"/>
  <c r="S175" i="80" s="1"/>
  <c r="S276" i="80" s="1"/>
  <c r="L142" i="80"/>
  <c r="L168" i="80" s="1"/>
  <c r="S143" i="80"/>
  <c r="S169" i="80" s="1"/>
  <c r="S270" i="80" s="1"/>
  <c r="J144" i="80"/>
  <c r="J142" i="80"/>
  <c r="S147" i="80"/>
  <c r="S173" i="80" s="1"/>
  <c r="S274" i="80" s="1"/>
  <c r="J149" i="80"/>
  <c r="K145" i="80"/>
  <c r="K171" i="80" s="1"/>
  <c r="K272" i="80" s="1"/>
  <c r="S144" i="80"/>
  <c r="S170" i="80" s="1"/>
  <c r="S271" i="80" s="1"/>
  <c r="J146" i="80"/>
  <c r="L150" i="80"/>
  <c r="S146" i="80"/>
  <c r="S172" i="80" s="1"/>
  <c r="S273" i="80" s="1"/>
  <c r="J143" i="80"/>
  <c r="L145" i="80"/>
  <c r="L171" i="80" s="1"/>
  <c r="L272" i="80" s="1"/>
  <c r="S150" i="80"/>
  <c r="L143" i="80"/>
  <c r="L169" i="80" s="1"/>
  <c r="L270" i="80" s="1"/>
  <c r="K142" i="80"/>
  <c r="K168" i="80" s="1"/>
  <c r="K269" i="80" s="1"/>
  <c r="J145" i="80"/>
  <c r="J174" i="80"/>
  <c r="J275" i="80" s="1"/>
  <c r="W260" i="80"/>
  <c r="J208" i="80" l="1"/>
  <c r="H275" i="80"/>
  <c r="J171" i="80"/>
  <c r="J272" i="80" s="1"/>
  <c r="H272" i="80" s="1"/>
  <c r="H157" i="80"/>
  <c r="J172" i="80"/>
  <c r="J273" i="80" s="1"/>
  <c r="H273" i="80" s="1"/>
  <c r="H158" i="80"/>
  <c r="H161" i="80"/>
  <c r="J175" i="80"/>
  <c r="J276" i="80" s="1"/>
  <c r="H276" i="80" s="1"/>
  <c r="J173" i="80"/>
  <c r="J274" i="80" s="1"/>
  <c r="H274" i="80" s="1"/>
  <c r="H159" i="80"/>
  <c r="S269" i="80"/>
  <c r="S176" i="80"/>
  <c r="S177" i="80" s="1"/>
  <c r="S208" i="80"/>
  <c r="J170" i="80"/>
  <c r="J271" i="80" s="1"/>
  <c r="H271" i="80" s="1"/>
  <c r="H156" i="80"/>
  <c r="J169" i="80"/>
  <c r="J270" i="80" s="1"/>
  <c r="H270" i="80" s="1"/>
  <c r="H155" i="80"/>
  <c r="L269" i="80"/>
  <c r="L176" i="80"/>
  <c r="L177" i="80" s="1"/>
  <c r="L208" i="80"/>
  <c r="J168" i="80"/>
  <c r="H154" i="80"/>
  <c r="K176" i="80"/>
  <c r="K177" i="80" s="1"/>
  <c r="K208" i="80"/>
  <c r="H162" i="80"/>
  <c r="H160" i="80"/>
  <c r="V260" i="80"/>
  <c r="U260" i="80"/>
  <c r="H210" i="80" l="1"/>
  <c r="H234" i="80" s="1"/>
  <c r="AF247" i="80" s="1"/>
  <c r="J269" i="80"/>
  <c r="H269" i="80" s="1"/>
  <c r="J177" i="80"/>
  <c r="J46" i="82" a="1"/>
  <c r="H32" i="73" l="1"/>
  <c r="P141" i="73" s="1"/>
  <c r="AM247" i="80"/>
  <c r="X247" i="80"/>
  <c r="AN260" i="80"/>
  <c r="V247" i="80"/>
  <c r="V277" i="80" s="1"/>
  <c r="AA260" i="80"/>
  <c r="K247" i="80"/>
  <c r="N260" i="80"/>
  <c r="S247" i="80"/>
  <c r="AP260" i="80"/>
  <c r="Y260" i="80"/>
  <c r="AI260" i="80"/>
  <c r="AA247" i="80"/>
  <c r="Z247" i="80"/>
  <c r="Y247" i="80"/>
  <c r="Q260" i="80"/>
  <c r="AE247" i="80"/>
  <c r="U247" i="80"/>
  <c r="U277" i="80" s="1"/>
  <c r="T247" i="80"/>
  <c r="P260" i="80"/>
  <c r="W247" i="80"/>
  <c r="W277" i="80" s="1"/>
  <c r="AP247" i="80"/>
  <c r="S260" i="80"/>
  <c r="AC260" i="80"/>
  <c r="AI247" i="80"/>
  <c r="T260" i="80"/>
  <c r="J260" i="80"/>
  <c r="AH260" i="80"/>
  <c r="K260" i="80"/>
  <c r="AJ247" i="80"/>
  <c r="AO247" i="80"/>
  <c r="AL247" i="80"/>
  <c r="AO260" i="80"/>
  <c r="AL260" i="80"/>
  <c r="AN247" i="80"/>
  <c r="AM260" i="80"/>
  <c r="AG247" i="80"/>
  <c r="Z260" i="80"/>
  <c r="AJ260" i="80"/>
  <c r="M260" i="80"/>
  <c r="L247" i="80"/>
  <c r="L277" i="80" s="1"/>
  <c r="AD260" i="80"/>
  <c r="O247" i="80"/>
  <c r="O277" i="80" s="1"/>
  <c r="AK260" i="80"/>
  <c r="X260" i="80"/>
  <c r="AC247" i="80"/>
  <c r="AB260" i="80"/>
  <c r="AK247" i="80"/>
  <c r="J247" i="80"/>
  <c r="AG260" i="80"/>
  <c r="Q247" i="80"/>
  <c r="R247" i="80"/>
  <c r="P247" i="80"/>
  <c r="N247" i="80"/>
  <c r="AE260" i="80"/>
  <c r="AF260" i="80"/>
  <c r="AF277" i="80" s="1"/>
  <c r="AB247" i="80"/>
  <c r="AH247" i="80"/>
  <c r="M247" i="80"/>
  <c r="R260" i="80"/>
  <c r="AD247" i="80"/>
  <c r="J46" i="82"/>
  <c r="N46" i="82"/>
  <c r="M46" i="82"/>
  <c r="L46" i="82"/>
  <c r="O46" i="82"/>
  <c r="K46" i="82"/>
  <c r="T141" i="73" l="1"/>
  <c r="T201" i="73" s="1"/>
  <c r="J141" i="73"/>
  <c r="J271" i="73" s="1"/>
  <c r="J34" i="74" s="1"/>
  <c r="J79" i="74" s="1"/>
  <c r="S141" i="73"/>
  <c r="S271" i="73" s="1"/>
  <c r="S34" i="74" s="1"/>
  <c r="S79" i="74" s="1"/>
  <c r="X171" i="73"/>
  <c r="X231" i="73" s="1"/>
  <c r="W171" i="73"/>
  <c r="W231" i="73" s="1"/>
  <c r="Z141" i="73"/>
  <c r="Z271" i="73" s="1"/>
  <c r="Z34" i="74" s="1"/>
  <c r="Z79" i="74" s="1"/>
  <c r="V141" i="73"/>
  <c r="V201" i="73" s="1"/>
  <c r="M141" i="73"/>
  <c r="M271" i="73" s="1"/>
  <c r="M34" i="74" s="1"/>
  <c r="M79" i="74" s="1"/>
  <c r="AB141" i="73"/>
  <c r="AB201" i="73" s="1"/>
  <c r="AB171" i="73"/>
  <c r="AB231" i="73" s="1"/>
  <c r="P171" i="73"/>
  <c r="P231" i="73" s="1"/>
  <c r="L171" i="73"/>
  <c r="L231" i="73" s="1"/>
  <c r="Z171" i="73"/>
  <c r="Z231" i="73" s="1"/>
  <c r="AD277" i="80"/>
  <c r="AA171" i="73"/>
  <c r="AA231" i="73" s="1"/>
  <c r="R171" i="73"/>
  <c r="R231" i="73" s="1"/>
  <c r="X141" i="73"/>
  <c r="X271" i="73" s="1"/>
  <c r="X34" i="74" s="1"/>
  <c r="X79" i="74" s="1"/>
  <c r="S171" i="73"/>
  <c r="S231" i="73" s="1"/>
  <c r="V171" i="73"/>
  <c r="V231" i="73" s="1"/>
  <c r="Y277" i="80"/>
  <c r="AP277" i="80"/>
  <c r="AK277" i="80"/>
  <c r="AA277" i="80"/>
  <c r="AM277" i="80"/>
  <c r="AH277" i="80"/>
  <c r="M277" i="80"/>
  <c r="Q141" i="73"/>
  <c r="Q271" i="73" s="1"/>
  <c r="Q34" i="74" s="1"/>
  <c r="Q79" i="74" s="1"/>
  <c r="Q109" i="74" s="1"/>
  <c r="Q141" i="74" s="1"/>
  <c r="J171" i="73"/>
  <c r="J231" i="73" s="1"/>
  <c r="N141" i="73"/>
  <c r="N201" i="73" s="1"/>
  <c r="T171" i="73"/>
  <c r="T231" i="73" s="1"/>
  <c r="U171" i="73"/>
  <c r="U231" i="73" s="1"/>
  <c r="O141" i="73"/>
  <c r="O201" i="73" s="1"/>
  <c r="Q171" i="73"/>
  <c r="Q231" i="73" s="1"/>
  <c r="Y141" i="73"/>
  <c r="AA141" i="73"/>
  <c r="N171" i="73"/>
  <c r="N231" i="73" s="1"/>
  <c r="L141" i="73"/>
  <c r="L271" i="73" s="1"/>
  <c r="L34" i="74" s="1"/>
  <c r="L79" i="74" s="1"/>
  <c r="K171" i="73"/>
  <c r="K231" i="73" s="1"/>
  <c r="R141" i="73"/>
  <c r="M171" i="73"/>
  <c r="M231" i="73" s="1"/>
  <c r="Y171" i="73"/>
  <c r="Y231" i="73" s="1"/>
  <c r="P277" i="80"/>
  <c r="AC277" i="80"/>
  <c r="AJ277" i="80"/>
  <c r="X277" i="80"/>
  <c r="Q277" i="80"/>
  <c r="AI277" i="80"/>
  <c r="P201" i="73"/>
  <c r="P271" i="73"/>
  <c r="P34" i="74" s="1"/>
  <c r="P79" i="74" s="1"/>
  <c r="P109" i="74" s="1"/>
  <c r="P141" i="74" s="1"/>
  <c r="N277" i="80"/>
  <c r="AN277" i="80"/>
  <c r="AO277" i="80"/>
  <c r="K141" i="73"/>
  <c r="W141" i="73"/>
  <c r="O171" i="73"/>
  <c r="O231" i="73" s="1"/>
  <c r="U141" i="73"/>
  <c r="K277" i="80"/>
  <c r="J277" i="80"/>
  <c r="AE277" i="80"/>
  <c r="AB277" i="80"/>
  <c r="AG277" i="80"/>
  <c r="S277" i="80"/>
  <c r="AL277" i="80"/>
  <c r="Z277" i="80"/>
  <c r="T277" i="80"/>
  <c r="R277" i="80"/>
  <c r="T271" i="73" l="1"/>
  <c r="T34" i="74" s="1"/>
  <c r="T79" i="74" s="1"/>
  <c r="S201" i="73"/>
  <c r="V271" i="73"/>
  <c r="V34" i="74" s="1"/>
  <c r="V79" i="74" s="1"/>
  <c r="Z201" i="73"/>
  <c r="J201" i="73"/>
  <c r="X201" i="73"/>
  <c r="M201" i="73"/>
  <c r="AB271" i="73"/>
  <c r="AB34" i="74" s="1"/>
  <c r="AB79" i="74" s="1"/>
  <c r="N271" i="73"/>
  <c r="N34" i="74" s="1"/>
  <c r="N79" i="74" s="1"/>
  <c r="O271" i="73"/>
  <c r="O34" i="74" s="1"/>
  <c r="O79" i="74" s="1"/>
  <c r="Q201" i="73"/>
  <c r="L201" i="73"/>
  <c r="Y271" i="73"/>
  <c r="Y34" i="74" s="1"/>
  <c r="Y79" i="74" s="1"/>
  <c r="Y201" i="73"/>
  <c r="AA201" i="73"/>
  <c r="AA271" i="73"/>
  <c r="AA34" i="74" s="1"/>
  <c r="AA79" i="74" s="1"/>
  <c r="R201" i="73"/>
  <c r="R271" i="73"/>
  <c r="R34" i="74" s="1"/>
  <c r="R79" i="74" s="1"/>
  <c r="R109" i="74" s="1"/>
  <c r="R141" i="74" s="1"/>
  <c r="K271" i="73"/>
  <c r="K34" i="74" s="1"/>
  <c r="K79" i="74" s="1"/>
  <c r="K201" i="73"/>
  <c r="W201" i="73"/>
  <c r="W271" i="73"/>
  <c r="W34" i="74" s="1"/>
  <c r="W79" i="74" s="1"/>
  <c r="U201" i="73"/>
  <c r="U271" i="73"/>
  <c r="U34" i="74" s="1"/>
  <c r="U79" i="74" s="1"/>
  <c r="H277" i="80"/>
  <c r="K64" i="81" s="1" a="1"/>
  <c r="H281" i="80" a="1"/>
  <c r="H281" i="80" s="1"/>
  <c r="AB126" i="105"/>
  <c r="AB132" i="105"/>
  <c r="S109" i="74" l="1"/>
  <c r="S141" i="74" s="1"/>
  <c r="AH109" i="74"/>
  <c r="AH141" i="74" s="1"/>
  <c r="M109" i="74"/>
  <c r="M141" i="74" s="1"/>
  <c r="K109" i="74"/>
  <c r="K141" i="74" s="1"/>
  <c r="N109" i="74"/>
  <c r="N141" i="74" s="1"/>
  <c r="Y109" i="74"/>
  <c r="Y141" i="74" s="1"/>
  <c r="O109" i="74"/>
  <c r="O141" i="74" s="1"/>
  <c r="AA109" i="74"/>
  <c r="AA141" i="74" s="1"/>
  <c r="AP109" i="74"/>
  <c r="AP141" i="74" s="1"/>
  <c r="AO109" i="74"/>
  <c r="AO141" i="74" s="1"/>
  <c r="V109" i="74"/>
  <c r="V141" i="74" s="1"/>
  <c r="Z109" i="74"/>
  <c r="Z141" i="74" s="1"/>
  <c r="AE109" i="74"/>
  <c r="AE141" i="74" s="1"/>
  <c r="L109" i="74"/>
  <c r="L141" i="74" s="1"/>
  <c r="AD109" i="74"/>
  <c r="AD141" i="74" s="1"/>
  <c r="J109" i="74"/>
  <c r="J141" i="74" s="1"/>
  <c r="W109" i="74"/>
  <c r="W141" i="74" s="1"/>
  <c r="U109" i="74"/>
  <c r="U141" i="74" s="1"/>
  <c r="AC109" i="74"/>
  <c r="AC141" i="74" s="1"/>
  <c r="X109" i="74"/>
  <c r="X141" i="74" s="1"/>
  <c r="AG109" i="74"/>
  <c r="AG141" i="74" s="1"/>
  <c r="AK109" i="74"/>
  <c r="AK141" i="74" s="1"/>
  <c r="AN109" i="74"/>
  <c r="AN141" i="74" s="1"/>
  <c r="T109" i="74"/>
  <c r="T141" i="74" s="1"/>
  <c r="AJ109" i="74"/>
  <c r="AJ141" i="74" s="1"/>
  <c r="AL109" i="74"/>
  <c r="AL141" i="74" s="1"/>
  <c r="AB109" i="74"/>
  <c r="AB141" i="74" s="1"/>
  <c r="AF109" i="74"/>
  <c r="AF141" i="74" s="1"/>
  <c r="AM109" i="74"/>
  <c r="AM141" i="74" s="1"/>
  <c r="AI109" i="74"/>
  <c r="AI141" i="74" s="1"/>
  <c r="J43" i="55"/>
  <c r="A4" i="80"/>
  <c r="R64" i="81"/>
  <c r="R67" i="81" s="1"/>
  <c r="R73" i="81" s="1"/>
  <c r="R76" i="81" s="1"/>
  <c r="S64" i="81"/>
  <c r="S67" i="81" s="1"/>
  <c r="Q64" i="81"/>
  <c r="Q67" i="81" s="1"/>
  <c r="Q73" i="81" s="1"/>
  <c r="Q76" i="81" s="1"/>
  <c r="L64" i="81"/>
  <c r="L67" i="81" s="1"/>
  <c r="L73" i="81" s="1"/>
  <c r="L76" i="81" s="1"/>
  <c r="O64" i="81"/>
  <c r="O67" i="81" s="1"/>
  <c r="O73" i="81" s="1"/>
  <c r="O76" i="81" s="1"/>
  <c r="M64" i="81"/>
  <c r="M67" i="81" s="1"/>
  <c r="P64" i="81"/>
  <c r="P67" i="81" s="1"/>
  <c r="P73" i="81" s="1"/>
  <c r="P76" i="81" s="1"/>
  <c r="N64" i="81"/>
  <c r="N67" i="81" s="1"/>
  <c r="N73" i="81" s="1"/>
  <c r="N76" i="81" s="1"/>
  <c r="K64" i="81"/>
  <c r="M73" i="81" l="1"/>
  <c r="M76" i="81" s="1"/>
  <c r="S73" i="81"/>
  <c r="S76" i="81" s="1"/>
  <c r="J65" i="81"/>
  <c r="J67" i="81" s="1"/>
  <c r="J100" i="81" s="1"/>
  <c r="J115" i="81" s="1"/>
  <c r="K67" i="81"/>
  <c r="O108" i="81"/>
  <c r="N47" i="82" s="1"/>
  <c r="R108" i="81"/>
  <c r="Q47" i="82" s="1"/>
  <c r="N108" i="81"/>
  <c r="M47" i="82" s="1"/>
  <c r="L108" i="81"/>
  <c r="P108" i="81"/>
  <c r="O47" i="82" s="1"/>
  <c r="Q108" i="81"/>
  <c r="P47" i="82" s="1"/>
  <c r="H123" i="81" l="1"/>
  <c r="H21" i="76" s="1"/>
  <c r="H35" i="76" s="1"/>
  <c r="R42" i="76" s="1"/>
  <c r="R55" i="74" s="1"/>
  <c r="R156" i="74" s="1"/>
  <c r="R78" i="81"/>
  <c r="R97" i="81" s="1"/>
  <c r="R100" i="81" s="1"/>
  <c r="R115" i="81" s="1"/>
  <c r="Q78" i="81"/>
  <c r="Q97" i="81" s="1"/>
  <c r="Q100" i="81" s="1"/>
  <c r="Q115" i="81" s="1"/>
  <c r="K78" i="81"/>
  <c r="K97" i="81" s="1"/>
  <c r="K100" i="81" s="1"/>
  <c r="K115" i="81" s="1"/>
  <c r="N78" i="81"/>
  <c r="N97" i="81" s="1"/>
  <c r="N100" i="81" s="1"/>
  <c r="N115" i="81" s="1"/>
  <c r="P78" i="81"/>
  <c r="P97" i="81" s="1"/>
  <c r="P100" i="81" s="1"/>
  <c r="P115" i="81" s="1"/>
  <c r="L78" i="81"/>
  <c r="L97" i="81" s="1"/>
  <c r="L100" i="81" s="1"/>
  <c r="L115" i="81" s="1"/>
  <c r="S78" i="81"/>
  <c r="S97" i="81" s="1"/>
  <c r="S100" i="81" s="1"/>
  <c r="S115" i="81" s="1"/>
  <c r="S108" i="81"/>
  <c r="R47" i="82" s="1"/>
  <c r="U78" i="81"/>
  <c r="U97" i="81" s="1"/>
  <c r="K47" i="82"/>
  <c r="M108" i="81"/>
  <c r="L47" i="82" s="1"/>
  <c r="M78" i="81"/>
  <c r="M97" i="81" s="1"/>
  <c r="M100" i="81" s="1"/>
  <c r="M115" i="81" s="1"/>
  <c r="T78" i="81"/>
  <c r="T97" i="81" s="1"/>
  <c r="O78" i="81"/>
  <c r="O97" i="81" s="1"/>
  <c r="O100" i="81" s="1"/>
  <c r="O115" i="81" s="1"/>
  <c r="U43" i="76" l="1"/>
  <c r="U56" i="74" s="1"/>
  <c r="U157" i="74" s="1"/>
  <c r="T43" i="76"/>
  <c r="T56" i="74" s="1"/>
  <c r="T157" i="74" s="1"/>
  <c r="AB42" i="76"/>
  <c r="Y44" i="76"/>
  <c r="Y46" i="71" s="1"/>
  <c r="Y151" i="71" s="1"/>
  <c r="AO42" i="76"/>
  <c r="AO55" i="74" s="1"/>
  <c r="AO156" i="74" s="1"/>
  <c r="S43" i="76"/>
  <c r="S56" i="74" s="1"/>
  <c r="S157" i="74" s="1"/>
  <c r="AE43" i="76"/>
  <c r="AE56" i="74" s="1"/>
  <c r="AE157" i="74" s="1"/>
  <c r="O42" i="76"/>
  <c r="O55" i="74" s="1"/>
  <c r="O156" i="74" s="1"/>
  <c r="AM42" i="76"/>
  <c r="AM55" i="74" s="1"/>
  <c r="AM156" i="74" s="1"/>
  <c r="AB43" i="76"/>
  <c r="N43" i="76"/>
  <c r="N56" i="74" s="1"/>
  <c r="N157" i="74" s="1"/>
  <c r="M43" i="76"/>
  <c r="M56" i="74" s="1"/>
  <c r="M157" i="74" s="1"/>
  <c r="T42" i="76"/>
  <c r="T55" i="74" s="1"/>
  <c r="T156" i="74" s="1"/>
  <c r="AC43" i="76"/>
  <c r="AC56" i="74" s="1"/>
  <c r="AC157" i="74" s="1"/>
  <c r="AN43" i="76"/>
  <c r="AN56" i="74" s="1"/>
  <c r="AN157" i="74" s="1"/>
  <c r="AL43" i="76"/>
  <c r="AL56" i="74" s="1"/>
  <c r="AL157" i="74" s="1"/>
  <c r="AF43" i="76"/>
  <c r="AF56" i="74" s="1"/>
  <c r="AF157" i="74" s="1"/>
  <c r="AH42" i="76"/>
  <c r="AH55" i="74" s="1"/>
  <c r="AH156" i="74" s="1"/>
  <c r="X43" i="76"/>
  <c r="AP43" i="76"/>
  <c r="AP56" i="74" s="1"/>
  <c r="AP157" i="74" s="1"/>
  <c r="AB44" i="76"/>
  <c r="AB106" i="71" s="1"/>
  <c r="AB211" i="71" s="1"/>
  <c r="AF42" i="76"/>
  <c r="AF55" i="74" s="1"/>
  <c r="AF156" i="74" s="1"/>
  <c r="Z44" i="76"/>
  <c r="Z46" i="71" s="1"/>
  <c r="Z151" i="71" s="1"/>
  <c r="W42" i="76"/>
  <c r="W55" i="74" s="1"/>
  <c r="W156" i="74" s="1"/>
  <c r="AG42" i="76"/>
  <c r="AG55" i="74" s="1"/>
  <c r="AG156" i="74" s="1"/>
  <c r="P43" i="76"/>
  <c r="P56" i="74" s="1"/>
  <c r="P157" i="74" s="1"/>
  <c r="Y42" i="76"/>
  <c r="AA43" i="76"/>
  <c r="K42" i="76"/>
  <c r="K55" i="74" s="1"/>
  <c r="K156" i="74" s="1"/>
  <c r="Z43" i="76"/>
  <c r="AD42" i="76"/>
  <c r="AD55" i="74" s="1"/>
  <c r="AD156" i="74" s="1"/>
  <c r="K43" i="76"/>
  <c r="K56" i="74" s="1"/>
  <c r="K157" i="74" s="1"/>
  <c r="R43" i="76"/>
  <c r="R56" i="74" s="1"/>
  <c r="R157" i="74" s="1"/>
  <c r="N42" i="76"/>
  <c r="N55" i="74" s="1"/>
  <c r="N156" i="74" s="1"/>
  <c r="O43" i="76"/>
  <c r="O56" i="74" s="1"/>
  <c r="O157" i="74" s="1"/>
  <c r="AE42" i="76"/>
  <c r="AE55" i="74" s="1"/>
  <c r="AE156" i="74" s="1"/>
  <c r="L43" i="76"/>
  <c r="L56" i="74" s="1"/>
  <c r="L157" i="74" s="1"/>
  <c r="M42" i="76"/>
  <c r="M55" i="74" s="1"/>
  <c r="M156" i="74" s="1"/>
  <c r="U42" i="76"/>
  <c r="U55" i="74" s="1"/>
  <c r="U156" i="74" s="1"/>
  <c r="AA44" i="76"/>
  <c r="AA46" i="71" s="1"/>
  <c r="AA151" i="71" s="1"/>
  <c r="AC42" i="76"/>
  <c r="AC55" i="74" s="1"/>
  <c r="AC156" i="74" s="1"/>
  <c r="J42" i="76"/>
  <c r="J55" i="74" s="1"/>
  <c r="J156" i="74" s="1"/>
  <c r="AI43" i="76"/>
  <c r="AI56" i="74" s="1"/>
  <c r="AI157" i="74" s="1"/>
  <c r="AK42" i="76"/>
  <c r="AK55" i="74" s="1"/>
  <c r="AK156" i="74" s="1"/>
  <c r="X44" i="76"/>
  <c r="X46" i="71" s="1"/>
  <c r="X151" i="71" s="1"/>
  <c r="AM43" i="76"/>
  <c r="AM56" i="74" s="1"/>
  <c r="AM157" i="74" s="1"/>
  <c r="Q43" i="76"/>
  <c r="Q56" i="74" s="1"/>
  <c r="Q157" i="74" s="1"/>
  <c r="S42" i="76"/>
  <c r="S55" i="74" s="1"/>
  <c r="S156" i="74" s="1"/>
  <c r="AN42" i="76"/>
  <c r="AN55" i="74" s="1"/>
  <c r="AN156" i="74" s="1"/>
  <c r="X42" i="76"/>
  <c r="Q42" i="76"/>
  <c r="Q55" i="74" s="1"/>
  <c r="Q156" i="74" s="1"/>
  <c r="AJ42" i="76"/>
  <c r="AJ55" i="74" s="1"/>
  <c r="AJ156" i="74" s="1"/>
  <c r="AK43" i="76"/>
  <c r="AK56" i="74" s="1"/>
  <c r="AK157" i="74" s="1"/>
  <c r="AA42" i="76"/>
  <c r="AP42" i="76"/>
  <c r="AP55" i="74" s="1"/>
  <c r="AP156" i="74" s="1"/>
  <c r="AH43" i="76"/>
  <c r="AH56" i="74" s="1"/>
  <c r="AH157" i="74" s="1"/>
  <c r="V42" i="76"/>
  <c r="V55" i="74" s="1"/>
  <c r="V156" i="74" s="1"/>
  <c r="AO43" i="76"/>
  <c r="AO56" i="74" s="1"/>
  <c r="AO157" i="74" s="1"/>
  <c r="L42" i="76"/>
  <c r="L55" i="74" s="1"/>
  <c r="L156" i="74" s="1"/>
  <c r="Z42" i="76"/>
  <c r="AI42" i="76"/>
  <c r="AI55" i="74" s="1"/>
  <c r="AI156" i="74" s="1"/>
  <c r="Y43" i="76"/>
  <c r="AG43" i="76"/>
  <c r="AG56" i="74" s="1"/>
  <c r="AG157" i="74" s="1"/>
  <c r="AD43" i="76"/>
  <c r="AD56" i="74" s="1"/>
  <c r="AD157" i="74" s="1"/>
  <c r="AJ43" i="76"/>
  <c r="AJ56" i="74" s="1"/>
  <c r="AJ157" i="74" s="1"/>
  <c r="V43" i="76"/>
  <c r="V56" i="74" s="1"/>
  <c r="V157" i="74" s="1"/>
  <c r="W43" i="76"/>
  <c r="W56" i="74" s="1"/>
  <c r="W157" i="74" s="1"/>
  <c r="J43" i="76"/>
  <c r="J56" i="74" s="1"/>
  <c r="J157" i="74" s="1"/>
  <c r="P42" i="76"/>
  <c r="P55" i="74" s="1"/>
  <c r="P156" i="74" s="1"/>
  <c r="AL42" i="76"/>
  <c r="AL55" i="74" s="1"/>
  <c r="AL156" i="74" s="1"/>
  <c r="H30" i="83" a="1"/>
  <c r="H34" i="83" s="1"/>
  <c r="H19" i="82" a="1"/>
  <c r="H22" i="82" s="1"/>
  <c r="AB46" i="71"/>
  <c r="AB151" i="71" s="1"/>
  <c r="H127" i="81" a="1"/>
  <c r="H127" i="81" s="1"/>
  <c r="H131" i="81" s="1"/>
  <c r="H63" i="72" a="1"/>
  <c r="H65" i="73" a="1"/>
  <c r="AB76" i="71" l="1"/>
  <c r="AB181" i="71" s="1"/>
  <c r="H48" i="76" a="1"/>
  <c r="H48" i="76" s="1"/>
  <c r="A4" i="76" s="1"/>
  <c r="H23" i="82"/>
  <c r="H21" i="82"/>
  <c r="H19" i="82"/>
  <c r="H20" i="82"/>
  <c r="H37" i="83"/>
  <c r="AA200" i="83" s="1"/>
  <c r="AA73" i="71" s="1"/>
  <c r="AA178" i="71" s="1"/>
  <c r="H36" i="83"/>
  <c r="K228" i="83" s="1"/>
  <c r="K102" i="71" s="1"/>
  <c r="K207" i="71" s="1"/>
  <c r="H30" i="83"/>
  <c r="O222" i="83" s="1"/>
  <c r="H32" i="83"/>
  <c r="T195" i="83" s="1"/>
  <c r="T68" i="71" s="1"/>
  <c r="T173" i="71" s="1"/>
  <c r="H39" i="83"/>
  <c r="V231" i="83" s="1"/>
  <c r="V105" i="71" s="1"/>
  <c r="V210" i="71" s="1"/>
  <c r="H31" i="83"/>
  <c r="AP194" i="83" s="1"/>
  <c r="AP67" i="71" s="1"/>
  <c r="AP172" i="71" s="1"/>
  <c r="H35" i="83"/>
  <c r="L140" i="83" s="1"/>
  <c r="L142" i="72" s="1"/>
  <c r="L212" i="72" s="1"/>
  <c r="L242" i="72" s="1"/>
  <c r="H33" i="83"/>
  <c r="AF138" i="83" s="1"/>
  <c r="H38" i="83"/>
  <c r="Q143" i="83" s="1"/>
  <c r="Q145" i="72" s="1"/>
  <c r="Q215" i="72" s="1"/>
  <c r="Q245" i="72" s="1"/>
  <c r="H70" i="72"/>
  <c r="H63" i="72"/>
  <c r="H65" i="72"/>
  <c r="H64" i="72"/>
  <c r="H67" i="72"/>
  <c r="H66" i="72"/>
  <c r="H69" i="72"/>
  <c r="H72" i="72"/>
  <c r="H71" i="72"/>
  <c r="H68" i="72"/>
  <c r="J45" i="55"/>
  <c r="A4" i="81"/>
  <c r="H69" i="73"/>
  <c r="H74" i="73"/>
  <c r="H66" i="73"/>
  <c r="H68" i="73"/>
  <c r="H73" i="73"/>
  <c r="H65" i="73"/>
  <c r="H72" i="73"/>
  <c r="H71" i="73"/>
  <c r="H67" i="73"/>
  <c r="H70" i="73"/>
  <c r="AK139" i="83"/>
  <c r="P226" i="83"/>
  <c r="P100" i="71" s="1"/>
  <c r="P205" i="71" s="1"/>
  <c r="AO139" i="83"/>
  <c r="AC139" i="83"/>
  <c r="X139" i="83"/>
  <c r="X141" i="72" s="1"/>
  <c r="X211" i="72" s="1"/>
  <c r="X241" i="72" s="1"/>
  <c r="N197" i="83"/>
  <c r="N70" i="71" s="1"/>
  <c r="N175" i="71" s="1"/>
  <c r="AM226" i="83"/>
  <c r="AM100" i="71" s="1"/>
  <c r="AM205" i="71" s="1"/>
  <c r="AJ139" i="83"/>
  <c r="AM197" i="83"/>
  <c r="AM70" i="71" s="1"/>
  <c r="AM175" i="71" s="1"/>
  <c r="AG168" i="83"/>
  <c r="AG40" i="71" s="1"/>
  <c r="AG145" i="71" s="1"/>
  <c r="AO226" i="83"/>
  <c r="AO100" i="71" s="1"/>
  <c r="AO205" i="71" s="1"/>
  <c r="X168" i="83"/>
  <c r="X40" i="71" s="1"/>
  <c r="X145" i="71" s="1"/>
  <c r="S226" i="83"/>
  <c r="S100" i="71" s="1"/>
  <c r="S205" i="71" s="1"/>
  <c r="T139" i="83"/>
  <c r="T141" i="72" s="1"/>
  <c r="T211" i="72" s="1"/>
  <c r="T241" i="72" s="1"/>
  <c r="Q168" i="83"/>
  <c r="Q40" i="71" s="1"/>
  <c r="Q145" i="71" s="1"/>
  <c r="O226" i="83"/>
  <c r="O100" i="71" s="1"/>
  <c r="O205" i="71" s="1"/>
  <c r="M197" i="83"/>
  <c r="M70" i="71" s="1"/>
  <c r="M175" i="71" s="1"/>
  <c r="K168" i="83"/>
  <c r="K40" i="71" s="1"/>
  <c r="K145" i="71" s="1"/>
  <c r="L226" i="83"/>
  <c r="L100" i="71" s="1"/>
  <c r="L205" i="71" s="1"/>
  <c r="AL139" i="83"/>
  <c r="AC226" i="83"/>
  <c r="AC100" i="71" s="1"/>
  <c r="AC205" i="71" s="1"/>
  <c r="M168" i="83"/>
  <c r="M40" i="71" s="1"/>
  <c r="M145" i="71" s="1"/>
  <c r="AI168" i="83"/>
  <c r="AI40" i="71" s="1"/>
  <c r="AI145" i="71" s="1"/>
  <c r="AA197" i="83"/>
  <c r="AA70" i="71" s="1"/>
  <c r="AA175" i="71" s="1"/>
  <c r="AN139" i="83"/>
  <c r="AP168" i="83"/>
  <c r="AP40" i="71" s="1"/>
  <c r="AP145" i="71" s="1"/>
  <c r="AP139" i="83"/>
  <c r="Z226" i="83"/>
  <c r="Z100" i="71" s="1"/>
  <c r="Z205" i="71" s="1"/>
  <c r="W197" i="83"/>
  <c r="W70" i="71" s="1"/>
  <c r="W175" i="71" s="1"/>
  <c r="AB226" i="83"/>
  <c r="AB100" i="71" s="1"/>
  <c r="AB205" i="71" s="1"/>
  <c r="Y226" i="83"/>
  <c r="Y100" i="71" s="1"/>
  <c r="Y205" i="71" s="1"/>
  <c r="P168" i="83"/>
  <c r="P40" i="71" s="1"/>
  <c r="P145" i="71" s="1"/>
  <c r="O197" i="83"/>
  <c r="O70" i="71" s="1"/>
  <c r="O175" i="71" s="1"/>
  <c r="Q139" i="83"/>
  <c r="Q141" i="72" s="1"/>
  <c r="Q211" i="72" s="1"/>
  <c r="Q241" i="72" s="1"/>
  <c r="L139" i="83"/>
  <c r="L141" i="72" s="1"/>
  <c r="L211" i="72" s="1"/>
  <c r="L241" i="72" s="1"/>
  <c r="W168" i="83"/>
  <c r="W40" i="71" s="1"/>
  <c r="W145" i="71" s="1"/>
  <c r="V226" i="83"/>
  <c r="V100" i="71" s="1"/>
  <c r="V205" i="71" s="1"/>
  <c r="K139" i="83"/>
  <c r="K141" i="72" s="1"/>
  <c r="K211" i="72" s="1"/>
  <c r="K241" i="72" s="1"/>
  <c r="AB139" i="83"/>
  <c r="AB141" i="72" s="1"/>
  <c r="AB211" i="72" s="1"/>
  <c r="AB241" i="72" s="1"/>
  <c r="T168" i="83"/>
  <c r="T40" i="71" s="1"/>
  <c r="T145" i="71" s="1"/>
  <c r="AK226" i="83"/>
  <c r="AK100" i="71" s="1"/>
  <c r="AK205" i="71" s="1"/>
  <c r="L168" i="83"/>
  <c r="L40" i="71" s="1"/>
  <c r="L145" i="71" s="1"/>
  <c r="Z168" i="83"/>
  <c r="Z40" i="71" s="1"/>
  <c r="Z145" i="71" s="1"/>
  <c r="J197" i="83"/>
  <c r="J70" i="71" s="1"/>
  <c r="J175" i="71" s="1"/>
  <c r="AN168" i="83"/>
  <c r="AN40" i="71" s="1"/>
  <c r="AN145" i="71" s="1"/>
  <c r="AL226" i="83"/>
  <c r="AL100" i="71" s="1"/>
  <c r="AL205" i="71" s="1"/>
  <c r="V168" i="83"/>
  <c r="V40" i="71" s="1"/>
  <c r="V145" i="71" s="1"/>
  <c r="AD226" i="83"/>
  <c r="AD100" i="71" s="1"/>
  <c r="AD205" i="71" s="1"/>
  <c r="AI139" i="83"/>
  <c r="P139" i="83"/>
  <c r="P141" i="72" s="1"/>
  <c r="P211" i="72" s="1"/>
  <c r="P241" i="72" s="1"/>
  <c r="AM168" i="83"/>
  <c r="AM40" i="71" s="1"/>
  <c r="AM145" i="71" s="1"/>
  <c r="AC168" i="83"/>
  <c r="AC40" i="71" s="1"/>
  <c r="AC145" i="71" s="1"/>
  <c r="X197" i="83"/>
  <c r="X70" i="71" s="1"/>
  <c r="X175" i="71" s="1"/>
  <c r="AF226" i="83"/>
  <c r="AF100" i="71" s="1"/>
  <c r="AF205" i="71" s="1"/>
  <c r="W139" i="83"/>
  <c r="W141" i="72" s="1"/>
  <c r="W211" i="72" s="1"/>
  <c r="W241" i="72" s="1"/>
  <c r="N168" i="83"/>
  <c r="N40" i="71" s="1"/>
  <c r="N145" i="71" s="1"/>
  <c r="AD168" i="83"/>
  <c r="AD40" i="71" s="1"/>
  <c r="AD145" i="71" s="1"/>
  <c r="Z139" i="83"/>
  <c r="Z141" i="72" s="1"/>
  <c r="Z211" i="72" s="1"/>
  <c r="Z241" i="72" s="1"/>
  <c r="AD197" i="83"/>
  <c r="AD70" i="71" s="1"/>
  <c r="AD175" i="71" s="1"/>
  <c r="AK168" i="83"/>
  <c r="AK40" i="71" s="1"/>
  <c r="AK145" i="71" s="1"/>
  <c r="AD139" i="83"/>
  <c r="J168" i="83"/>
  <c r="J40" i="71" s="1"/>
  <c r="J145" i="71" s="1"/>
  <c r="N226" i="83"/>
  <c r="N100" i="71" s="1"/>
  <c r="N205" i="71" s="1"/>
  <c r="AF168" i="83"/>
  <c r="AF40" i="71" s="1"/>
  <c r="AF145" i="71" s="1"/>
  <c r="R197" i="83"/>
  <c r="R70" i="71" s="1"/>
  <c r="R175" i="71" s="1"/>
  <c r="R168" i="83"/>
  <c r="R40" i="71" s="1"/>
  <c r="R145" i="71" s="1"/>
  <c r="AN226" i="83"/>
  <c r="AN100" i="71" s="1"/>
  <c r="AN205" i="71" s="1"/>
  <c r="AC197" i="83"/>
  <c r="AC70" i="71" s="1"/>
  <c r="AC175" i="71" s="1"/>
  <c r="O139" i="83"/>
  <c r="O141" i="72" s="1"/>
  <c r="O211" i="72" s="1"/>
  <c r="O241" i="72" s="1"/>
  <c r="S197" i="83"/>
  <c r="S70" i="71" s="1"/>
  <c r="S175" i="71" s="1"/>
  <c r="S139" i="83"/>
  <c r="S141" i="72" s="1"/>
  <c r="S211" i="72" s="1"/>
  <c r="S241" i="72" s="1"/>
  <c r="AF139" i="83"/>
  <c r="AE139" i="83"/>
  <c r="AH168" i="83"/>
  <c r="AH40" i="71" s="1"/>
  <c r="AH145" i="71" s="1"/>
  <c r="M139" i="83"/>
  <c r="M141" i="72" s="1"/>
  <c r="M211" i="72" s="1"/>
  <c r="M241" i="72" s="1"/>
  <c r="AO197" i="83"/>
  <c r="AO70" i="71" s="1"/>
  <c r="AO175" i="71" s="1"/>
  <c r="Y168" i="83"/>
  <c r="Y40" i="71" s="1"/>
  <c r="Y145" i="71" s="1"/>
  <c r="AI226" i="83"/>
  <c r="AI100" i="71" s="1"/>
  <c r="AI205" i="71" s="1"/>
  <c r="Y197" i="83"/>
  <c r="Y70" i="71" s="1"/>
  <c r="Y175" i="71" s="1"/>
  <c r="AB197" i="83"/>
  <c r="AB70" i="71" s="1"/>
  <c r="AB175" i="71" s="1"/>
  <c r="AK197" i="83"/>
  <c r="AK70" i="71" s="1"/>
  <c r="AK175" i="71" s="1"/>
  <c r="S168" i="83"/>
  <c r="S40" i="71" s="1"/>
  <c r="S145" i="71" s="1"/>
  <c r="AP197" i="83"/>
  <c r="AP70" i="71" s="1"/>
  <c r="AP175" i="71" s="1"/>
  <c r="AE226" i="83"/>
  <c r="AE100" i="71" s="1"/>
  <c r="AE205" i="71" s="1"/>
  <c r="K226" i="83"/>
  <c r="K100" i="71" s="1"/>
  <c r="K205" i="71" s="1"/>
  <c r="AA168" i="83"/>
  <c r="AA40" i="71" s="1"/>
  <c r="AA145" i="71" s="1"/>
  <c r="T226" i="83"/>
  <c r="T100" i="71" s="1"/>
  <c r="T205" i="71" s="1"/>
  <c r="AG197" i="83"/>
  <c r="AG70" i="71" s="1"/>
  <c r="AG175" i="71" s="1"/>
  <c r="AM139" i="83"/>
  <c r="J226" i="83"/>
  <c r="J100" i="71" s="1"/>
  <c r="J205" i="71" s="1"/>
  <c r="U139" i="83"/>
  <c r="U141" i="72" s="1"/>
  <c r="U211" i="72" s="1"/>
  <c r="U241" i="72" s="1"/>
  <c r="AO168" i="83"/>
  <c r="AO40" i="71" s="1"/>
  <c r="AO145" i="71" s="1"/>
  <c r="AJ226" i="83"/>
  <c r="AJ100" i="71" s="1"/>
  <c r="AJ205" i="71" s="1"/>
  <c r="X226" i="83"/>
  <c r="X100" i="71" s="1"/>
  <c r="X205" i="71" s="1"/>
  <c r="K197" i="83"/>
  <c r="K70" i="71" s="1"/>
  <c r="K175" i="71" s="1"/>
  <c r="N139" i="83"/>
  <c r="N141" i="72" s="1"/>
  <c r="N211" i="72" s="1"/>
  <c r="N241" i="72" s="1"/>
  <c r="AA139" i="83"/>
  <c r="AA141" i="72" s="1"/>
  <c r="AA211" i="72" s="1"/>
  <c r="AA241" i="72" s="1"/>
  <c r="AN197" i="83"/>
  <c r="AN70" i="71" s="1"/>
  <c r="AN175" i="71" s="1"/>
  <c r="AA226" i="83"/>
  <c r="AA100" i="71" s="1"/>
  <c r="AA205" i="71" s="1"/>
  <c r="U168" i="83"/>
  <c r="U40" i="71" s="1"/>
  <c r="U145" i="71" s="1"/>
  <c r="M226" i="83"/>
  <c r="M100" i="71" s="1"/>
  <c r="M205" i="71" s="1"/>
  <c r="R226" i="83"/>
  <c r="R100" i="71" s="1"/>
  <c r="R205" i="71" s="1"/>
  <c r="AE197" i="83"/>
  <c r="AE70" i="71" s="1"/>
  <c r="AE175" i="71" s="1"/>
  <c r="AP226" i="83"/>
  <c r="AP100" i="71" s="1"/>
  <c r="AP205" i="71" s="1"/>
  <c r="AJ197" i="83"/>
  <c r="AJ70" i="71" s="1"/>
  <c r="AJ175" i="71" s="1"/>
  <c r="W226" i="83"/>
  <c r="W100" i="71" s="1"/>
  <c r="W205" i="71" s="1"/>
  <c r="AI197" i="83"/>
  <c r="AI70" i="71" s="1"/>
  <c r="AI175" i="71" s="1"/>
  <c r="J139" i="83"/>
  <c r="J141" i="72" s="1"/>
  <c r="J211" i="72" s="1"/>
  <c r="J241" i="72" s="1"/>
  <c r="L197" i="83"/>
  <c r="L70" i="71" s="1"/>
  <c r="L175" i="71" s="1"/>
  <c r="U197" i="83"/>
  <c r="U70" i="71" s="1"/>
  <c r="U175" i="71" s="1"/>
  <c r="AH226" i="83"/>
  <c r="AH100" i="71" s="1"/>
  <c r="AH205" i="71" s="1"/>
  <c r="AJ168" i="83"/>
  <c r="AJ40" i="71" s="1"/>
  <c r="AJ145" i="71" s="1"/>
  <c r="AH197" i="83"/>
  <c r="AH70" i="71" s="1"/>
  <c r="AH175" i="71" s="1"/>
  <c r="Q226" i="83"/>
  <c r="Q100" i="71" s="1"/>
  <c r="Q205" i="71" s="1"/>
  <c r="AG226" i="83"/>
  <c r="AG100" i="71" s="1"/>
  <c r="AG205" i="71" s="1"/>
  <c r="Q197" i="83"/>
  <c r="Q70" i="71" s="1"/>
  <c r="Q175" i="71" s="1"/>
  <c r="Z197" i="83"/>
  <c r="Z70" i="71" s="1"/>
  <c r="Z175" i="71" s="1"/>
  <c r="AL168" i="83"/>
  <c r="AL40" i="71" s="1"/>
  <c r="AL145" i="71" s="1"/>
  <c r="O168" i="83"/>
  <c r="O40" i="71" s="1"/>
  <c r="O145" i="71" s="1"/>
  <c r="R139" i="83"/>
  <c r="R141" i="72" s="1"/>
  <c r="R211" i="72" s="1"/>
  <c r="R241" i="72" s="1"/>
  <c r="AL197" i="83"/>
  <c r="AL70" i="71" s="1"/>
  <c r="AL175" i="71" s="1"/>
  <c r="V139" i="83"/>
  <c r="V141" i="72" s="1"/>
  <c r="V211" i="72" s="1"/>
  <c r="V241" i="72" s="1"/>
  <c r="V197" i="83"/>
  <c r="V70" i="71" s="1"/>
  <c r="V175" i="71" s="1"/>
  <c r="AG139" i="83"/>
  <c r="P197" i="83"/>
  <c r="P70" i="71" s="1"/>
  <c r="P175" i="71" s="1"/>
  <c r="AF197" i="83"/>
  <c r="AF70" i="71" s="1"/>
  <c r="AF175" i="71" s="1"/>
  <c r="AE168" i="83"/>
  <c r="AE40" i="71" s="1"/>
  <c r="AE145" i="71" s="1"/>
  <c r="AB168" i="83"/>
  <c r="AB40" i="71" s="1"/>
  <c r="AB145" i="71" s="1"/>
  <c r="Y139" i="83"/>
  <c r="Y141" i="72" s="1"/>
  <c r="Y211" i="72" s="1"/>
  <c r="Y241" i="72" s="1"/>
  <c r="AH139" i="83"/>
  <c r="U226" i="83"/>
  <c r="U100" i="71" s="1"/>
  <c r="U205" i="71" s="1"/>
  <c r="T197" i="83"/>
  <c r="T70" i="71" s="1"/>
  <c r="T175" i="71" s="1"/>
  <c r="U230" i="83" l="1"/>
  <c r="U104" i="71" s="1"/>
  <c r="U209" i="71" s="1"/>
  <c r="T165" i="83"/>
  <c r="T37" i="71" s="1"/>
  <c r="T142" i="71" s="1"/>
  <c r="Y194" i="83"/>
  <c r="Y67" i="71" s="1"/>
  <c r="Y172" i="71" s="1"/>
  <c r="AL136" i="83"/>
  <c r="AD136" i="83"/>
  <c r="AE230" i="83"/>
  <c r="AE104" i="71" s="1"/>
  <c r="AE209" i="71" s="1"/>
  <c r="AL172" i="83"/>
  <c r="AL44" i="71" s="1"/>
  <c r="AL149" i="71" s="1"/>
  <c r="P143" i="83"/>
  <c r="P145" i="72" s="1"/>
  <c r="P215" i="72" s="1"/>
  <c r="P245" i="72" s="1"/>
  <c r="V136" i="83"/>
  <c r="V138" i="72" s="1"/>
  <c r="V208" i="72" s="1"/>
  <c r="V238" i="72" s="1"/>
  <c r="Z165" i="83"/>
  <c r="Z37" i="71" s="1"/>
  <c r="Z142" i="71" s="1"/>
  <c r="M136" i="83"/>
  <c r="M138" i="72" s="1"/>
  <c r="M208" i="72" s="1"/>
  <c r="M238" i="72" s="1"/>
  <c r="L194" i="83"/>
  <c r="L67" i="71" s="1"/>
  <c r="L172" i="71" s="1"/>
  <c r="AD201" i="83"/>
  <c r="AD74" i="71" s="1"/>
  <c r="AD179" i="71" s="1"/>
  <c r="V172" i="83"/>
  <c r="V44" i="71" s="1"/>
  <c r="V149" i="71" s="1"/>
  <c r="AK143" i="83"/>
  <c r="AA201" i="83"/>
  <c r="AA74" i="71" s="1"/>
  <c r="AA179" i="71" s="1"/>
  <c r="AO143" i="83"/>
  <c r="R172" i="83"/>
  <c r="R44" i="71" s="1"/>
  <c r="R149" i="71" s="1"/>
  <c r="T172" i="83"/>
  <c r="T44" i="71" s="1"/>
  <c r="T149" i="71" s="1"/>
  <c r="M172" i="83"/>
  <c r="M44" i="71" s="1"/>
  <c r="M149" i="71" s="1"/>
  <c r="AA172" i="83"/>
  <c r="AA44" i="71" s="1"/>
  <c r="AA149" i="71" s="1"/>
  <c r="AF172" i="83"/>
  <c r="AF44" i="71" s="1"/>
  <c r="AF149" i="71" s="1"/>
  <c r="L201" i="83"/>
  <c r="L74" i="71" s="1"/>
  <c r="L179" i="71" s="1"/>
  <c r="AF201" i="83"/>
  <c r="AF74" i="71" s="1"/>
  <c r="AF179" i="71" s="1"/>
  <c r="AC143" i="83"/>
  <c r="V230" i="83"/>
  <c r="V104" i="71" s="1"/>
  <c r="V209" i="71" s="1"/>
  <c r="AP172" i="83"/>
  <c r="AP44" i="71" s="1"/>
  <c r="AP149" i="71" s="1"/>
  <c r="M230" i="83"/>
  <c r="M104" i="71" s="1"/>
  <c r="M209" i="71" s="1"/>
  <c r="N201" i="83"/>
  <c r="N74" i="71" s="1"/>
  <c r="N179" i="71" s="1"/>
  <c r="AF143" i="83"/>
  <c r="L143" i="83"/>
  <c r="L145" i="72" s="1"/>
  <c r="L215" i="72" s="1"/>
  <c r="L245" i="72" s="1"/>
  <c r="AD172" i="83"/>
  <c r="AD44" i="71" s="1"/>
  <c r="AD149" i="71" s="1"/>
  <c r="K172" i="83"/>
  <c r="K44" i="71" s="1"/>
  <c r="K149" i="71" s="1"/>
  <c r="Y230" i="83"/>
  <c r="Y104" i="71" s="1"/>
  <c r="Y209" i="71" s="1"/>
  <c r="Q230" i="83"/>
  <c r="Q104" i="71" s="1"/>
  <c r="Q209" i="71" s="1"/>
  <c r="AG143" i="83"/>
  <c r="T143" i="83"/>
  <c r="T145" i="72" s="1"/>
  <c r="T215" i="72" s="1"/>
  <c r="T245" i="72" s="1"/>
  <c r="AC201" i="83"/>
  <c r="AC74" i="71" s="1"/>
  <c r="AC179" i="71" s="1"/>
  <c r="AA143" i="83"/>
  <c r="AA145" i="72" s="1"/>
  <c r="AA215" i="72" s="1"/>
  <c r="AA245" i="72" s="1"/>
  <c r="AO172" i="83"/>
  <c r="AO44" i="71" s="1"/>
  <c r="AO149" i="71" s="1"/>
  <c r="AN143" i="83"/>
  <c r="AJ201" i="83"/>
  <c r="AJ74" i="71" s="1"/>
  <c r="AJ179" i="71" s="1"/>
  <c r="O230" i="83"/>
  <c r="O104" i="71" s="1"/>
  <c r="O209" i="71" s="1"/>
  <c r="AI230" i="83"/>
  <c r="AI104" i="71" s="1"/>
  <c r="AI209" i="71" s="1"/>
  <c r="AB143" i="83"/>
  <c r="AB145" i="72" s="1"/>
  <c r="AB215" i="72" s="1"/>
  <c r="AB245" i="72" s="1"/>
  <c r="M143" i="83"/>
  <c r="M145" i="72" s="1"/>
  <c r="M215" i="72" s="1"/>
  <c r="M245" i="72" s="1"/>
  <c r="P172" i="83"/>
  <c r="P44" i="71" s="1"/>
  <c r="P149" i="71" s="1"/>
  <c r="N172" i="83"/>
  <c r="N44" i="71" s="1"/>
  <c r="N149" i="71" s="1"/>
  <c r="J230" i="83"/>
  <c r="J104" i="71" s="1"/>
  <c r="J209" i="71" s="1"/>
  <c r="L172" i="83"/>
  <c r="L44" i="71" s="1"/>
  <c r="L149" i="71" s="1"/>
  <c r="X201" i="83"/>
  <c r="X74" i="71" s="1"/>
  <c r="X179" i="71" s="1"/>
  <c r="Y201" i="83"/>
  <c r="Y74" i="71" s="1"/>
  <c r="Y179" i="71" s="1"/>
  <c r="V143" i="83"/>
  <c r="V145" i="72" s="1"/>
  <c r="V215" i="72" s="1"/>
  <c r="V245" i="72" s="1"/>
  <c r="AL230" i="83"/>
  <c r="AL104" i="71" s="1"/>
  <c r="AL209" i="71" s="1"/>
  <c r="X143" i="83"/>
  <c r="X145" i="72" s="1"/>
  <c r="X215" i="72" s="1"/>
  <c r="X245" i="72" s="1"/>
  <c r="AM201" i="83"/>
  <c r="AM74" i="71" s="1"/>
  <c r="AM179" i="71" s="1"/>
  <c r="AK201" i="83"/>
  <c r="AK74" i="71" s="1"/>
  <c r="AK179" i="71" s="1"/>
  <c r="AL143" i="83"/>
  <c r="AB201" i="83"/>
  <c r="AB74" i="71" s="1"/>
  <c r="AB179" i="71" s="1"/>
  <c r="AI201" i="83"/>
  <c r="AI74" i="71" s="1"/>
  <c r="AI179" i="71" s="1"/>
  <c r="AG172" i="83"/>
  <c r="AG44" i="71" s="1"/>
  <c r="AG149" i="71" s="1"/>
  <c r="AI172" i="83"/>
  <c r="AI44" i="71" s="1"/>
  <c r="AI149" i="71" s="1"/>
  <c r="L230" i="83"/>
  <c r="L104" i="71" s="1"/>
  <c r="L209" i="71" s="1"/>
  <c r="AJ230" i="83"/>
  <c r="AJ104" i="71" s="1"/>
  <c r="AJ209" i="71" s="1"/>
  <c r="S172" i="83"/>
  <c r="S44" i="71" s="1"/>
  <c r="S149" i="71" s="1"/>
  <c r="AD143" i="83"/>
  <c r="AO230" i="83"/>
  <c r="AO104" i="71" s="1"/>
  <c r="AO209" i="71" s="1"/>
  <c r="N230" i="83"/>
  <c r="N104" i="71" s="1"/>
  <c r="N209" i="71" s="1"/>
  <c r="Y143" i="83"/>
  <c r="Y145" i="72" s="1"/>
  <c r="Y215" i="72" s="1"/>
  <c r="Y245" i="72" s="1"/>
  <c r="Z143" i="83"/>
  <c r="Z145" i="72" s="1"/>
  <c r="Z215" i="72" s="1"/>
  <c r="Z245" i="72" s="1"/>
  <c r="Y172" i="83"/>
  <c r="Y44" i="71" s="1"/>
  <c r="Y149" i="71" s="1"/>
  <c r="AJ172" i="83"/>
  <c r="AJ44" i="71" s="1"/>
  <c r="AJ149" i="71" s="1"/>
  <c r="W230" i="83"/>
  <c r="W104" i="71" s="1"/>
  <c r="W209" i="71" s="1"/>
  <c r="X172" i="83"/>
  <c r="X44" i="71" s="1"/>
  <c r="X149" i="71" s="1"/>
  <c r="AK172" i="83"/>
  <c r="AK44" i="71" s="1"/>
  <c r="AK149" i="71" s="1"/>
  <c r="J172" i="83"/>
  <c r="J44" i="71" s="1"/>
  <c r="J149" i="71" s="1"/>
  <c r="N143" i="83"/>
  <c r="N145" i="72" s="1"/>
  <c r="N215" i="72" s="1"/>
  <c r="N245" i="72" s="1"/>
  <c r="P230" i="83"/>
  <c r="P104" i="71" s="1"/>
  <c r="P209" i="71" s="1"/>
  <c r="AI143" i="83"/>
  <c r="S230" i="83"/>
  <c r="S104" i="71" s="1"/>
  <c r="S209" i="71" s="1"/>
  <c r="S201" i="83"/>
  <c r="S74" i="71" s="1"/>
  <c r="S179" i="71" s="1"/>
  <c r="U201" i="83"/>
  <c r="U74" i="71" s="1"/>
  <c r="U179" i="71" s="1"/>
  <c r="X230" i="83"/>
  <c r="X104" i="71" s="1"/>
  <c r="X209" i="71" s="1"/>
  <c r="AL201" i="83"/>
  <c r="AL74" i="71" s="1"/>
  <c r="AL179" i="71" s="1"/>
  <c r="O201" i="83"/>
  <c r="O74" i="71" s="1"/>
  <c r="O179" i="71" s="1"/>
  <c r="AB229" i="83"/>
  <c r="AB103" i="71" s="1"/>
  <c r="AB208" i="71" s="1"/>
  <c r="Z200" i="83"/>
  <c r="Z73" i="71" s="1"/>
  <c r="Z178" i="71" s="1"/>
  <c r="AO200" i="83"/>
  <c r="AO73" i="71" s="1"/>
  <c r="AO178" i="71" s="1"/>
  <c r="U200" i="83"/>
  <c r="U73" i="71" s="1"/>
  <c r="U178" i="71" s="1"/>
  <c r="AJ229" i="83"/>
  <c r="AJ103" i="71" s="1"/>
  <c r="AJ208" i="71" s="1"/>
  <c r="Q229" i="83"/>
  <c r="Q103" i="71" s="1"/>
  <c r="Q208" i="71" s="1"/>
  <c r="X229" i="83"/>
  <c r="X103" i="71" s="1"/>
  <c r="X208" i="71" s="1"/>
  <c r="AG142" i="83"/>
  <c r="S200" i="83"/>
  <c r="S73" i="71" s="1"/>
  <c r="S178" i="71" s="1"/>
  <c r="AB200" i="83"/>
  <c r="AB73" i="71" s="1"/>
  <c r="AB178" i="71" s="1"/>
  <c r="AP200" i="83"/>
  <c r="AP73" i="71" s="1"/>
  <c r="AP178" i="71" s="1"/>
  <c r="AK142" i="83"/>
  <c r="O200" i="83"/>
  <c r="O73" i="71" s="1"/>
  <c r="O178" i="71" s="1"/>
  <c r="AN171" i="83"/>
  <c r="AN43" i="71" s="1"/>
  <c r="AN148" i="71" s="1"/>
  <c r="V171" i="83"/>
  <c r="V43" i="71" s="1"/>
  <c r="V148" i="71" s="1"/>
  <c r="Z171" i="83"/>
  <c r="Z43" i="71" s="1"/>
  <c r="Z148" i="71" s="1"/>
  <c r="AF229" i="83"/>
  <c r="AF103" i="71" s="1"/>
  <c r="AF208" i="71" s="1"/>
  <c r="Q142" i="83"/>
  <c r="Q144" i="72" s="1"/>
  <c r="Q214" i="72" s="1"/>
  <c r="Q244" i="72" s="1"/>
  <c r="P229" i="83"/>
  <c r="P103" i="71" s="1"/>
  <c r="P208" i="71" s="1"/>
  <c r="AD200" i="83"/>
  <c r="AD73" i="71" s="1"/>
  <c r="AD178" i="71" s="1"/>
  <c r="AC171" i="83"/>
  <c r="AC43" i="71" s="1"/>
  <c r="AC148" i="71" s="1"/>
  <c r="AF171" i="83"/>
  <c r="AF43" i="71" s="1"/>
  <c r="AF148" i="71" s="1"/>
  <c r="AH229" i="83"/>
  <c r="AH103" i="71" s="1"/>
  <c r="AH208" i="71" s="1"/>
  <c r="J143" i="83"/>
  <c r="J145" i="72" s="1"/>
  <c r="J215" i="72" s="1"/>
  <c r="J245" i="72" s="1"/>
  <c r="S143" i="83"/>
  <c r="S145" i="72" s="1"/>
  <c r="S215" i="72" s="1"/>
  <c r="S245" i="72" s="1"/>
  <c r="K201" i="83"/>
  <c r="K74" i="71" s="1"/>
  <c r="K179" i="71" s="1"/>
  <c r="U143" i="83"/>
  <c r="U145" i="72" s="1"/>
  <c r="U215" i="72" s="1"/>
  <c r="U245" i="72" s="1"/>
  <c r="T230" i="83"/>
  <c r="T104" i="71" s="1"/>
  <c r="T209" i="71" s="1"/>
  <c r="AH143" i="83"/>
  <c r="AP201" i="83"/>
  <c r="AP74" i="71" s="1"/>
  <c r="AP179" i="71" s="1"/>
  <c r="AG201" i="83"/>
  <c r="AG74" i="71" s="1"/>
  <c r="AG179" i="71" s="1"/>
  <c r="O172" i="83"/>
  <c r="O44" i="71" s="1"/>
  <c r="O149" i="71" s="1"/>
  <c r="Z201" i="83"/>
  <c r="Z74" i="71" s="1"/>
  <c r="Z179" i="71" s="1"/>
  <c r="R201" i="83"/>
  <c r="R74" i="71" s="1"/>
  <c r="R179" i="71" s="1"/>
  <c r="AN172" i="83"/>
  <c r="AN44" i="71" s="1"/>
  <c r="AN149" i="71" s="1"/>
  <c r="AO201" i="83"/>
  <c r="AO74" i="71" s="1"/>
  <c r="AO179" i="71" s="1"/>
  <c r="O143" i="83"/>
  <c r="O145" i="72" s="1"/>
  <c r="O215" i="72" s="1"/>
  <c r="O245" i="72" s="1"/>
  <c r="AP143" i="83"/>
  <c r="W143" i="83"/>
  <c r="W145" i="72" s="1"/>
  <c r="W215" i="72" s="1"/>
  <c r="W245" i="72" s="1"/>
  <c r="AB172" i="83"/>
  <c r="AB44" i="71" s="1"/>
  <c r="AB149" i="71" s="1"/>
  <c r="AM143" i="83"/>
  <c r="V201" i="83"/>
  <c r="V74" i="71" s="1"/>
  <c r="V179" i="71" s="1"/>
  <c r="K229" i="83"/>
  <c r="K103" i="71" s="1"/>
  <c r="K208" i="71" s="1"/>
  <c r="AP171" i="83"/>
  <c r="AP43" i="71" s="1"/>
  <c r="AP148" i="71" s="1"/>
  <c r="AN201" i="83"/>
  <c r="AN74" i="71" s="1"/>
  <c r="AN179" i="71" s="1"/>
  <c r="AM172" i="83"/>
  <c r="AM44" i="71" s="1"/>
  <c r="AM149" i="71" s="1"/>
  <c r="AE143" i="83"/>
  <c r="Z230" i="83"/>
  <c r="Z104" i="71" s="1"/>
  <c r="Z209" i="71" s="1"/>
  <c r="AC172" i="83"/>
  <c r="AC44" i="71" s="1"/>
  <c r="AC149" i="71" s="1"/>
  <c r="AE201" i="83"/>
  <c r="AE74" i="71" s="1"/>
  <c r="AE179" i="71" s="1"/>
  <c r="T201" i="83"/>
  <c r="T74" i="71" s="1"/>
  <c r="T179" i="71" s="1"/>
  <c r="AF230" i="83"/>
  <c r="AF104" i="71" s="1"/>
  <c r="AF209" i="71" s="1"/>
  <c r="AH230" i="83"/>
  <c r="AH104" i="71" s="1"/>
  <c r="AH209" i="71" s="1"/>
  <c r="AG230" i="83"/>
  <c r="AG104" i="71" s="1"/>
  <c r="AG209" i="71" s="1"/>
  <c r="AM230" i="83"/>
  <c r="AM104" i="71" s="1"/>
  <c r="AM209" i="71" s="1"/>
  <c r="M201" i="83"/>
  <c r="M74" i="71" s="1"/>
  <c r="M179" i="71" s="1"/>
  <c r="Q172" i="83"/>
  <c r="Q44" i="71" s="1"/>
  <c r="Q149" i="71" s="1"/>
  <c r="K230" i="83"/>
  <c r="K104" i="71" s="1"/>
  <c r="K209" i="71" s="1"/>
  <c r="AI171" i="83"/>
  <c r="AI43" i="71" s="1"/>
  <c r="AI148" i="71" s="1"/>
  <c r="AJ171" i="83"/>
  <c r="AJ43" i="71" s="1"/>
  <c r="AJ148" i="71" s="1"/>
  <c r="Z172" i="83"/>
  <c r="Z44" i="71" s="1"/>
  <c r="Z149" i="71" s="1"/>
  <c r="K143" i="83"/>
  <c r="K145" i="72" s="1"/>
  <c r="K215" i="72" s="1"/>
  <c r="K245" i="72" s="1"/>
  <c r="AA230" i="83"/>
  <c r="AA104" i="71" s="1"/>
  <c r="AA209" i="71" s="1"/>
  <c r="AE172" i="83"/>
  <c r="AE44" i="71" s="1"/>
  <c r="AE149" i="71" s="1"/>
  <c r="AJ143" i="83"/>
  <c r="U172" i="83"/>
  <c r="U44" i="71" s="1"/>
  <c r="U149" i="71" s="1"/>
  <c r="AH201" i="83"/>
  <c r="AH74" i="71" s="1"/>
  <c r="AH179" i="71" s="1"/>
  <c r="AH172" i="83"/>
  <c r="AH44" i="71" s="1"/>
  <c r="AH149" i="71" s="1"/>
  <c r="AN230" i="83"/>
  <c r="AN104" i="71" s="1"/>
  <c r="AN209" i="71" s="1"/>
  <c r="AK230" i="83"/>
  <c r="AK104" i="71" s="1"/>
  <c r="AK209" i="71" s="1"/>
  <c r="J200" i="83"/>
  <c r="J73" i="71" s="1"/>
  <c r="J178" i="71" s="1"/>
  <c r="AA171" i="83"/>
  <c r="AA43" i="71" s="1"/>
  <c r="AA148" i="71" s="1"/>
  <c r="AE223" i="83"/>
  <c r="AE97" i="71" s="1"/>
  <c r="AE202" i="71" s="1"/>
  <c r="N136" i="83"/>
  <c r="N138" i="72" s="1"/>
  <c r="N208" i="72" s="1"/>
  <c r="N238" i="72" s="1"/>
  <c r="O223" i="83"/>
  <c r="O97" i="71" s="1"/>
  <c r="O202" i="71" s="1"/>
  <c r="X193" i="83"/>
  <c r="X66" i="71" s="1"/>
  <c r="X171" i="71" s="1"/>
  <c r="J47" i="55"/>
  <c r="AN136" i="83"/>
  <c r="AB223" i="83"/>
  <c r="AB97" i="71" s="1"/>
  <c r="AB202" i="71" s="1"/>
  <c r="T136" i="83"/>
  <c r="T138" i="72" s="1"/>
  <c r="T208" i="72" s="1"/>
  <c r="T238" i="72" s="1"/>
  <c r="AO136" i="83"/>
  <c r="AA223" i="83"/>
  <c r="AA97" i="71" s="1"/>
  <c r="AA202" i="71" s="1"/>
  <c r="Q223" i="83"/>
  <c r="Q97" i="71" s="1"/>
  <c r="Q202" i="71" s="1"/>
  <c r="AM223" i="83"/>
  <c r="AM97" i="71" s="1"/>
  <c r="AM202" i="71" s="1"/>
  <c r="AC136" i="83"/>
  <c r="O194" i="83"/>
  <c r="O67" i="71" s="1"/>
  <c r="O172" i="71" s="1"/>
  <c r="M165" i="83"/>
  <c r="M37" i="71" s="1"/>
  <c r="M142" i="71" s="1"/>
  <c r="U136" i="83"/>
  <c r="U138" i="72" s="1"/>
  <c r="U208" i="72" s="1"/>
  <c r="U238" i="72" s="1"/>
  <c r="AJ169" i="83"/>
  <c r="AJ41" i="71" s="1"/>
  <c r="AJ146" i="71" s="1"/>
  <c r="J165" i="83"/>
  <c r="J37" i="71" s="1"/>
  <c r="J142" i="71" s="1"/>
  <c r="AP165" i="83"/>
  <c r="AP37" i="71" s="1"/>
  <c r="AP142" i="71" s="1"/>
  <c r="AP199" i="83"/>
  <c r="AP72" i="71" s="1"/>
  <c r="AP177" i="71" s="1"/>
  <c r="L199" i="83"/>
  <c r="L72" i="71" s="1"/>
  <c r="L177" i="71" s="1"/>
  <c r="AI228" i="83"/>
  <c r="AI102" i="71" s="1"/>
  <c r="AI207" i="71" s="1"/>
  <c r="U227" i="83"/>
  <c r="U101" i="71" s="1"/>
  <c r="U206" i="71" s="1"/>
  <c r="AB230" i="83"/>
  <c r="AB104" i="71" s="1"/>
  <c r="AB209" i="71" s="1"/>
  <c r="W201" i="83"/>
  <c r="W74" i="71" s="1"/>
  <c r="W179" i="71" s="1"/>
  <c r="Q201" i="83"/>
  <c r="Q74" i="71" s="1"/>
  <c r="Q179" i="71" s="1"/>
  <c r="J201" i="83"/>
  <c r="J74" i="71" s="1"/>
  <c r="J179" i="71" s="1"/>
  <c r="W172" i="83"/>
  <c r="W44" i="71" s="1"/>
  <c r="W149" i="71" s="1"/>
  <c r="AP230" i="83"/>
  <c r="AP104" i="71" s="1"/>
  <c r="AP209" i="71" s="1"/>
  <c r="R143" i="83"/>
  <c r="R145" i="72" s="1"/>
  <c r="R215" i="72" s="1"/>
  <c r="R245" i="72" s="1"/>
  <c r="P201" i="83"/>
  <c r="P74" i="71" s="1"/>
  <c r="P179" i="71" s="1"/>
  <c r="AD230" i="83"/>
  <c r="AD104" i="71" s="1"/>
  <c r="AD209" i="71" s="1"/>
  <c r="AC230" i="83"/>
  <c r="AC104" i="71" s="1"/>
  <c r="AC209" i="71" s="1"/>
  <c r="R230" i="83"/>
  <c r="R104" i="71" s="1"/>
  <c r="R209" i="71" s="1"/>
  <c r="J194" i="83"/>
  <c r="J67" i="71" s="1"/>
  <c r="J172" i="71" s="1"/>
  <c r="W223" i="83"/>
  <c r="W97" i="71" s="1"/>
  <c r="W202" i="71" s="1"/>
  <c r="AB194" i="83"/>
  <c r="AB67" i="71" s="1"/>
  <c r="AB172" i="71" s="1"/>
  <c r="N194" i="83"/>
  <c r="N67" i="71" s="1"/>
  <c r="N172" i="71" s="1"/>
  <c r="X194" i="83"/>
  <c r="X67" i="71" s="1"/>
  <c r="X172" i="71" s="1"/>
  <c r="AP136" i="83"/>
  <c r="Y223" i="83"/>
  <c r="Y97" i="71" s="1"/>
  <c r="Y202" i="71" s="1"/>
  <c r="AD194" i="83"/>
  <c r="AD67" i="71" s="1"/>
  <c r="AD172" i="71" s="1"/>
  <c r="P194" i="83"/>
  <c r="P67" i="71" s="1"/>
  <c r="P172" i="71" s="1"/>
  <c r="AB135" i="83"/>
  <c r="AB137" i="72" s="1"/>
  <c r="AB207" i="72" s="1"/>
  <c r="AB237" i="72" s="1"/>
  <c r="M142" i="83"/>
  <c r="M144" i="72" s="1"/>
  <c r="M214" i="72" s="1"/>
  <c r="M244" i="72" s="1"/>
  <c r="AB171" i="83"/>
  <c r="AB43" i="71" s="1"/>
  <c r="AB148" i="71" s="1"/>
  <c r="Z142" i="83"/>
  <c r="Z144" i="72" s="1"/>
  <c r="Z214" i="72" s="1"/>
  <c r="Z244" i="72" s="1"/>
  <c r="W142" i="83"/>
  <c r="W144" i="72" s="1"/>
  <c r="W214" i="72" s="1"/>
  <c r="W244" i="72" s="1"/>
  <c r="AK200" i="83"/>
  <c r="AK73" i="71" s="1"/>
  <c r="AK178" i="71" s="1"/>
  <c r="M171" i="83"/>
  <c r="M43" i="71" s="1"/>
  <c r="M148" i="71" s="1"/>
  <c r="AJ142" i="83"/>
  <c r="AL142" i="83"/>
  <c r="J171" i="83"/>
  <c r="J43" i="71" s="1"/>
  <c r="J148" i="71" s="1"/>
  <c r="AA231" i="83"/>
  <c r="AA105" i="71" s="1"/>
  <c r="AA210" i="71" s="1"/>
  <c r="U171" i="83"/>
  <c r="U43" i="71" s="1"/>
  <c r="U148" i="71" s="1"/>
  <c r="L200" i="83"/>
  <c r="L73" i="71" s="1"/>
  <c r="L178" i="71" s="1"/>
  <c r="AP229" i="83"/>
  <c r="AP103" i="71" s="1"/>
  <c r="AP208" i="71" s="1"/>
  <c r="R200" i="83"/>
  <c r="R73" i="71" s="1"/>
  <c r="R178" i="71" s="1"/>
  <c r="Y200" i="83"/>
  <c r="Y73" i="71" s="1"/>
  <c r="Y178" i="71" s="1"/>
  <c r="J142" i="83"/>
  <c r="J144" i="72" s="1"/>
  <c r="J214" i="72" s="1"/>
  <c r="J244" i="72" s="1"/>
  <c r="Q200" i="83"/>
  <c r="Q73" i="71" s="1"/>
  <c r="Q178" i="71" s="1"/>
  <c r="P142" i="83"/>
  <c r="P144" i="72" s="1"/>
  <c r="P214" i="72" s="1"/>
  <c r="P244" i="72" s="1"/>
  <c r="AN229" i="83"/>
  <c r="AN103" i="71" s="1"/>
  <c r="AN208" i="71" s="1"/>
  <c r="Z199" i="83"/>
  <c r="Z72" i="71" s="1"/>
  <c r="Z177" i="71" s="1"/>
  <c r="AC231" i="83"/>
  <c r="AC105" i="71" s="1"/>
  <c r="AC210" i="71" s="1"/>
  <c r="W227" i="83"/>
  <c r="W101" i="71" s="1"/>
  <c r="W206" i="71" s="1"/>
  <c r="AN227" i="83"/>
  <c r="AN101" i="71" s="1"/>
  <c r="AN206" i="71" s="1"/>
  <c r="N222" i="83"/>
  <c r="N96" i="71" s="1"/>
  <c r="N201" i="71" s="1"/>
  <c r="AC222" i="83"/>
  <c r="AC96" i="71" s="1"/>
  <c r="AC201" i="71" s="1"/>
  <c r="AC141" i="83"/>
  <c r="AN228" i="83"/>
  <c r="AN102" i="71" s="1"/>
  <c r="AN207" i="71" s="1"/>
  <c r="AO202" i="83"/>
  <c r="AO75" i="71" s="1"/>
  <c r="AO180" i="71" s="1"/>
  <c r="AD140" i="83"/>
  <c r="P198" i="83"/>
  <c r="P71" i="71" s="1"/>
  <c r="P176" i="71" s="1"/>
  <c r="P140" i="83"/>
  <c r="P142" i="72" s="1"/>
  <c r="P212" i="72" s="1"/>
  <c r="P242" i="72" s="1"/>
  <c r="AF135" i="83"/>
  <c r="AK164" i="83"/>
  <c r="AK36" i="71" s="1"/>
  <c r="AK141" i="71" s="1"/>
  <c r="K140" i="83"/>
  <c r="K142" i="72" s="1"/>
  <c r="K212" i="72" s="1"/>
  <c r="K242" i="72" s="1"/>
  <c r="Q169" i="83"/>
  <c r="Q41" i="71" s="1"/>
  <c r="Q146" i="71" s="1"/>
  <c r="R193" i="83"/>
  <c r="R66" i="71" s="1"/>
  <c r="R171" i="71" s="1"/>
  <c r="Z164" i="83"/>
  <c r="Z36" i="71" s="1"/>
  <c r="Z141" i="71" s="1"/>
  <c r="U140" i="83"/>
  <c r="U142" i="72" s="1"/>
  <c r="U212" i="72" s="1"/>
  <c r="U242" i="72" s="1"/>
  <c r="AA198" i="83"/>
  <c r="AA71" i="71" s="1"/>
  <c r="AA176" i="71" s="1"/>
  <c r="AH140" i="83"/>
  <c r="N198" i="83"/>
  <c r="N71" i="71" s="1"/>
  <c r="N176" i="71" s="1"/>
  <c r="AA140" i="83"/>
  <c r="AA142" i="72" s="1"/>
  <c r="AA212" i="72" s="1"/>
  <c r="AA242" i="72" s="1"/>
  <c r="P227" i="83"/>
  <c r="P101" i="71" s="1"/>
  <c r="P206" i="71" s="1"/>
  <c r="AM140" i="83"/>
  <c r="Q198" i="83"/>
  <c r="Q71" i="71" s="1"/>
  <c r="Q176" i="71" s="1"/>
  <c r="Z222" i="83"/>
  <c r="Z96" i="71" s="1"/>
  <c r="Z201" i="71" s="1"/>
  <c r="O164" i="83"/>
  <c r="O36" i="71" s="1"/>
  <c r="O141" i="71" s="1"/>
  <c r="S135" i="83"/>
  <c r="S137" i="72" s="1"/>
  <c r="S207" i="72" s="1"/>
  <c r="S237" i="72" s="1"/>
  <c r="AH135" i="83"/>
  <c r="AM222" i="83"/>
  <c r="AM96" i="71" s="1"/>
  <c r="AM201" i="71" s="1"/>
  <c r="AG135" i="83"/>
  <c r="AD135" i="83"/>
  <c r="R164" i="83"/>
  <c r="R36" i="71" s="1"/>
  <c r="R141" i="71" s="1"/>
  <c r="AJ227" i="83"/>
  <c r="AJ101" i="71" s="1"/>
  <c r="AJ206" i="71" s="1"/>
  <c r="AM227" i="83"/>
  <c r="AM101" i="71" s="1"/>
  <c r="AM206" i="71" s="1"/>
  <c r="X140" i="83"/>
  <c r="X142" i="72" s="1"/>
  <c r="X212" i="72" s="1"/>
  <c r="X242" i="72" s="1"/>
  <c r="W140" i="83"/>
  <c r="W142" i="72" s="1"/>
  <c r="W212" i="72" s="1"/>
  <c r="W242" i="72" s="1"/>
  <c r="L227" i="83"/>
  <c r="L101" i="71" s="1"/>
  <c r="L206" i="71" s="1"/>
  <c r="AF227" i="83"/>
  <c r="AF101" i="71" s="1"/>
  <c r="AF206" i="71" s="1"/>
  <c r="AK169" i="83"/>
  <c r="AK41" i="71" s="1"/>
  <c r="AK146" i="71" s="1"/>
  <c r="R227" i="83"/>
  <c r="R101" i="71" s="1"/>
  <c r="R206" i="71" s="1"/>
  <c r="S193" i="83"/>
  <c r="S66" i="71" s="1"/>
  <c r="S171" i="71" s="1"/>
  <c r="R222" i="83"/>
  <c r="R96" i="71" s="1"/>
  <c r="R201" i="71" s="1"/>
  <c r="AI222" i="83"/>
  <c r="AI96" i="71" s="1"/>
  <c r="AI201" i="71" s="1"/>
  <c r="T193" i="83"/>
  <c r="AM193" i="83"/>
  <c r="AM66" i="71" s="1"/>
  <c r="AM171" i="71" s="1"/>
  <c r="U164" i="83"/>
  <c r="U36" i="71" s="1"/>
  <c r="U141" i="71" s="1"/>
  <c r="AK135" i="83"/>
  <c r="AA164" i="83"/>
  <c r="AA36" i="71" s="1"/>
  <c r="AA141" i="71" s="1"/>
  <c r="M164" i="83"/>
  <c r="M36" i="71" s="1"/>
  <c r="M141" i="71" s="1"/>
  <c r="N227" i="83"/>
  <c r="N101" i="71" s="1"/>
  <c r="N206" i="71" s="1"/>
  <c r="S227" i="83"/>
  <c r="S101" i="71" s="1"/>
  <c r="S206" i="71" s="1"/>
  <c r="Z227" i="83"/>
  <c r="Z101" i="71" s="1"/>
  <c r="Z206" i="71" s="1"/>
  <c r="R140" i="83"/>
  <c r="R142" i="72" s="1"/>
  <c r="R212" i="72" s="1"/>
  <c r="R242" i="72" s="1"/>
  <c r="AM198" i="83"/>
  <c r="AM71" i="71" s="1"/>
  <c r="AM176" i="71" s="1"/>
  <c r="X169" i="83"/>
  <c r="X41" i="71" s="1"/>
  <c r="X146" i="71" s="1"/>
  <c r="Z169" i="83"/>
  <c r="Z41" i="71" s="1"/>
  <c r="Z146" i="71" s="1"/>
  <c r="AO169" i="83"/>
  <c r="AO41" i="71" s="1"/>
  <c r="AO146" i="71" s="1"/>
  <c r="K222" i="83"/>
  <c r="K96" i="71" s="1"/>
  <c r="K201" i="71" s="1"/>
  <c r="AC135" i="83"/>
  <c r="AH193" i="83"/>
  <c r="AH66" i="71" s="1"/>
  <c r="AH171" i="71" s="1"/>
  <c r="AM135" i="83"/>
  <c r="O193" i="83"/>
  <c r="O66" i="71" s="1"/>
  <c r="O171" i="71" s="1"/>
  <c r="N193" i="83"/>
  <c r="N66" i="71" s="1"/>
  <c r="N171" i="71" s="1"/>
  <c r="AL135" i="83"/>
  <c r="AA135" i="83"/>
  <c r="AA137" i="72" s="1"/>
  <c r="AA207" i="72" s="1"/>
  <c r="AA237" i="72" s="1"/>
  <c r="R142" i="83"/>
  <c r="R144" i="72" s="1"/>
  <c r="R214" i="72" s="1"/>
  <c r="R244" i="72" s="1"/>
  <c r="AE200" i="83"/>
  <c r="AE73" i="71" s="1"/>
  <c r="AE178" i="71" s="1"/>
  <c r="AF200" i="83"/>
  <c r="AF73" i="71" s="1"/>
  <c r="AF178" i="71" s="1"/>
  <c r="AD171" i="83"/>
  <c r="AD43" i="71" s="1"/>
  <c r="AD148" i="71" s="1"/>
  <c r="K142" i="83"/>
  <c r="K144" i="72" s="1"/>
  <c r="K214" i="72" s="1"/>
  <c r="K244" i="72" s="1"/>
  <c r="L229" i="83"/>
  <c r="L103" i="71" s="1"/>
  <c r="L208" i="71" s="1"/>
  <c r="Y229" i="83"/>
  <c r="Y103" i="71" s="1"/>
  <c r="Y208" i="71" s="1"/>
  <c r="AK171" i="83"/>
  <c r="AK43" i="71" s="1"/>
  <c r="AK148" i="71" s="1"/>
  <c r="AA229" i="83"/>
  <c r="AA103" i="71" s="1"/>
  <c r="AA208" i="71" s="1"/>
  <c r="W171" i="83"/>
  <c r="W43" i="71" s="1"/>
  <c r="W148" i="71" s="1"/>
  <c r="X171" i="83"/>
  <c r="X43" i="71" s="1"/>
  <c r="X148" i="71" s="1"/>
  <c r="AG171" i="83"/>
  <c r="AG43" i="71" s="1"/>
  <c r="AG148" i="71" s="1"/>
  <c r="O142" i="83"/>
  <c r="O144" i="72" s="1"/>
  <c r="O214" i="72" s="1"/>
  <c r="O244" i="72" s="1"/>
  <c r="L142" i="83"/>
  <c r="L144" i="72" s="1"/>
  <c r="L214" i="72" s="1"/>
  <c r="L244" i="72" s="1"/>
  <c r="AC229" i="83"/>
  <c r="AC103" i="71" s="1"/>
  <c r="AC208" i="71" s="1"/>
  <c r="N200" i="83"/>
  <c r="N73" i="71" s="1"/>
  <c r="N178" i="71" s="1"/>
  <c r="AH199" i="83"/>
  <c r="AH72" i="71" s="1"/>
  <c r="AH177" i="71" s="1"/>
  <c r="M228" i="83"/>
  <c r="M102" i="71" s="1"/>
  <c r="M207" i="71" s="1"/>
  <c r="AP231" i="83"/>
  <c r="AP105" i="71" s="1"/>
  <c r="AP210" i="71" s="1"/>
  <c r="P225" i="83"/>
  <c r="P99" i="71" s="1"/>
  <c r="P204" i="71" s="1"/>
  <c r="AN225" i="83"/>
  <c r="AN99" i="71" s="1"/>
  <c r="AN204" i="71" s="1"/>
  <c r="O137" i="83"/>
  <c r="O139" i="72" s="1"/>
  <c r="O209" i="72" s="1"/>
  <c r="O239" i="72" s="1"/>
  <c r="M166" i="83"/>
  <c r="M38" i="71" s="1"/>
  <c r="M143" i="71" s="1"/>
  <c r="AM196" i="83"/>
  <c r="AM69" i="71" s="1"/>
  <c r="AM174" i="71" s="1"/>
  <c r="K167" i="83"/>
  <c r="K39" i="71" s="1"/>
  <c r="K144" i="71" s="1"/>
  <c r="AN195" i="83"/>
  <c r="AN68" i="71" s="1"/>
  <c r="AN173" i="71" s="1"/>
  <c r="Z166" i="83"/>
  <c r="Z38" i="71" s="1"/>
  <c r="Z143" i="71" s="1"/>
  <c r="AA228" i="83"/>
  <c r="AA102" i="71" s="1"/>
  <c r="AA207" i="71" s="1"/>
  <c r="J141" i="83"/>
  <c r="J143" i="72" s="1"/>
  <c r="J213" i="72" s="1"/>
  <c r="J243" i="72" s="1"/>
  <c r="O228" i="83"/>
  <c r="O102" i="71" s="1"/>
  <c r="O207" i="71" s="1"/>
  <c r="AP228" i="83"/>
  <c r="AP102" i="71" s="1"/>
  <c r="AP207" i="71" s="1"/>
  <c r="AK225" i="83"/>
  <c r="AK99" i="71" s="1"/>
  <c r="AK204" i="71" s="1"/>
  <c r="AP196" i="83"/>
  <c r="AP69" i="71" s="1"/>
  <c r="AP174" i="71" s="1"/>
  <c r="Z224" i="83"/>
  <c r="Z98" i="71" s="1"/>
  <c r="Z203" i="71" s="1"/>
  <c r="AC195" i="83"/>
  <c r="AC68" i="71" s="1"/>
  <c r="AC173" i="71" s="1"/>
  <c r="O196" i="83"/>
  <c r="O69" i="71" s="1"/>
  <c r="O174" i="71" s="1"/>
  <c r="AO225" i="83"/>
  <c r="AO99" i="71" s="1"/>
  <c r="AO204" i="71" s="1"/>
  <c r="AC224" i="83"/>
  <c r="AC98" i="71" s="1"/>
  <c r="AC203" i="71" s="1"/>
  <c r="AK166" i="83"/>
  <c r="AK38" i="71" s="1"/>
  <c r="AK143" i="71" s="1"/>
  <c r="R170" i="83"/>
  <c r="R42" i="71" s="1"/>
  <c r="R147" i="71" s="1"/>
  <c r="AI141" i="83"/>
  <c r="AC170" i="83"/>
  <c r="AC42" i="71" s="1"/>
  <c r="AC147" i="71" s="1"/>
  <c r="AI170" i="83"/>
  <c r="AI42" i="71" s="1"/>
  <c r="AI147" i="71" s="1"/>
  <c r="AL138" i="83"/>
  <c r="AA225" i="83"/>
  <c r="AA99" i="71" s="1"/>
  <c r="AA204" i="71" s="1"/>
  <c r="AO138" i="83"/>
  <c r="AF167" i="83"/>
  <c r="AF39" i="71" s="1"/>
  <c r="AF144" i="71" s="1"/>
  <c r="AI196" i="83"/>
  <c r="AI69" i="71" s="1"/>
  <c r="AI174" i="71" s="1"/>
  <c r="AG196" i="83"/>
  <c r="AG69" i="71" s="1"/>
  <c r="AG174" i="71" s="1"/>
  <c r="T167" i="83"/>
  <c r="T39" i="71" s="1"/>
  <c r="T144" i="71" s="1"/>
  <c r="Y138" i="83"/>
  <c r="Y140" i="72" s="1"/>
  <c r="Y210" i="72" s="1"/>
  <c r="Y240" i="72" s="1"/>
  <c r="AJ195" i="83"/>
  <c r="AJ68" i="71" s="1"/>
  <c r="AJ173" i="71" s="1"/>
  <c r="AC166" i="83"/>
  <c r="AC38" i="71" s="1"/>
  <c r="AC143" i="71" s="1"/>
  <c r="AK224" i="83"/>
  <c r="AK98" i="71" s="1"/>
  <c r="AK203" i="71" s="1"/>
  <c r="AE137" i="83"/>
  <c r="P224" i="83"/>
  <c r="P98" i="71" s="1"/>
  <c r="P203" i="71" s="1"/>
  <c r="AD166" i="83"/>
  <c r="AD38" i="71" s="1"/>
  <c r="AD143" i="71" s="1"/>
  <c r="AJ166" i="83"/>
  <c r="AJ38" i="71" s="1"/>
  <c r="AJ143" i="71" s="1"/>
  <c r="AD224" i="83"/>
  <c r="AD98" i="71" s="1"/>
  <c r="AD203" i="71" s="1"/>
  <c r="AJ196" i="83"/>
  <c r="AJ69" i="71" s="1"/>
  <c r="AJ174" i="71" s="1"/>
  <c r="L225" i="83"/>
  <c r="L99" i="71" s="1"/>
  <c r="L204" i="71" s="1"/>
  <c r="AA138" i="83"/>
  <c r="AA140" i="72" s="1"/>
  <c r="AA210" i="72" s="1"/>
  <c r="AA240" i="72" s="1"/>
  <c r="J196" i="83"/>
  <c r="J69" i="71" s="1"/>
  <c r="J174" i="71" s="1"/>
  <c r="AI138" i="83"/>
  <c r="AB196" i="83"/>
  <c r="AB69" i="71" s="1"/>
  <c r="AB174" i="71" s="1"/>
  <c r="Z138" i="83"/>
  <c r="Z140" i="72" s="1"/>
  <c r="Z210" i="72" s="1"/>
  <c r="Z240" i="72" s="1"/>
  <c r="S138" i="83"/>
  <c r="S140" i="72" s="1"/>
  <c r="S210" i="72" s="1"/>
  <c r="S240" i="72" s="1"/>
  <c r="Q137" i="83"/>
  <c r="Q139" i="72" s="1"/>
  <c r="Q209" i="72" s="1"/>
  <c r="Q239" i="72" s="1"/>
  <c r="L166" i="83"/>
  <c r="L38" i="71" s="1"/>
  <c r="L143" i="71" s="1"/>
  <c r="AM166" i="83"/>
  <c r="AM38" i="71" s="1"/>
  <c r="AM143" i="71" s="1"/>
  <c r="S166" i="83"/>
  <c r="S38" i="71" s="1"/>
  <c r="S143" i="71" s="1"/>
  <c r="X195" i="83"/>
  <c r="X68" i="71" s="1"/>
  <c r="X173" i="71" s="1"/>
  <c r="AH137" i="83"/>
  <c r="R224" i="83"/>
  <c r="R98" i="71" s="1"/>
  <c r="R203" i="71" s="1"/>
  <c r="N224" i="83"/>
  <c r="N98" i="71" s="1"/>
  <c r="N203" i="71" s="1"/>
  <c r="M225" i="83"/>
  <c r="M99" i="71" s="1"/>
  <c r="M204" i="71" s="1"/>
  <c r="AN167" i="83"/>
  <c r="AN39" i="71" s="1"/>
  <c r="AN144" i="71" s="1"/>
  <c r="AC196" i="83"/>
  <c r="AC69" i="71" s="1"/>
  <c r="AC174" i="71" s="1"/>
  <c r="AL225" i="83"/>
  <c r="AL99" i="71" s="1"/>
  <c r="AL204" i="71" s="1"/>
  <c r="U167" i="83"/>
  <c r="U39" i="71" s="1"/>
  <c r="U144" i="71" s="1"/>
  <c r="M167" i="83"/>
  <c r="M39" i="71" s="1"/>
  <c r="M144" i="71" s="1"/>
  <c r="U196" i="83"/>
  <c r="U69" i="71" s="1"/>
  <c r="U174" i="71" s="1"/>
  <c r="K225" i="83"/>
  <c r="K99" i="71" s="1"/>
  <c r="K204" i="71" s="1"/>
  <c r="AH196" i="83"/>
  <c r="AH69" i="71" s="1"/>
  <c r="AH174" i="71" s="1"/>
  <c r="T224" i="83"/>
  <c r="T98" i="71" s="1"/>
  <c r="T203" i="71" s="1"/>
  <c r="N137" i="83"/>
  <c r="N139" i="72" s="1"/>
  <c r="N209" i="72" s="1"/>
  <c r="N239" i="72" s="1"/>
  <c r="AG224" i="83"/>
  <c r="AG98" i="71" s="1"/>
  <c r="AG203" i="71" s="1"/>
  <c r="V195" i="83"/>
  <c r="V68" i="71" s="1"/>
  <c r="V173" i="71" s="1"/>
  <c r="AJ137" i="83"/>
  <c r="AG166" i="83"/>
  <c r="AG38" i="71" s="1"/>
  <c r="AG143" i="71" s="1"/>
  <c r="AD137" i="83"/>
  <c r="AE166" i="83"/>
  <c r="AE38" i="71" s="1"/>
  <c r="AE143" i="71" s="1"/>
  <c r="J166" i="83"/>
  <c r="J38" i="71" s="1"/>
  <c r="J143" i="71" s="1"/>
  <c r="AC169" i="83"/>
  <c r="AC41" i="71" s="1"/>
  <c r="AC146" i="71" s="1"/>
  <c r="R169" i="83"/>
  <c r="R41" i="71" s="1"/>
  <c r="R146" i="71" s="1"/>
  <c r="K198" i="83"/>
  <c r="K71" i="71" s="1"/>
  <c r="K176" i="71" s="1"/>
  <c r="K169" i="83"/>
  <c r="K41" i="71" s="1"/>
  <c r="K146" i="71" s="1"/>
  <c r="N140" i="83"/>
  <c r="N142" i="72" s="1"/>
  <c r="N212" i="72" s="1"/>
  <c r="N242" i="72" s="1"/>
  <c r="AD169" i="83"/>
  <c r="AD41" i="71" s="1"/>
  <c r="AD146" i="71" s="1"/>
  <c r="AK140" i="83"/>
  <c r="AK198" i="83"/>
  <c r="AK71" i="71" s="1"/>
  <c r="AK176" i="71" s="1"/>
  <c r="AI227" i="83"/>
  <c r="AI101" i="71" s="1"/>
  <c r="AI206" i="71" s="1"/>
  <c r="Q140" i="83"/>
  <c r="Q142" i="72" s="1"/>
  <c r="Q212" i="72" s="1"/>
  <c r="Q242" i="72" s="1"/>
  <c r="AE169" i="83"/>
  <c r="AE41" i="71" s="1"/>
  <c r="AE146" i="71" s="1"/>
  <c r="AP198" i="83"/>
  <c r="AP71" i="71" s="1"/>
  <c r="AP176" i="71" s="1"/>
  <c r="R198" i="83"/>
  <c r="R71" i="71" s="1"/>
  <c r="R176" i="71" s="1"/>
  <c r="AB140" i="83"/>
  <c r="AB142" i="72" s="1"/>
  <c r="AB212" i="72" s="1"/>
  <c r="AB242" i="72" s="1"/>
  <c r="AB227" i="83"/>
  <c r="AB101" i="71" s="1"/>
  <c r="AB206" i="71" s="1"/>
  <c r="AN140" i="83"/>
  <c r="AH169" i="83"/>
  <c r="AH41" i="71" s="1"/>
  <c r="AH146" i="71" s="1"/>
  <c r="J198" i="83"/>
  <c r="J71" i="71" s="1"/>
  <c r="J176" i="71" s="1"/>
  <c r="AH227" i="83"/>
  <c r="AH101" i="71" s="1"/>
  <c r="AH206" i="71" s="1"/>
  <c r="AA227" i="83"/>
  <c r="AA101" i="71" s="1"/>
  <c r="AA206" i="71" s="1"/>
  <c r="AF169" i="83"/>
  <c r="AF41" i="71" s="1"/>
  <c r="AF146" i="71" s="1"/>
  <c r="AG227" i="83"/>
  <c r="AG101" i="71" s="1"/>
  <c r="AG206" i="71" s="1"/>
  <c r="U169" i="83"/>
  <c r="U41" i="71" s="1"/>
  <c r="U146" i="71" s="1"/>
  <c r="M140" i="83"/>
  <c r="M142" i="72" s="1"/>
  <c r="M212" i="72" s="1"/>
  <c r="M242" i="72" s="1"/>
  <c r="S169" i="83"/>
  <c r="S41" i="71" s="1"/>
  <c r="S146" i="71" s="1"/>
  <c r="V140" i="83"/>
  <c r="V142" i="72" s="1"/>
  <c r="V212" i="72" s="1"/>
  <c r="V242" i="72" s="1"/>
  <c r="Q227" i="83"/>
  <c r="Q101" i="71" s="1"/>
  <c r="Q206" i="71" s="1"/>
  <c r="AE227" i="83"/>
  <c r="AE101" i="71" s="1"/>
  <c r="AE206" i="71" s="1"/>
  <c r="AE140" i="83"/>
  <c r="AC227" i="83"/>
  <c r="AC101" i="71" s="1"/>
  <c r="AC206" i="71" s="1"/>
  <c r="N169" i="83"/>
  <c r="N41" i="71" s="1"/>
  <c r="N146" i="71" s="1"/>
  <c r="AN169" i="83"/>
  <c r="AN41" i="71" s="1"/>
  <c r="AN146" i="71" s="1"/>
  <c r="AL198" i="83"/>
  <c r="AL71" i="71" s="1"/>
  <c r="AL176" i="71" s="1"/>
  <c r="AJ135" i="83"/>
  <c r="AD222" i="83"/>
  <c r="AD96" i="71" s="1"/>
  <c r="AD201" i="71" s="1"/>
  <c r="S222" i="83"/>
  <c r="S96" i="71" s="1"/>
  <c r="S201" i="71" s="1"/>
  <c r="L222" i="83"/>
  <c r="L96" i="71" s="1"/>
  <c r="L201" i="71" s="1"/>
  <c r="J222" i="83"/>
  <c r="J96" i="71" s="1"/>
  <c r="J201" i="71" s="1"/>
  <c r="N164" i="83"/>
  <c r="N36" i="71" s="1"/>
  <c r="N141" i="71" s="1"/>
  <c r="AH222" i="83"/>
  <c r="AH96" i="71" s="1"/>
  <c r="AH201" i="71" s="1"/>
  <c r="R135" i="83"/>
  <c r="R137" i="72" s="1"/>
  <c r="R207" i="72" s="1"/>
  <c r="R237" i="72" s="1"/>
  <c r="AJ164" i="83"/>
  <c r="AJ36" i="71" s="1"/>
  <c r="AJ141" i="71" s="1"/>
  <c r="AK222" i="83"/>
  <c r="AK96" i="71" s="1"/>
  <c r="AK201" i="71" s="1"/>
  <c r="AC193" i="83"/>
  <c r="AC66" i="71" s="1"/>
  <c r="AC171" i="71" s="1"/>
  <c r="AC164" i="83"/>
  <c r="AC36" i="71" s="1"/>
  <c r="AC141" i="71" s="1"/>
  <c r="AL164" i="83"/>
  <c r="AL36" i="71" s="1"/>
  <c r="AL141" i="71" s="1"/>
  <c r="AF164" i="83"/>
  <c r="AF36" i="71" s="1"/>
  <c r="AF141" i="71" s="1"/>
  <c r="AJ193" i="83"/>
  <c r="AJ66" i="71" s="1"/>
  <c r="AJ171" i="71" s="1"/>
  <c r="O135" i="83"/>
  <c r="O137" i="72" s="1"/>
  <c r="O207" i="72" s="1"/>
  <c r="O237" i="72" s="1"/>
  <c r="AN164" i="83"/>
  <c r="AN36" i="71" s="1"/>
  <c r="AN141" i="71" s="1"/>
  <c r="AH164" i="83"/>
  <c r="AE193" i="83"/>
  <c r="AE66" i="71" s="1"/>
  <c r="AE171" i="71" s="1"/>
  <c r="S164" i="83"/>
  <c r="S36" i="71" s="1"/>
  <c r="S141" i="71" s="1"/>
  <c r="Y222" i="83"/>
  <c r="Y96" i="71" s="1"/>
  <c r="Y201" i="71" s="1"/>
  <c r="K193" i="83"/>
  <c r="AB222" i="83"/>
  <c r="AB96" i="71" s="1"/>
  <c r="AB201" i="71" s="1"/>
  <c r="AO164" i="83"/>
  <c r="J193" i="83"/>
  <c r="X135" i="83"/>
  <c r="X137" i="72" s="1"/>
  <c r="X207" i="72" s="1"/>
  <c r="X237" i="72" s="1"/>
  <c r="W222" i="83"/>
  <c r="W96" i="71" s="1"/>
  <c r="W201" i="71" s="1"/>
  <c r="X222" i="83"/>
  <c r="X96" i="71" s="1"/>
  <c r="X201" i="71" s="1"/>
  <c r="AG193" i="83"/>
  <c r="AG66" i="71" s="1"/>
  <c r="AG171" i="71" s="1"/>
  <c r="AI164" i="83"/>
  <c r="AI36" i="71" s="1"/>
  <c r="AI141" i="71" s="1"/>
  <c r="AB164" i="83"/>
  <c r="AB36" i="71" s="1"/>
  <c r="AB141" i="71" s="1"/>
  <c r="L164" i="83"/>
  <c r="L36" i="71" s="1"/>
  <c r="L141" i="71" s="1"/>
  <c r="V164" i="83"/>
  <c r="V36" i="71" s="1"/>
  <c r="V141" i="71" s="1"/>
  <c r="AP169" i="83"/>
  <c r="AP41" i="71" s="1"/>
  <c r="AP146" i="71" s="1"/>
  <c r="T169" i="83"/>
  <c r="T41" i="71" s="1"/>
  <c r="T146" i="71" s="1"/>
  <c r="AG198" i="83"/>
  <c r="AG71" i="71" s="1"/>
  <c r="AG176" i="71" s="1"/>
  <c r="AE198" i="83"/>
  <c r="AE71" i="71" s="1"/>
  <c r="AE176" i="71" s="1"/>
  <c r="Z140" i="83"/>
  <c r="Z142" i="72" s="1"/>
  <c r="Z212" i="72" s="1"/>
  <c r="Z242" i="72" s="1"/>
  <c r="O140" i="83"/>
  <c r="O142" i="72" s="1"/>
  <c r="O212" i="72" s="1"/>
  <c r="O242" i="72" s="1"/>
  <c r="K227" i="83"/>
  <c r="K101" i="71" s="1"/>
  <c r="K206" i="71" s="1"/>
  <c r="J169" i="83"/>
  <c r="J41" i="71" s="1"/>
  <c r="J146" i="71" s="1"/>
  <c r="AD227" i="83"/>
  <c r="AD101" i="71" s="1"/>
  <c r="AD206" i="71" s="1"/>
  <c r="W169" i="83"/>
  <c r="W41" i="71" s="1"/>
  <c r="W146" i="71" s="1"/>
  <c r="AB198" i="83"/>
  <c r="AB71" i="71" s="1"/>
  <c r="AB176" i="71" s="1"/>
  <c r="V169" i="83"/>
  <c r="V41" i="71" s="1"/>
  <c r="V146" i="71" s="1"/>
  <c r="T227" i="83"/>
  <c r="T101" i="71" s="1"/>
  <c r="T206" i="71" s="1"/>
  <c r="AI169" i="83"/>
  <c r="AI41" i="71" s="1"/>
  <c r="AI146" i="71" s="1"/>
  <c r="W198" i="83"/>
  <c r="W71" i="71" s="1"/>
  <c r="W176" i="71" s="1"/>
  <c r="AB169" i="83"/>
  <c r="AB41" i="71" s="1"/>
  <c r="AB146" i="71" s="1"/>
  <c r="M169" i="83"/>
  <c r="M41" i="71" s="1"/>
  <c r="M146" i="71" s="1"/>
  <c r="AN198" i="83"/>
  <c r="AN71" i="71" s="1"/>
  <c r="AN176" i="71" s="1"/>
  <c r="AP140" i="83"/>
  <c r="S198" i="83"/>
  <c r="S71" i="71" s="1"/>
  <c r="S176" i="71" s="1"/>
  <c r="T198" i="83"/>
  <c r="T71" i="71" s="1"/>
  <c r="T176" i="71" s="1"/>
  <c r="Y198" i="83"/>
  <c r="Y71" i="71" s="1"/>
  <c r="Y176" i="71" s="1"/>
  <c r="AJ140" i="83"/>
  <c r="AC140" i="83"/>
  <c r="AI140" i="83"/>
  <c r="AF140" i="83"/>
  <c r="AG140" i="83"/>
  <c r="AH198" i="83"/>
  <c r="AH71" i="71" s="1"/>
  <c r="AH176" i="71" s="1"/>
  <c r="AG169" i="83"/>
  <c r="AG41" i="71" s="1"/>
  <c r="AG146" i="71" s="1"/>
  <c r="AF198" i="83"/>
  <c r="AF71" i="71" s="1"/>
  <c r="AF176" i="71" s="1"/>
  <c r="S140" i="83"/>
  <c r="S142" i="72" s="1"/>
  <c r="S212" i="72" s="1"/>
  <c r="S242" i="72" s="1"/>
  <c r="AI198" i="83"/>
  <c r="AI71" i="71" s="1"/>
  <c r="AI176" i="71" s="1"/>
  <c r="AL169" i="83"/>
  <c r="AL41" i="71" s="1"/>
  <c r="AL146" i="71" s="1"/>
  <c r="AA222" i="83"/>
  <c r="AA96" i="71" s="1"/>
  <c r="AA201" i="71" s="1"/>
  <c r="W164" i="83"/>
  <c r="W36" i="71" s="1"/>
  <c r="W141" i="71" s="1"/>
  <c r="U222" i="83"/>
  <c r="U96" i="71" s="1"/>
  <c r="U201" i="71" s="1"/>
  <c r="U193" i="83"/>
  <c r="U66" i="71" s="1"/>
  <c r="U171" i="71" s="1"/>
  <c r="AN135" i="83"/>
  <c r="AA193" i="83"/>
  <c r="AA66" i="71" s="1"/>
  <c r="AA171" i="71" s="1"/>
  <c r="AE135" i="83"/>
  <c r="AO222" i="83"/>
  <c r="AO96" i="71" s="1"/>
  <c r="AO201" i="71" s="1"/>
  <c r="AI193" i="83"/>
  <c r="AI66" i="71" s="1"/>
  <c r="AI171" i="71" s="1"/>
  <c r="AF222" i="83"/>
  <c r="AF96" i="71" s="1"/>
  <c r="AF201" i="71" s="1"/>
  <c r="V222" i="83"/>
  <c r="V96" i="71" s="1"/>
  <c r="V201" i="71" s="1"/>
  <c r="V135" i="83"/>
  <c r="V137" i="72" s="1"/>
  <c r="V207" i="72" s="1"/>
  <c r="V237" i="72" s="1"/>
  <c r="AG222" i="83"/>
  <c r="AG96" i="71" s="1"/>
  <c r="AG201" i="71" s="1"/>
  <c r="AL193" i="83"/>
  <c r="AL66" i="71" s="1"/>
  <c r="AL171" i="71" s="1"/>
  <c r="J135" i="83"/>
  <c r="J137" i="72" s="1"/>
  <c r="J207" i="72" s="1"/>
  <c r="J237" i="72" s="1"/>
  <c r="AI135" i="83"/>
  <c r="W135" i="83"/>
  <c r="W137" i="72" s="1"/>
  <c r="W207" i="72" s="1"/>
  <c r="W237" i="72" s="1"/>
  <c r="AP222" i="83"/>
  <c r="AP96" i="71" s="1"/>
  <c r="AP201" i="71" s="1"/>
  <c r="N135" i="83"/>
  <c r="N137" i="72" s="1"/>
  <c r="N207" i="72" s="1"/>
  <c r="N237" i="72" s="1"/>
  <c r="P135" i="83"/>
  <c r="P137" i="72" s="1"/>
  <c r="P207" i="72" s="1"/>
  <c r="P237" i="72" s="1"/>
  <c r="L193" i="83"/>
  <c r="L66" i="71" s="1"/>
  <c r="L171" i="71" s="1"/>
  <c r="K164" i="83"/>
  <c r="AD193" i="83"/>
  <c r="AD66" i="71" s="1"/>
  <c r="AD171" i="71" s="1"/>
  <c r="Z193" i="83"/>
  <c r="Z66" i="71" s="1"/>
  <c r="Z171" i="71" s="1"/>
  <c r="Y193" i="83"/>
  <c r="Y66" i="71" s="1"/>
  <c r="Y171" i="71" s="1"/>
  <c r="AE164" i="83"/>
  <c r="AE36" i="71" s="1"/>
  <c r="AE141" i="71" s="1"/>
  <c r="AN222" i="83"/>
  <c r="AN96" i="71" s="1"/>
  <c r="AN201" i="71" s="1"/>
  <c r="M222" i="83"/>
  <c r="M96" i="71" s="1"/>
  <c r="M201" i="71" s="1"/>
  <c r="Y135" i="83"/>
  <c r="Y137" i="72" s="1"/>
  <c r="Y207" i="72" s="1"/>
  <c r="Y237" i="72" s="1"/>
  <c r="AP135" i="83"/>
  <c r="T135" i="83"/>
  <c r="T137" i="72" s="1"/>
  <c r="T207" i="72" s="1"/>
  <c r="T237" i="72" s="1"/>
  <c r="V193" i="83"/>
  <c r="V66" i="71" s="1"/>
  <c r="V171" i="71" s="1"/>
  <c r="J164" i="83"/>
  <c r="J36" i="71" s="1"/>
  <c r="T140" i="83"/>
  <c r="T142" i="72" s="1"/>
  <c r="T212" i="72" s="1"/>
  <c r="T242" i="72" s="1"/>
  <c r="AL140" i="83"/>
  <c r="AP227" i="83"/>
  <c r="AP101" i="71" s="1"/>
  <c r="AP206" i="71" s="1"/>
  <c r="AK227" i="83"/>
  <c r="AK101" i="71" s="1"/>
  <c r="AK206" i="71" s="1"/>
  <c r="U198" i="83"/>
  <c r="U71" i="71" s="1"/>
  <c r="U176" i="71" s="1"/>
  <c r="AC198" i="83"/>
  <c r="AC71" i="71" s="1"/>
  <c r="AC176" i="71" s="1"/>
  <c r="M198" i="83"/>
  <c r="M71" i="71" s="1"/>
  <c r="M176" i="71" s="1"/>
  <c r="AL227" i="83"/>
  <c r="AL101" i="71" s="1"/>
  <c r="AL206" i="71" s="1"/>
  <c r="O227" i="83"/>
  <c r="O101" i="71" s="1"/>
  <c r="O206" i="71" s="1"/>
  <c r="M227" i="83"/>
  <c r="M101" i="71" s="1"/>
  <c r="M206" i="71" s="1"/>
  <c r="L198" i="83"/>
  <c r="L71" i="71" s="1"/>
  <c r="L176" i="71" s="1"/>
  <c r="Z198" i="83"/>
  <c r="Z71" i="71" s="1"/>
  <c r="Z176" i="71" s="1"/>
  <c r="Y227" i="83"/>
  <c r="Y101" i="71" s="1"/>
  <c r="Y206" i="71" s="1"/>
  <c r="J227" i="83"/>
  <c r="J101" i="71" s="1"/>
  <c r="J206" i="71" s="1"/>
  <c r="AO198" i="83"/>
  <c r="AO71" i="71" s="1"/>
  <c r="AO176" i="71" s="1"/>
  <c r="AM169" i="83"/>
  <c r="AM41" i="71" s="1"/>
  <c r="AM146" i="71" s="1"/>
  <c r="AO227" i="83"/>
  <c r="AO101" i="71" s="1"/>
  <c r="AO206" i="71" s="1"/>
  <c r="AD198" i="83"/>
  <c r="AD71" i="71" s="1"/>
  <c r="AD176" i="71" s="1"/>
  <c r="P169" i="83"/>
  <c r="P41" i="71" s="1"/>
  <c r="P146" i="71" s="1"/>
  <c r="AJ198" i="83"/>
  <c r="AJ71" i="71" s="1"/>
  <c r="AJ176" i="71" s="1"/>
  <c r="V227" i="83"/>
  <c r="V101" i="71" s="1"/>
  <c r="V206" i="71" s="1"/>
  <c r="J140" i="83"/>
  <c r="J142" i="72" s="1"/>
  <c r="J212" i="72" s="1"/>
  <c r="J242" i="72" s="1"/>
  <c r="Y169" i="83"/>
  <c r="Y41" i="71" s="1"/>
  <c r="Y146" i="71" s="1"/>
  <c r="X227" i="83"/>
  <c r="X101" i="71" s="1"/>
  <c r="X206" i="71" s="1"/>
  <c r="X198" i="83"/>
  <c r="X71" i="71" s="1"/>
  <c r="X176" i="71" s="1"/>
  <c r="AO140" i="83"/>
  <c r="L169" i="83"/>
  <c r="L41" i="71" s="1"/>
  <c r="L146" i="71" s="1"/>
  <c r="V198" i="83"/>
  <c r="V71" i="71" s="1"/>
  <c r="V176" i="71" s="1"/>
  <c r="Y140" i="83"/>
  <c r="Y142" i="72" s="1"/>
  <c r="Y212" i="72" s="1"/>
  <c r="Y242" i="72" s="1"/>
  <c r="O198" i="83"/>
  <c r="O71" i="71" s="1"/>
  <c r="O176" i="71" s="1"/>
  <c r="O169" i="83"/>
  <c r="O41" i="71" s="1"/>
  <c r="O146" i="71" s="1"/>
  <c r="AA169" i="83"/>
  <c r="AA41" i="71" s="1"/>
  <c r="AA146" i="71" s="1"/>
  <c r="Q222" i="83"/>
  <c r="Q96" i="71" s="1"/>
  <c r="Q201" i="71" s="1"/>
  <c r="P164" i="83"/>
  <c r="P36" i="71" s="1"/>
  <c r="P141" i="71" s="1"/>
  <c r="AK193" i="83"/>
  <c r="AK66" i="71" s="1"/>
  <c r="AK171" i="71" s="1"/>
  <c r="AP193" i="83"/>
  <c r="AP66" i="71" s="1"/>
  <c r="AP171" i="71" s="1"/>
  <c r="Y164" i="83"/>
  <c r="Y36" i="71" s="1"/>
  <c r="Y141" i="71" s="1"/>
  <c r="AP164" i="83"/>
  <c r="AP36" i="71" s="1"/>
  <c r="AP141" i="71" s="1"/>
  <c r="AN193" i="83"/>
  <c r="AN66" i="71" s="1"/>
  <c r="AN171" i="71" s="1"/>
  <c r="AF193" i="83"/>
  <c r="AF66" i="71" s="1"/>
  <c r="AF171" i="71" s="1"/>
  <c r="Z135" i="83"/>
  <c r="Z137" i="72" s="1"/>
  <c r="Z207" i="72" s="1"/>
  <c r="Z237" i="72" s="1"/>
  <c r="P193" i="83"/>
  <c r="P66" i="71" s="1"/>
  <c r="P171" i="71" s="1"/>
  <c r="P222" i="83"/>
  <c r="P96" i="71" s="1"/>
  <c r="P201" i="71" s="1"/>
  <c r="T164" i="83"/>
  <c r="T36" i="71" s="1"/>
  <c r="T141" i="71" s="1"/>
  <c r="Q193" i="83"/>
  <c r="Q66" i="71" s="1"/>
  <c r="Q171" i="71" s="1"/>
  <c r="U135" i="83"/>
  <c r="U137" i="72" s="1"/>
  <c r="U207" i="72" s="1"/>
  <c r="U237" i="72" s="1"/>
  <c r="K135" i="83"/>
  <c r="K137" i="72" s="1"/>
  <c r="K207" i="72" s="1"/>
  <c r="K237" i="72" s="1"/>
  <c r="AM164" i="83"/>
  <c r="AM36" i="71" s="1"/>
  <c r="AM141" i="71" s="1"/>
  <c r="W193" i="83"/>
  <c r="W66" i="71" s="1"/>
  <c r="W171" i="71" s="1"/>
  <c r="AG164" i="83"/>
  <c r="AG36" i="71" s="1"/>
  <c r="AG141" i="71" s="1"/>
  <c r="AB193" i="83"/>
  <c r="AB66" i="71" s="1"/>
  <c r="AB171" i="71" s="1"/>
  <c r="AD164" i="83"/>
  <c r="AD36" i="71" s="1"/>
  <c r="AD141" i="71" s="1"/>
  <c r="AJ222" i="83"/>
  <c r="AJ96" i="71" s="1"/>
  <c r="AJ201" i="71" s="1"/>
  <c r="Q164" i="83"/>
  <c r="Q36" i="71" s="1"/>
  <c r="Q141" i="71" s="1"/>
  <c r="M135" i="83"/>
  <c r="M137" i="72" s="1"/>
  <c r="M207" i="72" s="1"/>
  <c r="M237" i="72" s="1"/>
  <c r="AE222" i="83"/>
  <c r="AE96" i="71" s="1"/>
  <c r="AE201" i="71" s="1"/>
  <c r="AO193" i="83"/>
  <c r="AO66" i="71" s="1"/>
  <c r="AO171" i="71" s="1"/>
  <c r="X164" i="83"/>
  <c r="X36" i="71" s="1"/>
  <c r="X141" i="71" s="1"/>
  <c r="Q135" i="83"/>
  <c r="Q137" i="72" s="1"/>
  <c r="Q207" i="72" s="1"/>
  <c r="Q237" i="72" s="1"/>
  <c r="AL222" i="83"/>
  <c r="AL96" i="71" s="1"/>
  <c r="AL201" i="71" s="1"/>
  <c r="T222" i="83"/>
  <c r="T96" i="71" s="1"/>
  <c r="T201" i="71" s="1"/>
  <c r="L135" i="83"/>
  <c r="L137" i="72" s="1"/>
  <c r="L207" i="72" s="1"/>
  <c r="L237" i="72" s="1"/>
  <c r="AO135" i="83"/>
  <c r="M193" i="83"/>
  <c r="M66" i="71" s="1"/>
  <c r="M171" i="71" s="1"/>
  <c r="N225" i="83"/>
  <c r="N99" i="71" s="1"/>
  <c r="N204" i="71" s="1"/>
  <c r="X167" i="83"/>
  <c r="X39" i="71" s="1"/>
  <c r="X144" i="71" s="1"/>
  <c r="S196" i="83"/>
  <c r="S69" i="71" s="1"/>
  <c r="S174" i="71" s="1"/>
  <c r="AI225" i="83"/>
  <c r="AI99" i="71" s="1"/>
  <c r="AI204" i="71" s="1"/>
  <c r="W225" i="83"/>
  <c r="W99" i="71" s="1"/>
  <c r="W204" i="71" s="1"/>
  <c r="AK167" i="83"/>
  <c r="AK39" i="71" s="1"/>
  <c r="AK144" i="71" s="1"/>
  <c r="N196" i="83"/>
  <c r="N69" i="71" s="1"/>
  <c r="N174" i="71" s="1"/>
  <c r="AC225" i="83"/>
  <c r="AC99" i="71" s="1"/>
  <c r="AC204" i="71" s="1"/>
  <c r="AO167" i="83"/>
  <c r="AO39" i="71" s="1"/>
  <c r="AO144" i="71" s="1"/>
  <c r="X196" i="83"/>
  <c r="X69" i="71" s="1"/>
  <c r="X174" i="71" s="1"/>
  <c r="AK196" i="83"/>
  <c r="AK69" i="71" s="1"/>
  <c r="AK174" i="71" s="1"/>
  <c r="AL196" i="83"/>
  <c r="AL69" i="71" s="1"/>
  <c r="AL174" i="71" s="1"/>
  <c r="AH138" i="83"/>
  <c r="AM138" i="83"/>
  <c r="AI167" i="83"/>
  <c r="AI39" i="71" s="1"/>
  <c r="AI144" i="71" s="1"/>
  <c r="AH225" i="83"/>
  <c r="AH99" i="71" s="1"/>
  <c r="AH204" i="71" s="1"/>
  <c r="X225" i="83"/>
  <c r="X99" i="71" s="1"/>
  <c r="X204" i="71" s="1"/>
  <c r="O225" i="83"/>
  <c r="O99" i="71" s="1"/>
  <c r="O204" i="71" s="1"/>
  <c r="AC138" i="83"/>
  <c r="M138" i="83"/>
  <c r="M140" i="72" s="1"/>
  <c r="M210" i="72" s="1"/>
  <c r="M240" i="72" s="1"/>
  <c r="AG138" i="83"/>
  <c r="K138" i="83"/>
  <c r="K140" i="72" s="1"/>
  <c r="K210" i="72" s="1"/>
  <c r="K240" i="72" s="1"/>
  <c r="L196" i="83"/>
  <c r="L69" i="71" s="1"/>
  <c r="L174" i="71" s="1"/>
  <c r="AL167" i="83"/>
  <c r="AL39" i="71" s="1"/>
  <c r="AL144" i="71" s="1"/>
  <c r="R196" i="83"/>
  <c r="R69" i="71" s="1"/>
  <c r="R174" i="71" s="1"/>
  <c r="AB225" i="83"/>
  <c r="AB99" i="71" s="1"/>
  <c r="AB204" i="71" s="1"/>
  <c r="Q196" i="83"/>
  <c r="Q69" i="71" s="1"/>
  <c r="Q174" i="71" s="1"/>
  <c r="S167" i="83"/>
  <c r="S39" i="71" s="1"/>
  <c r="S144" i="71" s="1"/>
  <c r="AM225" i="83"/>
  <c r="AM99" i="71" s="1"/>
  <c r="AM204" i="71" s="1"/>
  <c r="AD138" i="83"/>
  <c r="AD196" i="83"/>
  <c r="AD69" i="71" s="1"/>
  <c r="AD174" i="71" s="1"/>
  <c r="AE138" i="83"/>
  <c r="Q138" i="83"/>
  <c r="Q140" i="72" s="1"/>
  <c r="Q210" i="72" s="1"/>
  <c r="Q240" i="72" s="1"/>
  <c r="X224" i="83"/>
  <c r="X98" i="71" s="1"/>
  <c r="X203" i="71" s="1"/>
  <c r="O195" i="83"/>
  <c r="O68" i="71" s="1"/>
  <c r="O173" i="71" s="1"/>
  <c r="Q166" i="83"/>
  <c r="Q38" i="71" s="1"/>
  <c r="Q143" i="71" s="1"/>
  <c r="J137" i="83"/>
  <c r="J139" i="72" s="1"/>
  <c r="J209" i="72" s="1"/>
  <c r="J239" i="72" s="1"/>
  <c r="U224" i="83"/>
  <c r="U98" i="71" s="1"/>
  <c r="U203" i="71" s="1"/>
  <c r="AH224" i="83"/>
  <c r="AH98" i="71" s="1"/>
  <c r="AH203" i="71" s="1"/>
  <c r="S224" i="83"/>
  <c r="S98" i="71" s="1"/>
  <c r="S203" i="71" s="1"/>
  <c r="AD195" i="83"/>
  <c r="AD68" i="71" s="1"/>
  <c r="AD173" i="71" s="1"/>
  <c r="Z195" i="83"/>
  <c r="Z68" i="71" s="1"/>
  <c r="Z173" i="71" s="1"/>
  <c r="AG195" i="83"/>
  <c r="AG68" i="71" s="1"/>
  <c r="AG173" i="71" s="1"/>
  <c r="O224" i="83"/>
  <c r="O98" i="71" s="1"/>
  <c r="O203" i="71" s="1"/>
  <c r="W195" i="83"/>
  <c r="W68" i="71" s="1"/>
  <c r="W173" i="71" s="1"/>
  <c r="J224" i="83"/>
  <c r="J98" i="71" s="1"/>
  <c r="J203" i="71" s="1"/>
  <c r="W137" i="83"/>
  <c r="W139" i="72" s="1"/>
  <c r="W209" i="72" s="1"/>
  <c r="W239" i="72" s="1"/>
  <c r="Y195" i="83"/>
  <c r="Y68" i="71" s="1"/>
  <c r="Y173" i="71" s="1"/>
  <c r="P166" i="83"/>
  <c r="P38" i="71" s="1"/>
  <c r="P143" i="71" s="1"/>
  <c r="M137" i="83"/>
  <c r="M139" i="72" s="1"/>
  <c r="M209" i="72" s="1"/>
  <c r="M239" i="72" s="1"/>
  <c r="V137" i="83"/>
  <c r="V139" i="72" s="1"/>
  <c r="V209" i="72" s="1"/>
  <c r="V239" i="72" s="1"/>
  <c r="X137" i="83"/>
  <c r="X139" i="72" s="1"/>
  <c r="X209" i="72" s="1"/>
  <c r="X239" i="72" s="1"/>
  <c r="AB166" i="83"/>
  <c r="AB38" i="71" s="1"/>
  <c r="AB143" i="71" s="1"/>
  <c r="AF166" i="83"/>
  <c r="AF38" i="71" s="1"/>
  <c r="AF143" i="71" s="1"/>
  <c r="AL224" i="83"/>
  <c r="AL98" i="71" s="1"/>
  <c r="AL203" i="71" s="1"/>
  <c r="AL137" i="83"/>
  <c r="AO224" i="83"/>
  <c r="AO98" i="71" s="1"/>
  <c r="AO203" i="71" s="1"/>
  <c r="AM195" i="83"/>
  <c r="AM68" i="71" s="1"/>
  <c r="AM173" i="71" s="1"/>
  <c r="R166" i="83"/>
  <c r="R38" i="71" s="1"/>
  <c r="R143" i="71" s="1"/>
  <c r="R137" i="83"/>
  <c r="R139" i="72" s="1"/>
  <c r="R209" i="72" s="1"/>
  <c r="R239" i="72" s="1"/>
  <c r="X166" i="83"/>
  <c r="X38" i="71" s="1"/>
  <c r="X143" i="71" s="1"/>
  <c r="N166" i="83"/>
  <c r="N38" i="71" s="1"/>
  <c r="N143" i="71" s="1"/>
  <c r="AM137" i="83"/>
  <c r="AA166" i="83"/>
  <c r="AA38" i="71" s="1"/>
  <c r="AA143" i="71" s="1"/>
  <c r="L137" i="83"/>
  <c r="L139" i="72" s="1"/>
  <c r="L209" i="72" s="1"/>
  <c r="L239" i="72" s="1"/>
  <c r="AJ224" i="83"/>
  <c r="AJ98" i="71" s="1"/>
  <c r="AJ203" i="71" s="1"/>
  <c r="AP142" i="83"/>
  <c r="W229" i="83"/>
  <c r="W103" i="71" s="1"/>
  <c r="W208" i="71" s="1"/>
  <c r="AH200" i="83"/>
  <c r="AH73" i="71" s="1"/>
  <c r="AH178" i="71" s="1"/>
  <c r="S141" i="83"/>
  <c r="S143" i="72" s="1"/>
  <c r="S213" i="72" s="1"/>
  <c r="S243" i="72" s="1"/>
  <c r="Z170" i="83"/>
  <c r="Z42" i="71" s="1"/>
  <c r="Z147" i="71" s="1"/>
  <c r="AD228" i="83"/>
  <c r="AD102" i="71" s="1"/>
  <c r="AD207" i="71" s="1"/>
  <c r="AL199" i="83"/>
  <c r="AL72" i="71" s="1"/>
  <c r="AL177" i="71" s="1"/>
  <c r="L228" i="83"/>
  <c r="L102" i="71" s="1"/>
  <c r="L207" i="71" s="1"/>
  <c r="M173" i="83"/>
  <c r="M45" i="71" s="1"/>
  <c r="M150" i="71" s="1"/>
  <c r="J167" i="83"/>
  <c r="J39" i="71" s="1"/>
  <c r="J144" i="71" s="1"/>
  <c r="AD167" i="83"/>
  <c r="AD39" i="71" s="1"/>
  <c r="AD144" i="71" s="1"/>
  <c r="AA167" i="83"/>
  <c r="AA39" i="71" s="1"/>
  <c r="AA144" i="71" s="1"/>
  <c r="Q167" i="83"/>
  <c r="Q39" i="71" s="1"/>
  <c r="Q144" i="71" s="1"/>
  <c r="N138" i="83"/>
  <c r="N140" i="72" s="1"/>
  <c r="N210" i="72" s="1"/>
  <c r="N240" i="72" s="1"/>
  <c r="Z225" i="83"/>
  <c r="Z99" i="71" s="1"/>
  <c r="Z204" i="71" s="1"/>
  <c r="Y225" i="83"/>
  <c r="Y99" i="71" s="1"/>
  <c r="Y204" i="71" s="1"/>
  <c r="AG225" i="83"/>
  <c r="AG99" i="71" s="1"/>
  <c r="AG204" i="71" s="1"/>
  <c r="R225" i="83"/>
  <c r="R99" i="71" s="1"/>
  <c r="R204" i="71" s="1"/>
  <c r="R138" i="83"/>
  <c r="R140" i="72" s="1"/>
  <c r="R210" i="72" s="1"/>
  <c r="R240" i="72" s="1"/>
  <c r="AJ138" i="83"/>
  <c r="AH167" i="83"/>
  <c r="AH39" i="71" s="1"/>
  <c r="AH144" i="71" s="1"/>
  <c r="Y167" i="83"/>
  <c r="Y39" i="71" s="1"/>
  <c r="Y144" i="71" s="1"/>
  <c r="K196" i="83"/>
  <c r="K69" i="71" s="1"/>
  <c r="K174" i="71" s="1"/>
  <c r="AC167" i="83"/>
  <c r="AC39" i="71" s="1"/>
  <c r="AC144" i="71" s="1"/>
  <c r="V138" i="83"/>
  <c r="V140" i="72" s="1"/>
  <c r="V210" i="72" s="1"/>
  <c r="V240" i="72" s="1"/>
  <c r="W138" i="83"/>
  <c r="W140" i="72" s="1"/>
  <c r="W210" i="72" s="1"/>
  <c r="W240" i="72" s="1"/>
  <c r="V167" i="83"/>
  <c r="V39" i="71" s="1"/>
  <c r="V144" i="71" s="1"/>
  <c r="O167" i="83"/>
  <c r="O39" i="71" s="1"/>
  <c r="O144" i="71" s="1"/>
  <c r="W167" i="83"/>
  <c r="W39" i="71" s="1"/>
  <c r="W144" i="71" s="1"/>
  <c r="AF225" i="83"/>
  <c r="AF99" i="71" s="1"/>
  <c r="AF204" i="71" s="1"/>
  <c r="T225" i="83"/>
  <c r="T99" i="71" s="1"/>
  <c r="T204" i="71" s="1"/>
  <c r="AJ225" i="83"/>
  <c r="AJ99" i="71" s="1"/>
  <c r="AJ204" i="71" s="1"/>
  <c r="T138" i="83"/>
  <c r="T140" i="72" s="1"/>
  <c r="T210" i="72" s="1"/>
  <c r="T240" i="72" s="1"/>
  <c r="U138" i="83"/>
  <c r="U140" i="72" s="1"/>
  <c r="U210" i="72" s="1"/>
  <c r="U240" i="72" s="1"/>
  <c r="Q225" i="83"/>
  <c r="Q99" i="71" s="1"/>
  <c r="Q204" i="71" s="1"/>
  <c r="AB167" i="83"/>
  <c r="AB39" i="71" s="1"/>
  <c r="AB144" i="71" s="1"/>
  <c r="AP167" i="83"/>
  <c r="AP39" i="71" s="1"/>
  <c r="AP144" i="71" s="1"/>
  <c r="AO196" i="83"/>
  <c r="AO69" i="71" s="1"/>
  <c r="AO174" i="71" s="1"/>
  <c r="AP138" i="83"/>
  <c r="Z196" i="83"/>
  <c r="Z69" i="71" s="1"/>
  <c r="Z174" i="71" s="1"/>
  <c r="L167" i="83"/>
  <c r="L39" i="71" s="1"/>
  <c r="L144" i="71" s="1"/>
  <c r="N167" i="83"/>
  <c r="N39" i="71" s="1"/>
  <c r="N144" i="71" s="1"/>
  <c r="AB224" i="83"/>
  <c r="AB98" i="71" s="1"/>
  <c r="AB203" i="71" s="1"/>
  <c r="W224" i="83"/>
  <c r="W98" i="71" s="1"/>
  <c r="W203" i="71" s="1"/>
  <c r="AB195" i="83"/>
  <c r="AB68" i="71" s="1"/>
  <c r="AB173" i="71" s="1"/>
  <c r="AG137" i="83"/>
  <c r="AI166" i="83"/>
  <c r="AI38" i="71" s="1"/>
  <c r="AI143" i="71" s="1"/>
  <c r="AI195" i="83"/>
  <c r="AI68" i="71" s="1"/>
  <c r="AI173" i="71" s="1"/>
  <c r="AO195" i="83"/>
  <c r="AO68" i="71" s="1"/>
  <c r="AO173" i="71" s="1"/>
  <c r="AO137" i="83"/>
  <c r="AH195" i="83"/>
  <c r="AH68" i="71" s="1"/>
  <c r="AH173" i="71" s="1"/>
  <c r="Y166" i="83"/>
  <c r="Y38" i="71" s="1"/>
  <c r="Y143" i="71" s="1"/>
  <c r="U166" i="83"/>
  <c r="U38" i="71" s="1"/>
  <c r="U143" i="71" s="1"/>
  <c r="Y224" i="83"/>
  <c r="Y98" i="71" s="1"/>
  <c r="Y203" i="71" s="1"/>
  <c r="AE195" i="83"/>
  <c r="AE68" i="71" s="1"/>
  <c r="AE173" i="71" s="1"/>
  <c r="V224" i="83"/>
  <c r="V98" i="71" s="1"/>
  <c r="V203" i="71" s="1"/>
  <c r="AI137" i="83"/>
  <c r="W166" i="83"/>
  <c r="W38" i="71" s="1"/>
  <c r="W143" i="71" s="1"/>
  <c r="AB137" i="83"/>
  <c r="AB139" i="72" s="1"/>
  <c r="AB209" i="72" s="1"/>
  <c r="AB239" i="72" s="1"/>
  <c r="P137" i="83"/>
  <c r="P139" i="72" s="1"/>
  <c r="P209" i="72" s="1"/>
  <c r="P239" i="72" s="1"/>
  <c r="L224" i="83"/>
  <c r="L98" i="71" s="1"/>
  <c r="L203" i="71" s="1"/>
  <c r="V166" i="83"/>
  <c r="V38" i="71" s="1"/>
  <c r="V143" i="71" s="1"/>
  <c r="S137" i="83"/>
  <c r="S139" i="72" s="1"/>
  <c r="S209" i="72" s="1"/>
  <c r="S239" i="72" s="1"/>
  <c r="AN166" i="83"/>
  <c r="AN38" i="71" s="1"/>
  <c r="AN143" i="71" s="1"/>
  <c r="AF224" i="83"/>
  <c r="AF98" i="71" s="1"/>
  <c r="AF203" i="71" s="1"/>
  <c r="AI224" i="83"/>
  <c r="AI98" i="71" s="1"/>
  <c r="AI203" i="71" s="1"/>
  <c r="AL166" i="83"/>
  <c r="AL38" i="71" s="1"/>
  <c r="AL143" i="71" s="1"/>
  <c r="K195" i="83"/>
  <c r="K68" i="71" s="1"/>
  <c r="K173" i="71" s="1"/>
  <c r="K137" i="83"/>
  <c r="K139" i="72" s="1"/>
  <c r="K209" i="72" s="1"/>
  <c r="K239" i="72" s="1"/>
  <c r="AN224" i="83"/>
  <c r="AN98" i="71" s="1"/>
  <c r="AN203" i="71" s="1"/>
  <c r="AL195" i="83"/>
  <c r="AL68" i="71" s="1"/>
  <c r="AL173" i="71" s="1"/>
  <c r="R195" i="83"/>
  <c r="R68" i="71" s="1"/>
  <c r="R173" i="71" s="1"/>
  <c r="AM224" i="83"/>
  <c r="AM98" i="71" s="1"/>
  <c r="AM203" i="71" s="1"/>
  <c r="L195" i="83"/>
  <c r="L68" i="71" s="1"/>
  <c r="L173" i="71" s="1"/>
  <c r="AE224" i="83"/>
  <c r="AE98" i="71" s="1"/>
  <c r="AE203" i="71" s="1"/>
  <c r="T196" i="83"/>
  <c r="T69" i="71" s="1"/>
  <c r="T174" i="71" s="1"/>
  <c r="AE196" i="83"/>
  <c r="AE69" i="71" s="1"/>
  <c r="AE174" i="71" s="1"/>
  <c r="S225" i="83"/>
  <c r="S99" i="71" s="1"/>
  <c r="S204" i="71" s="1"/>
  <c r="AJ167" i="83"/>
  <c r="AJ39" i="71" s="1"/>
  <c r="AJ144" i="71" s="1"/>
  <c r="V225" i="83"/>
  <c r="V99" i="71" s="1"/>
  <c r="V204" i="71" s="1"/>
  <c r="AA196" i="83"/>
  <c r="AA69" i="71" s="1"/>
  <c r="AA174" i="71" s="1"/>
  <c r="AG167" i="83"/>
  <c r="AG39" i="71" s="1"/>
  <c r="AG144" i="71" s="1"/>
  <c r="AE225" i="83"/>
  <c r="AE99" i="71" s="1"/>
  <c r="AE204" i="71" s="1"/>
  <c r="L138" i="83"/>
  <c r="L140" i="72" s="1"/>
  <c r="L210" i="72" s="1"/>
  <c r="L240" i="72" s="1"/>
  <c r="AN196" i="83"/>
  <c r="AN69" i="71" s="1"/>
  <c r="AN174" i="71" s="1"/>
  <c r="AB138" i="83"/>
  <c r="AB140" i="72" s="1"/>
  <c r="AB210" i="72" s="1"/>
  <c r="AB240" i="72" s="1"/>
  <c r="M196" i="83"/>
  <c r="M69" i="71" s="1"/>
  <c r="M174" i="71" s="1"/>
  <c r="O138" i="83"/>
  <c r="O140" i="72" s="1"/>
  <c r="O210" i="72" s="1"/>
  <c r="O240" i="72" s="1"/>
  <c r="U225" i="83"/>
  <c r="U99" i="71" s="1"/>
  <c r="U204" i="71" s="1"/>
  <c r="AD225" i="83"/>
  <c r="AD99" i="71" s="1"/>
  <c r="AD204" i="71" s="1"/>
  <c r="W196" i="83"/>
  <c r="W69" i="71" s="1"/>
  <c r="W174" i="71" s="1"/>
  <c r="AP225" i="83"/>
  <c r="AP99" i="71" s="1"/>
  <c r="AP204" i="71" s="1"/>
  <c r="P138" i="83"/>
  <c r="P140" i="72" s="1"/>
  <c r="P210" i="72" s="1"/>
  <c r="P240" i="72" s="1"/>
  <c r="P196" i="83"/>
  <c r="P69" i="71" s="1"/>
  <c r="P174" i="71" s="1"/>
  <c r="AM167" i="83"/>
  <c r="AM39" i="71" s="1"/>
  <c r="AM144" i="71" s="1"/>
  <c r="P167" i="83"/>
  <c r="P39" i="71" s="1"/>
  <c r="P144" i="71" s="1"/>
  <c r="AK138" i="83"/>
  <c r="Z167" i="83"/>
  <c r="Z39" i="71" s="1"/>
  <c r="Z144" i="71" s="1"/>
  <c r="V196" i="83"/>
  <c r="V69" i="71" s="1"/>
  <c r="V174" i="71" s="1"/>
  <c r="Y196" i="83"/>
  <c r="Y69" i="71" s="1"/>
  <c r="Y174" i="71" s="1"/>
  <c r="J225" i="83"/>
  <c r="J99" i="71" s="1"/>
  <c r="J204" i="71" s="1"/>
  <c r="AF196" i="83"/>
  <c r="AF69" i="71" s="1"/>
  <c r="AF174" i="71" s="1"/>
  <c r="J138" i="83"/>
  <c r="J140" i="72" s="1"/>
  <c r="J210" i="72" s="1"/>
  <c r="J240" i="72" s="1"/>
  <c r="R167" i="83"/>
  <c r="R39" i="71" s="1"/>
  <c r="R144" i="71" s="1"/>
  <c r="AN138" i="83"/>
  <c r="X138" i="83"/>
  <c r="X140" i="72" s="1"/>
  <c r="X210" i="72" s="1"/>
  <c r="X240" i="72" s="1"/>
  <c r="AE167" i="83"/>
  <c r="AE39" i="71" s="1"/>
  <c r="AE144" i="71" s="1"/>
  <c r="M224" i="83"/>
  <c r="M98" i="71" s="1"/>
  <c r="M203" i="71" s="1"/>
  <c r="Q224" i="83"/>
  <c r="Q98" i="71" s="1"/>
  <c r="Q203" i="71" s="1"/>
  <c r="M195" i="83"/>
  <c r="M68" i="71" s="1"/>
  <c r="M173" i="71" s="1"/>
  <c r="S195" i="83"/>
  <c r="S68" i="71" s="1"/>
  <c r="S173" i="71" s="1"/>
  <c r="U195" i="83"/>
  <c r="U68" i="71" s="1"/>
  <c r="U173" i="71" s="1"/>
  <c r="Y137" i="83"/>
  <c r="Y139" i="72" s="1"/>
  <c r="Y209" i="72" s="1"/>
  <c r="Y239" i="72" s="1"/>
  <c r="AK137" i="83"/>
  <c r="AP224" i="83"/>
  <c r="AP98" i="71" s="1"/>
  <c r="AP203" i="71" s="1"/>
  <c r="AH166" i="83"/>
  <c r="AH38" i="71" s="1"/>
  <c r="AH143" i="71" s="1"/>
  <c r="AF137" i="83"/>
  <c r="AA137" i="83"/>
  <c r="AA139" i="72" s="1"/>
  <c r="AA209" i="72" s="1"/>
  <c r="AA239" i="72" s="1"/>
  <c r="U137" i="83"/>
  <c r="U139" i="72" s="1"/>
  <c r="U209" i="72" s="1"/>
  <c r="U239" i="72" s="1"/>
  <c r="Z137" i="83"/>
  <c r="Z139" i="72" s="1"/>
  <c r="Z209" i="72" s="1"/>
  <c r="Z239" i="72" s="1"/>
  <c r="AA195" i="83"/>
  <c r="AA68" i="71" s="1"/>
  <c r="AA173" i="71" s="1"/>
  <c r="AP166" i="83"/>
  <c r="AP38" i="71" s="1"/>
  <c r="AP143" i="71" s="1"/>
  <c r="N195" i="83"/>
  <c r="N68" i="71" s="1"/>
  <c r="N173" i="71" s="1"/>
  <c r="J195" i="83"/>
  <c r="J68" i="71" s="1"/>
  <c r="J173" i="71" s="1"/>
  <c r="AK195" i="83"/>
  <c r="AK68" i="71" s="1"/>
  <c r="AK173" i="71" s="1"/>
  <c r="AA224" i="83"/>
  <c r="AA98" i="71" s="1"/>
  <c r="AA203" i="71" s="1"/>
  <c r="AP137" i="83"/>
  <c r="O166" i="83"/>
  <c r="O38" i="71" s="1"/>
  <c r="O143" i="71" s="1"/>
  <c r="T166" i="83"/>
  <c r="T38" i="71" s="1"/>
  <c r="T143" i="71" s="1"/>
  <c r="AO166" i="83"/>
  <c r="AO38" i="71" s="1"/>
  <c r="AO143" i="71" s="1"/>
  <c r="K224" i="83"/>
  <c r="K98" i="71" s="1"/>
  <c r="K203" i="71" s="1"/>
  <c r="K166" i="83"/>
  <c r="K38" i="71" s="1"/>
  <c r="K143" i="71" s="1"/>
  <c r="AP195" i="83"/>
  <c r="AP68" i="71" s="1"/>
  <c r="AP173" i="71" s="1"/>
  <c r="P195" i="83"/>
  <c r="P68" i="71" s="1"/>
  <c r="P173" i="71" s="1"/>
  <c r="AC137" i="83"/>
  <c r="Q195" i="83"/>
  <c r="Q68" i="71" s="1"/>
  <c r="Q173" i="71" s="1"/>
  <c r="T137" i="83"/>
  <c r="T139" i="72" s="1"/>
  <c r="T209" i="72" s="1"/>
  <c r="T239" i="72" s="1"/>
  <c r="AF195" i="83"/>
  <c r="AF68" i="71" s="1"/>
  <c r="AF173" i="71" s="1"/>
  <c r="AN137" i="83"/>
  <c r="AN194" i="83"/>
  <c r="AN67" i="71" s="1"/>
  <c r="AN172" i="71" s="1"/>
  <c r="Z223" i="83"/>
  <c r="Z97" i="71" s="1"/>
  <c r="Z202" i="71" s="1"/>
  <c r="N165" i="83"/>
  <c r="N37" i="71" s="1"/>
  <c r="N142" i="71" s="1"/>
  <c r="AD165" i="83"/>
  <c r="AD37" i="71" s="1"/>
  <c r="AD142" i="71" s="1"/>
  <c r="M194" i="83"/>
  <c r="M67" i="71" s="1"/>
  <c r="M172" i="71" s="1"/>
  <c r="T223" i="83"/>
  <c r="T97" i="71" s="1"/>
  <c r="T202" i="71" s="1"/>
  <c r="AL194" i="83"/>
  <c r="AL67" i="71" s="1"/>
  <c r="AL172" i="71" s="1"/>
  <c r="K194" i="83"/>
  <c r="K67" i="71" s="1"/>
  <c r="K172" i="71" s="1"/>
  <c r="X165" i="83"/>
  <c r="X37" i="71" s="1"/>
  <c r="X142" i="71" s="1"/>
  <c r="V223" i="83"/>
  <c r="V97" i="71" s="1"/>
  <c r="V202" i="71" s="1"/>
  <c r="AE165" i="83"/>
  <c r="AE37" i="71" s="1"/>
  <c r="AE142" i="71" s="1"/>
  <c r="O136" i="83"/>
  <c r="O138" i="72" s="1"/>
  <c r="O208" i="72" s="1"/>
  <c r="O238" i="72" s="1"/>
  <c r="AC194" i="83"/>
  <c r="AC67" i="71" s="1"/>
  <c r="AC172" i="71" s="1"/>
  <c r="AK223" i="83"/>
  <c r="AK97" i="71" s="1"/>
  <c r="AK202" i="71" s="1"/>
  <c r="M223" i="83"/>
  <c r="M97" i="71" s="1"/>
  <c r="M202" i="71" s="1"/>
  <c r="T194" i="83"/>
  <c r="T67" i="71" s="1"/>
  <c r="T172" i="71" s="1"/>
  <c r="U165" i="83"/>
  <c r="U37" i="71" s="1"/>
  <c r="U142" i="71" s="1"/>
  <c r="AG194" i="83"/>
  <c r="AG67" i="71" s="1"/>
  <c r="AG172" i="71" s="1"/>
  <c r="AB165" i="83"/>
  <c r="AB37" i="71" s="1"/>
  <c r="AB142" i="71" s="1"/>
  <c r="AE136" i="83"/>
  <c r="L165" i="83"/>
  <c r="L37" i="71" s="1"/>
  <c r="L142" i="71" s="1"/>
  <c r="K223" i="83"/>
  <c r="K97" i="71" s="1"/>
  <c r="K202" i="71" s="1"/>
  <c r="K136" i="83"/>
  <c r="K138" i="72" s="1"/>
  <c r="K208" i="72" s="1"/>
  <c r="K238" i="72" s="1"/>
  <c r="AE194" i="83"/>
  <c r="AE67" i="71" s="1"/>
  <c r="AE172" i="71" s="1"/>
  <c r="AJ165" i="83"/>
  <c r="AJ37" i="71" s="1"/>
  <c r="AJ142" i="71" s="1"/>
  <c r="AF165" i="83"/>
  <c r="AF37" i="71" s="1"/>
  <c r="AF142" i="71" s="1"/>
  <c r="W194" i="83"/>
  <c r="W67" i="71" s="1"/>
  <c r="W172" i="71" s="1"/>
  <c r="AI136" i="83"/>
  <c r="K165" i="83"/>
  <c r="K37" i="71" s="1"/>
  <c r="K142" i="71" s="1"/>
  <c r="AA194" i="83"/>
  <c r="AA67" i="71" s="1"/>
  <c r="AA172" i="71" s="1"/>
  <c r="AM136" i="83"/>
  <c r="AK136" i="83"/>
  <c r="AA165" i="83"/>
  <c r="AA37" i="71" s="1"/>
  <c r="AA142" i="71" s="1"/>
  <c r="AE141" i="83"/>
  <c r="V170" i="83"/>
  <c r="V42" i="71" s="1"/>
  <c r="V147" i="71" s="1"/>
  <c r="N228" i="83"/>
  <c r="N102" i="71" s="1"/>
  <c r="N207" i="71" s="1"/>
  <c r="R228" i="83"/>
  <c r="R102" i="71" s="1"/>
  <c r="R207" i="71" s="1"/>
  <c r="M141" i="83"/>
  <c r="M143" i="72" s="1"/>
  <c r="M213" i="72" s="1"/>
  <c r="M243" i="72" s="1"/>
  <c r="K199" i="83"/>
  <c r="K72" i="71" s="1"/>
  <c r="K177" i="71" s="1"/>
  <c r="AP170" i="83"/>
  <c r="AP42" i="71" s="1"/>
  <c r="AP147" i="71" s="1"/>
  <c r="M199" i="83"/>
  <c r="M72" i="71" s="1"/>
  <c r="M177" i="71" s="1"/>
  <c r="K170" i="83"/>
  <c r="K42" i="71" s="1"/>
  <c r="K147" i="71" s="1"/>
  <c r="P228" i="83"/>
  <c r="P102" i="71" s="1"/>
  <c r="P207" i="71" s="1"/>
  <c r="Q199" i="83"/>
  <c r="Q72" i="71" s="1"/>
  <c r="Q177" i="71" s="1"/>
  <c r="AA141" i="83"/>
  <c r="AA143" i="72" s="1"/>
  <c r="AA213" i="72" s="1"/>
  <c r="AA243" i="72" s="1"/>
  <c r="R199" i="83"/>
  <c r="R72" i="71" s="1"/>
  <c r="R177" i="71" s="1"/>
  <c r="Y141" i="83"/>
  <c r="Y143" i="72" s="1"/>
  <c r="Y213" i="72" s="1"/>
  <c r="Y243" i="72" s="1"/>
  <c r="U228" i="83"/>
  <c r="U102" i="71" s="1"/>
  <c r="U207" i="71" s="1"/>
  <c r="S199" i="83"/>
  <c r="S72" i="71" s="1"/>
  <c r="S177" i="71" s="1"/>
  <c r="Q141" i="83"/>
  <c r="Q143" i="72" s="1"/>
  <c r="Q213" i="72" s="1"/>
  <c r="Q243" i="72" s="1"/>
  <c r="U141" i="83"/>
  <c r="U143" i="72" s="1"/>
  <c r="U213" i="72" s="1"/>
  <c r="U243" i="72" s="1"/>
  <c r="Q170" i="83"/>
  <c r="Q42" i="71" s="1"/>
  <c r="Q147" i="71" s="1"/>
  <c r="AI199" i="83"/>
  <c r="AI72" i="71" s="1"/>
  <c r="AI177" i="71" s="1"/>
  <c r="AM199" i="83"/>
  <c r="AM72" i="71" s="1"/>
  <c r="AM177" i="71" s="1"/>
  <c r="U199" i="83"/>
  <c r="U72" i="71" s="1"/>
  <c r="U177" i="71" s="1"/>
  <c r="J199" i="83"/>
  <c r="J72" i="71" s="1"/>
  <c r="J177" i="71" s="1"/>
  <c r="AH228" i="83"/>
  <c r="AH102" i="71" s="1"/>
  <c r="AH207" i="71" s="1"/>
  <c r="N141" i="83"/>
  <c r="N143" i="72" s="1"/>
  <c r="N213" i="72" s="1"/>
  <c r="N243" i="72" s="1"/>
  <c r="AL170" i="83"/>
  <c r="AL42" i="71" s="1"/>
  <c r="AL147" i="71" s="1"/>
  <c r="X202" i="83"/>
  <c r="X75" i="71" s="1"/>
  <c r="X180" i="71" s="1"/>
  <c r="S194" i="83"/>
  <c r="S67" i="71" s="1"/>
  <c r="S172" i="71" s="1"/>
  <c r="AM194" i="83"/>
  <c r="AM67" i="71" s="1"/>
  <c r="AM172" i="71" s="1"/>
  <c r="AJ223" i="83"/>
  <c r="AJ97" i="71" s="1"/>
  <c r="AJ202" i="71" s="1"/>
  <c r="R223" i="83"/>
  <c r="R97" i="71" s="1"/>
  <c r="R202" i="71" s="1"/>
  <c r="P165" i="83"/>
  <c r="P37" i="71" s="1"/>
  <c r="P142" i="71" s="1"/>
  <c r="AD223" i="83"/>
  <c r="AD97" i="71" s="1"/>
  <c r="AD202" i="71" s="1"/>
  <c r="W165" i="83"/>
  <c r="W37" i="71" s="1"/>
  <c r="W142" i="71" s="1"/>
  <c r="X136" i="83"/>
  <c r="X138" i="72" s="1"/>
  <c r="X208" i="72" s="1"/>
  <c r="X238" i="72" s="1"/>
  <c r="AI194" i="83"/>
  <c r="AI67" i="71" s="1"/>
  <c r="AI172" i="71" s="1"/>
  <c r="Q165" i="83"/>
  <c r="Q37" i="71" s="1"/>
  <c r="Q142" i="71" s="1"/>
  <c r="J136" i="83"/>
  <c r="J138" i="72" s="1"/>
  <c r="J208" i="72" s="1"/>
  <c r="J238" i="72" s="1"/>
  <c r="S136" i="83"/>
  <c r="S138" i="72" s="1"/>
  <c r="S208" i="72" s="1"/>
  <c r="S238" i="72" s="1"/>
  <c r="AF136" i="83"/>
  <c r="AK194" i="83"/>
  <c r="AK67" i="71" s="1"/>
  <c r="AK172" i="71" s="1"/>
  <c r="AM165" i="83"/>
  <c r="AM37" i="71" s="1"/>
  <c r="AM142" i="71" s="1"/>
  <c r="Y136" i="83"/>
  <c r="Y138" i="72" s="1"/>
  <c r="Y208" i="72" s="1"/>
  <c r="Y238" i="72" s="1"/>
  <c r="AH194" i="83"/>
  <c r="AH67" i="71" s="1"/>
  <c r="AH172" i="71" s="1"/>
  <c r="AG165" i="83"/>
  <c r="AG37" i="71" s="1"/>
  <c r="AG142" i="71" s="1"/>
  <c r="AH223" i="83"/>
  <c r="AH97" i="71" s="1"/>
  <c r="AH202" i="71" s="1"/>
  <c r="S223" i="83"/>
  <c r="S97" i="71" s="1"/>
  <c r="S202" i="71" s="1"/>
  <c r="V165" i="83"/>
  <c r="V37" i="71" s="1"/>
  <c r="V142" i="71" s="1"/>
  <c r="L136" i="83"/>
  <c r="L138" i="72" s="1"/>
  <c r="L208" i="72" s="1"/>
  <c r="L238" i="72" s="1"/>
  <c r="U194" i="83"/>
  <c r="U67" i="71" s="1"/>
  <c r="U172" i="71" s="1"/>
  <c r="AB136" i="83"/>
  <c r="AB138" i="72" s="1"/>
  <c r="AB208" i="72" s="1"/>
  <c r="AB238" i="72" s="1"/>
  <c r="Z136" i="83"/>
  <c r="Z138" i="72" s="1"/>
  <c r="Z208" i="72" s="1"/>
  <c r="Z238" i="72" s="1"/>
  <c r="Y165" i="83"/>
  <c r="Y37" i="71" s="1"/>
  <c r="Y142" i="71" s="1"/>
  <c r="AO165" i="83"/>
  <c r="AO37" i="71" s="1"/>
  <c r="AO142" i="71" s="1"/>
  <c r="AO223" i="83"/>
  <c r="AO97" i="71" s="1"/>
  <c r="AO202" i="71" s="1"/>
  <c r="AL165" i="83"/>
  <c r="AL37" i="71" s="1"/>
  <c r="AL142" i="71" s="1"/>
  <c r="R194" i="83"/>
  <c r="R67" i="71" s="1"/>
  <c r="R172" i="71" s="1"/>
  <c r="AL223" i="83"/>
  <c r="AL97" i="71" s="1"/>
  <c r="AL202" i="71" s="1"/>
  <c r="AI165" i="83"/>
  <c r="AI37" i="71" s="1"/>
  <c r="AI142" i="71" s="1"/>
  <c r="Q136" i="83"/>
  <c r="Q138" i="72" s="1"/>
  <c r="Q208" i="72" s="1"/>
  <c r="Q238" i="72" s="1"/>
  <c r="W141" i="83"/>
  <c r="W143" i="72" s="1"/>
  <c r="W213" i="72" s="1"/>
  <c r="W243" i="72" s="1"/>
  <c r="Y170" i="83"/>
  <c r="Y42" i="71" s="1"/>
  <c r="Y147" i="71" s="1"/>
  <c r="P199" i="83"/>
  <c r="P72" i="71" s="1"/>
  <c r="P177" i="71" s="1"/>
  <c r="W199" i="83"/>
  <c r="W72" i="71" s="1"/>
  <c r="W177" i="71" s="1"/>
  <c r="AN199" i="83"/>
  <c r="AN72" i="71" s="1"/>
  <c r="AN177" i="71" s="1"/>
  <c r="AG199" i="83"/>
  <c r="AG72" i="71" s="1"/>
  <c r="AG177" i="71" s="1"/>
  <c r="AB228" i="83"/>
  <c r="AB102" i="71" s="1"/>
  <c r="AB207" i="71" s="1"/>
  <c r="Y228" i="83"/>
  <c r="Y102" i="71" s="1"/>
  <c r="Y207" i="71" s="1"/>
  <c r="X228" i="83"/>
  <c r="X102" i="71" s="1"/>
  <c r="X207" i="71" s="1"/>
  <c r="AJ141" i="83"/>
  <c r="AN170" i="83"/>
  <c r="AN42" i="71" s="1"/>
  <c r="AN147" i="71" s="1"/>
  <c r="AL228" i="83"/>
  <c r="AL102" i="71" s="1"/>
  <c r="AL207" i="71" s="1"/>
  <c r="AN141" i="83"/>
  <c r="AH170" i="83"/>
  <c r="AH42" i="71" s="1"/>
  <c r="AH147" i="71" s="1"/>
  <c r="T228" i="83"/>
  <c r="T102" i="71" s="1"/>
  <c r="T207" i="71" s="1"/>
  <c r="T141" i="83"/>
  <c r="T143" i="72" s="1"/>
  <c r="T213" i="72" s="1"/>
  <c r="T243" i="72" s="1"/>
  <c r="V141" i="83"/>
  <c r="V143" i="72" s="1"/>
  <c r="V213" i="72" s="1"/>
  <c r="V243" i="72" s="1"/>
  <c r="S170" i="83"/>
  <c r="S42" i="71" s="1"/>
  <c r="S147" i="71" s="1"/>
  <c r="J228" i="83"/>
  <c r="J102" i="71" s="1"/>
  <c r="J207" i="71" s="1"/>
  <c r="AO199" i="83"/>
  <c r="AO72" i="71" s="1"/>
  <c r="AO177" i="71" s="1"/>
  <c r="N170" i="83"/>
  <c r="N42" i="71" s="1"/>
  <c r="N147" i="71" s="1"/>
  <c r="L141" i="83"/>
  <c r="L143" i="72" s="1"/>
  <c r="L213" i="72" s="1"/>
  <c r="L243" i="72" s="1"/>
  <c r="AA170" i="83"/>
  <c r="AA42" i="71" s="1"/>
  <c r="AA147" i="71" s="1"/>
  <c r="AB170" i="83"/>
  <c r="AB42" i="71" s="1"/>
  <c r="AB147" i="71" s="1"/>
  <c r="AG170" i="83"/>
  <c r="AG42" i="71" s="1"/>
  <c r="AG147" i="71" s="1"/>
  <c r="P170" i="83"/>
  <c r="P42" i="71" s="1"/>
  <c r="P147" i="71" s="1"/>
  <c r="AJ228" i="83"/>
  <c r="AJ102" i="71" s="1"/>
  <c r="AJ207" i="71" s="1"/>
  <c r="AD141" i="83"/>
  <c r="AF141" i="83"/>
  <c r="T170" i="83"/>
  <c r="T42" i="71" s="1"/>
  <c r="T147" i="71" s="1"/>
  <c r="AJ170" i="83"/>
  <c r="AJ42" i="71" s="1"/>
  <c r="AJ147" i="71" s="1"/>
  <c r="AD199" i="83"/>
  <c r="AD72" i="71" s="1"/>
  <c r="AD177" i="71" s="1"/>
  <c r="AH136" i="83"/>
  <c r="AG136" i="83"/>
  <c r="R136" i="83"/>
  <c r="R138" i="72" s="1"/>
  <c r="R208" i="72" s="1"/>
  <c r="R238" i="72" s="1"/>
  <c r="AC165" i="83"/>
  <c r="AC37" i="71" s="1"/>
  <c r="AC142" i="71" s="1"/>
  <c r="P223" i="83"/>
  <c r="P97" i="71" s="1"/>
  <c r="P202" i="71" s="1"/>
  <c r="O165" i="83"/>
  <c r="O37" i="71" s="1"/>
  <c r="O142" i="71" s="1"/>
  <c r="X223" i="83"/>
  <c r="X97" i="71" s="1"/>
  <c r="X202" i="71" s="1"/>
  <c r="AH165" i="83"/>
  <c r="AH37" i="71" s="1"/>
  <c r="AH142" i="71" s="1"/>
  <c r="AI223" i="83"/>
  <c r="AI97" i="71" s="1"/>
  <c r="AI202" i="71" s="1"/>
  <c r="AP223" i="83"/>
  <c r="AP97" i="71" s="1"/>
  <c r="AP202" i="71" s="1"/>
  <c r="U223" i="83"/>
  <c r="U97" i="71" s="1"/>
  <c r="U202" i="71" s="1"/>
  <c r="P136" i="83"/>
  <c r="P138" i="72" s="1"/>
  <c r="P208" i="72" s="1"/>
  <c r="P238" i="72" s="1"/>
  <c r="AF223" i="83"/>
  <c r="AF97" i="71" s="1"/>
  <c r="AF202" i="71" s="1"/>
  <c r="AG223" i="83"/>
  <c r="AG97" i="71" s="1"/>
  <c r="AG202" i="71" s="1"/>
  <c r="AK165" i="83"/>
  <c r="AK37" i="71" s="1"/>
  <c r="AK142" i="71" s="1"/>
  <c r="AJ194" i="83"/>
  <c r="AJ67" i="71" s="1"/>
  <c r="AJ172" i="71" s="1"/>
  <c r="Q194" i="83"/>
  <c r="Q67" i="71" s="1"/>
  <c r="Q172" i="71" s="1"/>
  <c r="AC223" i="83"/>
  <c r="AC97" i="71" s="1"/>
  <c r="AC202" i="71" s="1"/>
  <c r="AN165" i="83"/>
  <c r="AN37" i="71" s="1"/>
  <c r="AN142" i="71" s="1"/>
  <c r="R165" i="83"/>
  <c r="R37" i="71" s="1"/>
  <c r="R142" i="71" s="1"/>
  <c r="AO194" i="83"/>
  <c r="AO67" i="71" s="1"/>
  <c r="AO172" i="71" s="1"/>
  <c r="AJ136" i="83"/>
  <c r="S165" i="83"/>
  <c r="S37" i="71" s="1"/>
  <c r="S142" i="71" s="1"/>
  <c r="AN223" i="83"/>
  <c r="AN97" i="71" s="1"/>
  <c r="AN202" i="71" s="1"/>
  <c r="Z194" i="83"/>
  <c r="Z67" i="71" s="1"/>
  <c r="Z172" i="71" s="1"/>
  <c r="AF194" i="83"/>
  <c r="AF67" i="71" s="1"/>
  <c r="AF172" i="71" s="1"/>
  <c r="J223" i="83"/>
  <c r="J97" i="71" s="1"/>
  <c r="J202" i="71" s="1"/>
  <c r="W136" i="83"/>
  <c r="W138" i="72" s="1"/>
  <c r="W208" i="72" s="1"/>
  <c r="W238" i="72" s="1"/>
  <c r="AA136" i="83"/>
  <c r="AA138" i="72" s="1"/>
  <c r="AA208" i="72" s="1"/>
  <c r="AA238" i="72" s="1"/>
  <c r="N223" i="83"/>
  <c r="N97" i="71" s="1"/>
  <c r="N202" i="71" s="1"/>
  <c r="L223" i="83"/>
  <c r="L97" i="71" s="1"/>
  <c r="L202" i="71" s="1"/>
  <c r="V194" i="83"/>
  <c r="V67" i="71" s="1"/>
  <c r="V172" i="71" s="1"/>
  <c r="X199" i="83"/>
  <c r="X72" i="71" s="1"/>
  <c r="X177" i="71" s="1"/>
  <c r="Z141" i="83"/>
  <c r="Z143" i="72" s="1"/>
  <c r="Z213" i="72" s="1"/>
  <c r="Z243" i="72" s="1"/>
  <c r="W228" i="83"/>
  <c r="W102" i="71" s="1"/>
  <c r="W207" i="71" s="1"/>
  <c r="AF170" i="83"/>
  <c r="AF42" i="71" s="1"/>
  <c r="AF147" i="71" s="1"/>
  <c r="Z228" i="83"/>
  <c r="Z102" i="71" s="1"/>
  <c r="Z207" i="71" s="1"/>
  <c r="O141" i="83"/>
  <c r="O143" i="72" s="1"/>
  <c r="O213" i="72" s="1"/>
  <c r="O243" i="72" s="1"/>
  <c r="V228" i="83"/>
  <c r="V102" i="71" s="1"/>
  <c r="V207" i="71" s="1"/>
  <c r="AO170" i="83"/>
  <c r="AO42" i="71" s="1"/>
  <c r="AO147" i="71" s="1"/>
  <c r="AG141" i="83"/>
  <c r="R141" i="83"/>
  <c r="R143" i="72" s="1"/>
  <c r="R213" i="72" s="1"/>
  <c r="R243" i="72" s="1"/>
  <c r="AO228" i="83"/>
  <c r="AO102" i="71" s="1"/>
  <c r="AO207" i="71" s="1"/>
  <c r="AL141" i="83"/>
  <c r="M170" i="83"/>
  <c r="M42" i="71" s="1"/>
  <c r="M147" i="71" s="1"/>
  <c r="AC199" i="83"/>
  <c r="AC72" i="71" s="1"/>
  <c r="AC177" i="71" s="1"/>
  <c r="AF228" i="83"/>
  <c r="AF102" i="71" s="1"/>
  <c r="AF207" i="71" s="1"/>
  <c r="V199" i="83"/>
  <c r="V72" i="71" s="1"/>
  <c r="V177" i="71" s="1"/>
  <c r="U170" i="83"/>
  <c r="U42" i="71" s="1"/>
  <c r="U147" i="71" s="1"/>
  <c r="AF199" i="83"/>
  <c r="AF72" i="71" s="1"/>
  <c r="AF177" i="71" s="1"/>
  <c r="AG228" i="83"/>
  <c r="AG102" i="71" s="1"/>
  <c r="AG207" i="71" s="1"/>
  <c r="X141" i="83"/>
  <c r="X143" i="72" s="1"/>
  <c r="X213" i="72" s="1"/>
  <c r="X243" i="72" s="1"/>
  <c r="AH141" i="83"/>
  <c r="J170" i="83"/>
  <c r="J42" i="71" s="1"/>
  <c r="J147" i="71" s="1"/>
  <c r="Q228" i="83"/>
  <c r="Q102" i="71" s="1"/>
  <c r="Q207" i="71" s="1"/>
  <c r="N199" i="83"/>
  <c r="N72" i="71" s="1"/>
  <c r="N177" i="71" s="1"/>
  <c r="O170" i="83"/>
  <c r="O42" i="71" s="1"/>
  <c r="O147" i="71" s="1"/>
  <c r="AM170" i="83"/>
  <c r="AM42" i="71" s="1"/>
  <c r="AM147" i="71" s="1"/>
  <c r="Z229" i="83"/>
  <c r="Z103" i="71" s="1"/>
  <c r="Z208" i="71" s="1"/>
  <c r="U229" i="83"/>
  <c r="U103" i="71" s="1"/>
  <c r="U208" i="71" s="1"/>
  <c r="AI200" i="83"/>
  <c r="AI73" i="71" s="1"/>
  <c r="AI178" i="71" s="1"/>
  <c r="S171" i="83"/>
  <c r="S43" i="71" s="1"/>
  <c r="S148" i="71" s="1"/>
  <c r="T200" i="83"/>
  <c r="T73" i="71" s="1"/>
  <c r="T178" i="71" s="1"/>
  <c r="K200" i="83"/>
  <c r="K73" i="71" s="1"/>
  <c r="K178" i="71" s="1"/>
  <c r="AB142" i="83"/>
  <c r="AB144" i="72" s="1"/>
  <c r="AB214" i="72" s="1"/>
  <c r="AB244" i="72" s="1"/>
  <c r="AO171" i="83"/>
  <c r="AO43" i="71" s="1"/>
  <c r="AO148" i="71" s="1"/>
  <c r="V200" i="83"/>
  <c r="V73" i="71" s="1"/>
  <c r="V178" i="71" s="1"/>
  <c r="T142" i="83"/>
  <c r="T144" i="72" s="1"/>
  <c r="T214" i="72" s="1"/>
  <c r="T244" i="72" s="1"/>
  <c r="AG200" i="83"/>
  <c r="AG73" i="71" s="1"/>
  <c r="AG178" i="71" s="1"/>
  <c r="AE171" i="83"/>
  <c r="AE43" i="71" s="1"/>
  <c r="AE148" i="71" s="1"/>
  <c r="AM200" i="83"/>
  <c r="AM73" i="71" s="1"/>
  <c r="AM178" i="71" s="1"/>
  <c r="S229" i="83"/>
  <c r="S103" i="71" s="1"/>
  <c r="S208" i="71" s="1"/>
  <c r="P171" i="83"/>
  <c r="P43" i="71" s="1"/>
  <c r="P148" i="71" s="1"/>
  <c r="AG229" i="83"/>
  <c r="AG103" i="71" s="1"/>
  <c r="AG208" i="71" s="1"/>
  <c r="W200" i="83"/>
  <c r="W73" i="71" s="1"/>
  <c r="W178" i="71" s="1"/>
  <c r="AO142" i="83"/>
  <c r="K171" i="83"/>
  <c r="K43" i="71" s="1"/>
  <c r="K148" i="71" s="1"/>
  <c r="V229" i="83"/>
  <c r="V103" i="71" s="1"/>
  <c r="V208" i="71" s="1"/>
  <c r="L171" i="83"/>
  <c r="L43" i="71" s="1"/>
  <c r="L148" i="71" s="1"/>
  <c r="AD229" i="83"/>
  <c r="AD103" i="71" s="1"/>
  <c r="AD208" i="71" s="1"/>
  <c r="AO229" i="83"/>
  <c r="AO103" i="71" s="1"/>
  <c r="AO208" i="71" s="1"/>
  <c r="S142" i="83"/>
  <c r="S144" i="72" s="1"/>
  <c r="S214" i="72" s="1"/>
  <c r="S244" i="72" s="1"/>
  <c r="AC200" i="83"/>
  <c r="AC73" i="71" s="1"/>
  <c r="AC178" i="71" s="1"/>
  <c r="X142" i="83"/>
  <c r="X144" i="72" s="1"/>
  <c r="X214" i="72" s="1"/>
  <c r="X244" i="72" s="1"/>
  <c r="R171" i="83"/>
  <c r="R43" i="71" s="1"/>
  <c r="R148" i="71" s="1"/>
  <c r="Y142" i="83"/>
  <c r="Y144" i="72" s="1"/>
  <c r="Y214" i="72" s="1"/>
  <c r="Y244" i="72" s="1"/>
  <c r="M229" i="83"/>
  <c r="M103" i="71" s="1"/>
  <c r="M208" i="71" s="1"/>
  <c r="P200" i="83"/>
  <c r="P73" i="71" s="1"/>
  <c r="P178" i="71" s="1"/>
  <c r="AC142" i="83"/>
  <c r="AM229" i="83"/>
  <c r="AM103" i="71" s="1"/>
  <c r="AM208" i="71" s="1"/>
  <c r="O171" i="83"/>
  <c r="O43" i="71" s="1"/>
  <c r="O148" i="71" s="1"/>
  <c r="AD170" i="83"/>
  <c r="AD42" i="71" s="1"/>
  <c r="AD147" i="71" s="1"/>
  <c r="O199" i="83"/>
  <c r="O72" i="71" s="1"/>
  <c r="O177" i="71" s="1"/>
  <c r="X170" i="83"/>
  <c r="X42" i="71" s="1"/>
  <c r="X147" i="71" s="1"/>
  <c r="K141" i="83"/>
  <c r="K143" i="72" s="1"/>
  <c r="K213" i="72" s="1"/>
  <c r="K243" i="72" s="1"/>
  <c r="AK141" i="83"/>
  <c r="AM228" i="83"/>
  <c r="AM102" i="71" s="1"/>
  <c r="AM207" i="71" s="1"/>
  <c r="Y199" i="83"/>
  <c r="Y72" i="71" s="1"/>
  <c r="Y177" i="71" s="1"/>
  <c r="W170" i="83"/>
  <c r="W42" i="71" s="1"/>
  <c r="W147" i="71" s="1"/>
  <c r="T199" i="83"/>
  <c r="T72" i="71" s="1"/>
  <c r="T177" i="71" s="1"/>
  <c r="AK170" i="83"/>
  <c r="AK42" i="71" s="1"/>
  <c r="AK147" i="71" s="1"/>
  <c r="L170" i="83"/>
  <c r="L42" i="71" s="1"/>
  <c r="L147" i="71" s="1"/>
  <c r="AE228" i="83"/>
  <c r="AE102" i="71" s="1"/>
  <c r="AE207" i="71" s="1"/>
  <c r="AB199" i="83"/>
  <c r="AB72" i="71" s="1"/>
  <c r="AB177" i="71" s="1"/>
  <c r="AF144" i="83"/>
  <c r="AC173" i="83"/>
  <c r="AC45" i="71" s="1"/>
  <c r="AC150" i="71" s="1"/>
  <c r="AP144" i="83"/>
  <c r="L173" i="83"/>
  <c r="L45" i="71" s="1"/>
  <c r="L150" i="71" s="1"/>
  <c r="AC144" i="83"/>
  <c r="P144" i="83"/>
  <c r="P146" i="72" s="1"/>
  <c r="P216" i="72" s="1"/>
  <c r="P246" i="72" s="1"/>
  <c r="AD202" i="83"/>
  <c r="AD75" i="71" s="1"/>
  <c r="AD180" i="71" s="1"/>
  <c r="U142" i="83"/>
  <c r="U144" i="72" s="1"/>
  <c r="U214" i="72" s="1"/>
  <c r="U244" i="72" s="1"/>
  <c r="AH171" i="83"/>
  <c r="AH43" i="71" s="1"/>
  <c r="AH148" i="71" s="1"/>
  <c r="R229" i="83"/>
  <c r="R103" i="71" s="1"/>
  <c r="R208" i="71" s="1"/>
  <c r="AI142" i="83"/>
  <c r="AH142" i="83"/>
  <c r="X200" i="83"/>
  <c r="X73" i="71" s="1"/>
  <c r="X178" i="71" s="1"/>
  <c r="T229" i="83"/>
  <c r="T103" i="71" s="1"/>
  <c r="T208" i="71" s="1"/>
  <c r="N229" i="83"/>
  <c r="N103" i="71" s="1"/>
  <c r="N208" i="71" s="1"/>
  <c r="AA142" i="83"/>
  <c r="AA144" i="72" s="1"/>
  <c r="AA214" i="72" s="1"/>
  <c r="AA244" i="72" s="1"/>
  <c r="AF142" i="83"/>
  <c r="AL200" i="83"/>
  <c r="AL73" i="71" s="1"/>
  <c r="AL178" i="71" s="1"/>
  <c r="AD142" i="83"/>
  <c r="Q171" i="83"/>
  <c r="Q43" i="71" s="1"/>
  <c r="Q148" i="71" s="1"/>
  <c r="T171" i="83"/>
  <c r="T43" i="71" s="1"/>
  <c r="T148" i="71" s="1"/>
  <c r="AE229" i="83"/>
  <c r="AE103" i="71" s="1"/>
  <c r="AE208" i="71" s="1"/>
  <c r="AL229" i="83"/>
  <c r="AL103" i="71" s="1"/>
  <c r="AL208" i="71" s="1"/>
  <c r="AI229" i="83"/>
  <c r="AI103" i="71" s="1"/>
  <c r="AI208" i="71" s="1"/>
  <c r="AK229" i="83"/>
  <c r="AK103" i="71" s="1"/>
  <c r="AK208" i="71" s="1"/>
  <c r="M200" i="83"/>
  <c r="M73" i="71" s="1"/>
  <c r="M178" i="71" s="1"/>
  <c r="AN200" i="83"/>
  <c r="AN73" i="71" s="1"/>
  <c r="AN178" i="71" s="1"/>
  <c r="AM171" i="83"/>
  <c r="AM43" i="71" s="1"/>
  <c r="AM148" i="71" s="1"/>
  <c r="AE142" i="83"/>
  <c r="AN142" i="83"/>
  <c r="N142" i="83"/>
  <c r="N144" i="72" s="1"/>
  <c r="N214" i="72" s="1"/>
  <c r="N244" i="72" s="1"/>
  <c r="AL171" i="83"/>
  <c r="AL43" i="71" s="1"/>
  <c r="AL148" i="71" s="1"/>
  <c r="V142" i="83"/>
  <c r="V144" i="72" s="1"/>
  <c r="V214" i="72" s="1"/>
  <c r="V244" i="72" s="1"/>
  <c r="N171" i="83"/>
  <c r="N43" i="71" s="1"/>
  <c r="N148" i="71" s="1"/>
  <c r="O229" i="83"/>
  <c r="O103" i="71" s="1"/>
  <c r="O208" i="71" s="1"/>
  <c r="Y171" i="83"/>
  <c r="Y43" i="71" s="1"/>
  <c r="Y148" i="71" s="1"/>
  <c r="AM142" i="83"/>
  <c r="J229" i="83"/>
  <c r="J103" i="71" s="1"/>
  <c r="J208" i="71" s="1"/>
  <c r="AJ200" i="83"/>
  <c r="AJ73" i="71" s="1"/>
  <c r="AJ178" i="71" s="1"/>
  <c r="AK199" i="83"/>
  <c r="AK72" i="71" s="1"/>
  <c r="AK177" i="71" s="1"/>
  <c r="AA199" i="83"/>
  <c r="AA72" i="71" s="1"/>
  <c r="AA177" i="71" s="1"/>
  <c r="P141" i="83"/>
  <c r="P143" i="72" s="1"/>
  <c r="P213" i="72" s="1"/>
  <c r="P243" i="72" s="1"/>
  <c r="AJ199" i="83"/>
  <c r="AJ72" i="71" s="1"/>
  <c r="AJ177" i="71" s="1"/>
  <c r="AE199" i="83"/>
  <c r="AE72" i="71" s="1"/>
  <c r="AE177" i="71" s="1"/>
  <c r="AB141" i="83"/>
  <c r="AB143" i="72" s="1"/>
  <c r="AB213" i="72" s="1"/>
  <c r="AB243" i="72" s="1"/>
  <c r="AC228" i="83"/>
  <c r="AC102" i="71" s="1"/>
  <c r="AC207" i="71" s="1"/>
  <c r="AK228" i="83"/>
  <c r="AK102" i="71" s="1"/>
  <c r="AK207" i="71" s="1"/>
  <c r="AM141" i="83"/>
  <c r="AE170" i="83"/>
  <c r="AE42" i="71" s="1"/>
  <c r="AE147" i="71" s="1"/>
  <c r="AP141" i="83"/>
  <c r="S228" i="83"/>
  <c r="S102" i="71" s="1"/>
  <c r="S207" i="71" s="1"/>
  <c r="AO141" i="83"/>
  <c r="U144" i="83"/>
  <c r="U146" i="72" s="1"/>
  <c r="U216" i="72" s="1"/>
  <c r="U246" i="72" s="1"/>
  <c r="AJ231" i="83"/>
  <c r="AJ105" i="71" s="1"/>
  <c r="AJ210" i="71" s="1"/>
  <c r="S173" i="83"/>
  <c r="S45" i="71" s="1"/>
  <c r="S150" i="71" s="1"/>
  <c r="AO144" i="83"/>
  <c r="S144" i="83"/>
  <c r="S146" i="72" s="1"/>
  <c r="S216" i="72" s="1"/>
  <c r="S246" i="72" s="1"/>
  <c r="S231" i="83"/>
  <c r="S105" i="71" s="1"/>
  <c r="S210" i="71" s="1"/>
  <c r="K231" i="83"/>
  <c r="K105" i="71" s="1"/>
  <c r="K210" i="71" s="1"/>
  <c r="K173" i="83"/>
  <c r="K45" i="71" s="1"/>
  <c r="K150" i="71" s="1"/>
  <c r="J173" i="83"/>
  <c r="J45" i="71" s="1"/>
  <c r="J150" i="71" s="1"/>
  <c r="T231" i="83"/>
  <c r="T105" i="71" s="1"/>
  <c r="T210" i="71" s="1"/>
  <c r="J144" i="83"/>
  <c r="J146" i="72" s="1"/>
  <c r="J216" i="72" s="1"/>
  <c r="J246" i="72" s="1"/>
  <c r="AN231" i="83"/>
  <c r="AN105" i="71" s="1"/>
  <c r="AN210" i="71" s="1"/>
  <c r="T144" i="83"/>
  <c r="T146" i="72" s="1"/>
  <c r="T216" i="72" s="1"/>
  <c r="T246" i="72" s="1"/>
  <c r="AL144" i="83"/>
  <c r="R231" i="83"/>
  <c r="R105" i="71" s="1"/>
  <c r="R210" i="71" s="1"/>
  <c r="AP202" i="83"/>
  <c r="AP75" i="71" s="1"/>
  <c r="AP180" i="71" s="1"/>
  <c r="AL173" i="83"/>
  <c r="AL45" i="71" s="1"/>
  <c r="AL150" i="71" s="1"/>
  <c r="AI173" i="83"/>
  <c r="AI45" i="71" s="1"/>
  <c r="AI150" i="71" s="1"/>
  <c r="AP173" i="83"/>
  <c r="AP45" i="71" s="1"/>
  <c r="AP150" i="71" s="1"/>
  <c r="AK202" i="83"/>
  <c r="AK75" i="71" s="1"/>
  <c r="AK180" i="71" s="1"/>
  <c r="Z202" i="83"/>
  <c r="Z75" i="71" s="1"/>
  <c r="Z180" i="71" s="1"/>
  <c r="AA144" i="83"/>
  <c r="AA146" i="72" s="1"/>
  <c r="AA216" i="72" s="1"/>
  <c r="AA246" i="72" s="1"/>
  <c r="O231" i="83"/>
  <c r="O105" i="71" s="1"/>
  <c r="O210" i="71" s="1"/>
  <c r="V202" i="83"/>
  <c r="V75" i="71" s="1"/>
  <c r="V180" i="71" s="1"/>
  <c r="AE202" i="83"/>
  <c r="AE75" i="71" s="1"/>
  <c r="AE180" i="71" s="1"/>
  <c r="AA173" i="83"/>
  <c r="AA45" i="71" s="1"/>
  <c r="AA150" i="71" s="1"/>
  <c r="O144" i="83"/>
  <c r="O146" i="72" s="1"/>
  <c r="O216" i="72" s="1"/>
  <c r="O246" i="72" s="1"/>
  <c r="M231" i="83"/>
  <c r="M105" i="71" s="1"/>
  <c r="M210" i="71" s="1"/>
  <c r="AB144" i="83"/>
  <c r="AB146" i="72" s="1"/>
  <c r="AB216" i="72" s="1"/>
  <c r="AB246" i="72" s="1"/>
  <c r="L144" i="83"/>
  <c r="L146" i="72" s="1"/>
  <c r="L216" i="72" s="1"/>
  <c r="L246" i="72" s="1"/>
  <c r="AF173" i="83"/>
  <c r="AF45" i="71" s="1"/>
  <c r="AF150" i="71" s="1"/>
  <c r="AI144" i="83"/>
  <c r="AN173" i="83"/>
  <c r="AN45" i="71" s="1"/>
  <c r="AN150" i="71" s="1"/>
  <c r="W231" i="83"/>
  <c r="W105" i="71" s="1"/>
  <c r="W210" i="71" s="1"/>
  <c r="K202" i="83"/>
  <c r="K75" i="71" s="1"/>
  <c r="K180" i="71" s="1"/>
  <c r="M144" i="83"/>
  <c r="M146" i="72" s="1"/>
  <c r="M216" i="72" s="1"/>
  <c r="M246" i="72" s="1"/>
  <c r="AC202" i="83"/>
  <c r="AC75" i="71" s="1"/>
  <c r="AC180" i="71" s="1"/>
  <c r="P202" i="83"/>
  <c r="P75" i="71" s="1"/>
  <c r="P180" i="71" s="1"/>
  <c r="Z144" i="83"/>
  <c r="Z146" i="72" s="1"/>
  <c r="Z216" i="72" s="1"/>
  <c r="Z246" i="72" s="1"/>
  <c r="AK173" i="83"/>
  <c r="AK45" i="71" s="1"/>
  <c r="AK150" i="71" s="1"/>
  <c r="Q202" i="83"/>
  <c r="Q75" i="71" s="1"/>
  <c r="Q180" i="71" s="1"/>
  <c r="N173" i="83"/>
  <c r="N45" i="71" s="1"/>
  <c r="N150" i="71" s="1"/>
  <c r="X173" i="83"/>
  <c r="X45" i="71" s="1"/>
  <c r="X150" i="71" s="1"/>
  <c r="AF231" i="83"/>
  <c r="AF105" i="71" s="1"/>
  <c r="AF210" i="71" s="1"/>
  <c r="Y231" i="83"/>
  <c r="Y105" i="71" s="1"/>
  <c r="Y210" i="71" s="1"/>
  <c r="AD144" i="83"/>
  <c r="K144" i="83"/>
  <c r="K146" i="72" s="1"/>
  <c r="K216" i="72" s="1"/>
  <c r="K246" i="72" s="1"/>
  <c r="L231" i="83"/>
  <c r="L105" i="71" s="1"/>
  <c r="L210" i="71" s="1"/>
  <c r="AD173" i="83"/>
  <c r="AD45" i="71" s="1"/>
  <c r="AD150" i="71" s="1"/>
  <c r="AO231" i="83"/>
  <c r="AO105" i="71" s="1"/>
  <c r="AO210" i="71" s="1"/>
  <c r="Q231" i="83"/>
  <c r="Q105" i="71" s="1"/>
  <c r="Q210" i="71" s="1"/>
  <c r="AL231" i="83"/>
  <c r="AL105" i="71" s="1"/>
  <c r="AL210" i="71" s="1"/>
  <c r="AH202" i="83"/>
  <c r="AH75" i="71" s="1"/>
  <c r="AH180" i="71" s="1"/>
  <c r="P231" i="83"/>
  <c r="P105" i="71" s="1"/>
  <c r="P210" i="71" s="1"/>
  <c r="AJ144" i="83"/>
  <c r="AG144" i="83"/>
  <c r="W202" i="83"/>
  <c r="W75" i="71" s="1"/>
  <c r="W180" i="71" s="1"/>
  <c r="P173" i="83"/>
  <c r="P45" i="71" s="1"/>
  <c r="P150" i="71" s="1"/>
  <c r="W173" i="83"/>
  <c r="W45" i="71" s="1"/>
  <c r="W150" i="71" s="1"/>
  <c r="R173" i="83"/>
  <c r="R45" i="71" s="1"/>
  <c r="R150" i="71" s="1"/>
  <c r="L202" i="83"/>
  <c r="L75" i="71" s="1"/>
  <c r="L180" i="71" s="1"/>
  <c r="AJ202" i="83"/>
  <c r="AJ75" i="71" s="1"/>
  <c r="AJ180" i="71" s="1"/>
  <c r="AM144" i="83"/>
  <c r="AJ173" i="83"/>
  <c r="AJ45" i="71" s="1"/>
  <c r="AJ150" i="71" s="1"/>
  <c r="R144" i="83"/>
  <c r="R146" i="72" s="1"/>
  <c r="R216" i="72" s="1"/>
  <c r="R246" i="72" s="1"/>
  <c r="X231" i="83"/>
  <c r="X105" i="71" s="1"/>
  <c r="X210" i="71" s="1"/>
  <c r="AE173" i="83"/>
  <c r="AE45" i="71" s="1"/>
  <c r="AE150" i="71" s="1"/>
  <c r="U173" i="83"/>
  <c r="U45" i="71" s="1"/>
  <c r="U150" i="71" s="1"/>
  <c r="N231" i="83"/>
  <c r="N105" i="71" s="1"/>
  <c r="N210" i="71" s="1"/>
  <c r="AI231" i="83"/>
  <c r="AI105" i="71" s="1"/>
  <c r="AI210" i="71" s="1"/>
  <c r="N144" i="83"/>
  <c r="N146" i="72" s="1"/>
  <c r="N216" i="72" s="1"/>
  <c r="N246" i="72" s="1"/>
  <c r="AD231" i="83"/>
  <c r="AD105" i="71" s="1"/>
  <c r="AD210" i="71" s="1"/>
  <c r="Y202" i="83"/>
  <c r="Y75" i="71" s="1"/>
  <c r="Y180" i="71" s="1"/>
  <c r="U231" i="83"/>
  <c r="U105" i="71" s="1"/>
  <c r="U210" i="71" s="1"/>
  <c r="AL202" i="83"/>
  <c r="AL75" i="71" s="1"/>
  <c r="AL180" i="71" s="1"/>
  <c r="AA202" i="83"/>
  <c r="AA75" i="71" s="1"/>
  <c r="AA180" i="71" s="1"/>
  <c r="S202" i="83"/>
  <c r="S75" i="71" s="1"/>
  <c r="S180" i="71" s="1"/>
  <c r="T173" i="83"/>
  <c r="T45" i="71" s="1"/>
  <c r="T150" i="71" s="1"/>
  <c r="V173" i="83"/>
  <c r="V45" i="71" s="1"/>
  <c r="V150" i="71" s="1"/>
  <c r="Z231" i="83"/>
  <c r="Z105" i="71" s="1"/>
  <c r="Z210" i="71" s="1"/>
  <c r="AK144" i="83"/>
  <c r="AE231" i="83"/>
  <c r="AE105" i="71" s="1"/>
  <c r="AE210" i="71" s="1"/>
  <c r="J202" i="83"/>
  <c r="J75" i="71" s="1"/>
  <c r="J180" i="71" s="1"/>
  <c r="O202" i="83"/>
  <c r="O75" i="71" s="1"/>
  <c r="O180" i="71" s="1"/>
  <c r="T202" i="83"/>
  <c r="T75" i="71" s="1"/>
  <c r="T180" i="71" s="1"/>
  <c r="AH231" i="83"/>
  <c r="AH105" i="71" s="1"/>
  <c r="AH210" i="71" s="1"/>
  <c r="AF202" i="83"/>
  <c r="AF75" i="71" s="1"/>
  <c r="AF180" i="71" s="1"/>
  <c r="AM231" i="83"/>
  <c r="AM105" i="71" s="1"/>
  <c r="AM210" i="71" s="1"/>
  <c r="J231" i="83"/>
  <c r="J105" i="71" s="1"/>
  <c r="J210" i="71" s="1"/>
  <c r="Y173" i="83"/>
  <c r="Y45" i="71" s="1"/>
  <c r="Y150" i="71" s="1"/>
  <c r="AN144" i="83"/>
  <c r="AG202" i="83"/>
  <c r="AG75" i="71" s="1"/>
  <c r="AG180" i="71" s="1"/>
  <c r="Y144" i="83"/>
  <c r="Y146" i="72" s="1"/>
  <c r="Y216" i="72" s="1"/>
  <c r="Y246" i="72" s="1"/>
  <c r="AE144" i="83"/>
  <c r="U202" i="83"/>
  <c r="U75" i="71" s="1"/>
  <c r="U180" i="71" s="1"/>
  <c r="O173" i="83"/>
  <c r="O45" i="71" s="1"/>
  <c r="O150" i="71" s="1"/>
  <c r="V144" i="83"/>
  <c r="V146" i="72" s="1"/>
  <c r="V216" i="72" s="1"/>
  <c r="V246" i="72" s="1"/>
  <c r="AM173" i="83"/>
  <c r="AM45" i="71" s="1"/>
  <c r="AM150" i="71" s="1"/>
  <c r="AI202" i="83"/>
  <c r="AI75" i="71" s="1"/>
  <c r="AI180" i="71" s="1"/>
  <c r="M202" i="83"/>
  <c r="M75" i="71" s="1"/>
  <c r="M180" i="71" s="1"/>
  <c r="AH173" i="83"/>
  <c r="AH45" i="71" s="1"/>
  <c r="AH150" i="71" s="1"/>
  <c r="AB202" i="83"/>
  <c r="AB75" i="71" s="1"/>
  <c r="AB180" i="71" s="1"/>
  <c r="AH144" i="83"/>
  <c r="N202" i="83"/>
  <c r="N75" i="71" s="1"/>
  <c r="N180" i="71" s="1"/>
  <c r="AO173" i="83"/>
  <c r="AO45" i="71" s="1"/>
  <c r="AO150" i="71" s="1"/>
  <c r="Q173" i="83"/>
  <c r="Q45" i="71" s="1"/>
  <c r="Q150" i="71" s="1"/>
  <c r="AK231" i="83"/>
  <c r="AK105" i="71" s="1"/>
  <c r="AK210" i="71" s="1"/>
  <c r="AN202" i="83"/>
  <c r="AN75" i="71" s="1"/>
  <c r="AN180" i="71" s="1"/>
  <c r="AM202" i="83"/>
  <c r="AM75" i="71" s="1"/>
  <c r="AM180" i="71" s="1"/>
  <c r="X144" i="83"/>
  <c r="X146" i="72" s="1"/>
  <c r="X216" i="72" s="1"/>
  <c r="X246" i="72" s="1"/>
  <c r="AG173" i="83"/>
  <c r="AG45" i="71" s="1"/>
  <c r="AG150" i="71" s="1"/>
  <c r="AB231" i="83"/>
  <c r="AB105" i="71" s="1"/>
  <c r="AB210" i="71" s="1"/>
  <c r="Z173" i="83"/>
  <c r="Z45" i="71" s="1"/>
  <c r="Z150" i="71" s="1"/>
  <c r="R202" i="83"/>
  <c r="R75" i="71" s="1"/>
  <c r="R180" i="71" s="1"/>
  <c r="AB173" i="83"/>
  <c r="AB45" i="71" s="1"/>
  <c r="AB150" i="71" s="1"/>
  <c r="Q144" i="83"/>
  <c r="Q146" i="72" s="1"/>
  <c r="Q216" i="72" s="1"/>
  <c r="Q246" i="72" s="1"/>
  <c r="AG231" i="83"/>
  <c r="AG105" i="71" s="1"/>
  <c r="AG210" i="71" s="1"/>
  <c r="W144" i="83"/>
  <c r="W146" i="72" s="1"/>
  <c r="W216" i="72" s="1"/>
  <c r="W246" i="72" s="1"/>
  <c r="O96" i="71"/>
  <c r="O201" i="71" s="1"/>
  <c r="U151" i="73"/>
  <c r="Q181" i="73"/>
  <c r="Q241" i="73" s="1"/>
  <c r="Y151" i="73"/>
  <c r="M151" i="73"/>
  <c r="V151" i="73"/>
  <c r="W151" i="73"/>
  <c r="P181" i="73"/>
  <c r="P241" i="73" s="1"/>
  <c r="K151" i="73"/>
  <c r="Y181" i="73"/>
  <c r="Y241" i="73" s="1"/>
  <c r="N151" i="73"/>
  <c r="J151" i="73"/>
  <c r="O181" i="73"/>
  <c r="O241" i="73" s="1"/>
  <c r="Z181" i="73"/>
  <c r="Z241" i="73" s="1"/>
  <c r="O151" i="73"/>
  <c r="L181" i="73"/>
  <c r="L241" i="73" s="1"/>
  <c r="V181" i="73"/>
  <c r="V241" i="73" s="1"/>
  <c r="R181" i="73"/>
  <c r="R241" i="73" s="1"/>
  <c r="N181" i="73"/>
  <c r="N241" i="73" s="1"/>
  <c r="Z151" i="73"/>
  <c r="P151" i="73"/>
  <c r="X181" i="73"/>
  <c r="X241" i="73" s="1"/>
  <c r="U181" i="73"/>
  <c r="U241" i="73" s="1"/>
  <c r="M181" i="73"/>
  <c r="M241" i="73" s="1"/>
  <c r="AA181" i="73"/>
  <c r="AA241" i="73" s="1"/>
  <c r="AB151" i="73"/>
  <c r="AA151" i="73"/>
  <c r="W181" i="73"/>
  <c r="W241" i="73" s="1"/>
  <c r="S151" i="73"/>
  <c r="X151" i="73"/>
  <c r="AB181" i="73"/>
  <c r="AB241" i="73" s="1"/>
  <c r="T151" i="73"/>
  <c r="K181" i="73"/>
  <c r="K241" i="73" s="1"/>
  <c r="T181" i="73"/>
  <c r="T241" i="73" s="1"/>
  <c r="L151" i="73"/>
  <c r="J181" i="73"/>
  <c r="J241" i="73" s="1"/>
  <c r="Q151" i="73"/>
  <c r="R151" i="73"/>
  <c r="S181" i="73"/>
  <c r="S241" i="73" s="1"/>
  <c r="Q176" i="73"/>
  <c r="Q236" i="73" s="1"/>
  <c r="N176" i="73"/>
  <c r="N236" i="73" s="1"/>
  <c r="W176" i="73"/>
  <c r="W236" i="73" s="1"/>
  <c r="J176" i="73"/>
  <c r="J236" i="73" s="1"/>
  <c r="K146" i="73"/>
  <c r="U146" i="73"/>
  <c r="V146" i="73"/>
  <c r="S176" i="73"/>
  <c r="S236" i="73" s="1"/>
  <c r="M176" i="73"/>
  <c r="M236" i="73" s="1"/>
  <c r="Q146" i="73"/>
  <c r="AB146" i="73"/>
  <c r="Z176" i="73"/>
  <c r="Z236" i="73" s="1"/>
  <c r="R176" i="73"/>
  <c r="R236" i="73" s="1"/>
  <c r="P146" i="73"/>
  <c r="W146" i="73"/>
  <c r="L176" i="73"/>
  <c r="L236" i="73" s="1"/>
  <c r="AB176" i="73"/>
  <c r="AB236" i="73" s="1"/>
  <c r="Y146" i="73"/>
  <c r="U176" i="73"/>
  <c r="U236" i="73" s="1"/>
  <c r="O176" i="73"/>
  <c r="O236" i="73" s="1"/>
  <c r="Y176" i="73"/>
  <c r="Y236" i="73" s="1"/>
  <c r="T176" i="73"/>
  <c r="T236" i="73" s="1"/>
  <c r="K176" i="73"/>
  <c r="K236" i="73" s="1"/>
  <c r="R146" i="73"/>
  <c r="M146" i="73"/>
  <c r="L146" i="73"/>
  <c r="AA176" i="73"/>
  <c r="AA236" i="73" s="1"/>
  <c r="X176" i="73"/>
  <c r="X236" i="73" s="1"/>
  <c r="Z146" i="73"/>
  <c r="X146" i="73"/>
  <c r="S146" i="73"/>
  <c r="P176" i="73"/>
  <c r="P236" i="73" s="1"/>
  <c r="T146" i="73"/>
  <c r="J146" i="73"/>
  <c r="V176" i="73"/>
  <c r="V236" i="73" s="1"/>
  <c r="AA146" i="73"/>
  <c r="O146" i="73"/>
  <c r="N146" i="73"/>
  <c r="R155" i="73"/>
  <c r="N185" i="73"/>
  <c r="N245" i="73" s="1"/>
  <c r="T185" i="73"/>
  <c r="T245" i="73" s="1"/>
  <c r="X185" i="73"/>
  <c r="X245" i="73" s="1"/>
  <c r="X155" i="73"/>
  <c r="R185" i="73"/>
  <c r="R245" i="73" s="1"/>
  <c r="Z155" i="73"/>
  <c r="K185" i="73"/>
  <c r="K245" i="73" s="1"/>
  <c r="U155" i="73"/>
  <c r="P185" i="73"/>
  <c r="P245" i="73" s="1"/>
  <c r="S185" i="73"/>
  <c r="S245" i="73" s="1"/>
  <c r="M185" i="73"/>
  <c r="M245" i="73" s="1"/>
  <c r="O185" i="73"/>
  <c r="O245" i="73" s="1"/>
  <c r="AA185" i="73"/>
  <c r="AA245" i="73" s="1"/>
  <c r="Y155" i="73"/>
  <c r="Q185" i="73"/>
  <c r="Q245" i="73" s="1"/>
  <c r="M155" i="73"/>
  <c r="S155" i="73"/>
  <c r="Y185" i="73"/>
  <c r="Y245" i="73" s="1"/>
  <c r="W155" i="73"/>
  <c r="N155" i="73"/>
  <c r="V185" i="73"/>
  <c r="V245" i="73" s="1"/>
  <c r="T155" i="73"/>
  <c r="Z185" i="73"/>
  <c r="Z245" i="73" s="1"/>
  <c r="O155" i="73"/>
  <c r="J155" i="73"/>
  <c r="AB185" i="73"/>
  <c r="AB245" i="73" s="1"/>
  <c r="L185" i="73"/>
  <c r="L245" i="73" s="1"/>
  <c r="P155" i="73"/>
  <c r="J185" i="73"/>
  <c r="J245" i="73" s="1"/>
  <c r="V155" i="73"/>
  <c r="L155" i="73"/>
  <c r="Q155" i="73"/>
  <c r="AA155" i="73"/>
  <c r="W185" i="73"/>
  <c r="W245" i="73" s="1"/>
  <c r="K155" i="73"/>
  <c r="U185" i="73"/>
  <c r="U245" i="73" s="1"/>
  <c r="AB155" i="73"/>
  <c r="AJ181" i="72"/>
  <c r="AJ216" i="72" s="1"/>
  <c r="AJ246" i="72" s="1"/>
  <c r="AF181" i="72"/>
  <c r="AF216" i="72" s="1"/>
  <c r="AF246" i="72" s="1"/>
  <c r="AN181" i="72"/>
  <c r="AN216" i="72" s="1"/>
  <c r="AN246" i="72" s="1"/>
  <c r="AM181" i="72"/>
  <c r="AM216" i="72" s="1"/>
  <c r="AM246" i="72" s="1"/>
  <c r="AO181" i="72"/>
  <c r="AO216" i="72" s="1"/>
  <c r="AO246" i="72" s="1"/>
  <c r="AC181" i="72"/>
  <c r="AC216" i="72" s="1"/>
  <c r="AC246" i="72" s="1"/>
  <c r="AG181" i="72"/>
  <c r="AG216" i="72" s="1"/>
  <c r="AG246" i="72" s="1"/>
  <c r="AH181" i="72"/>
  <c r="AH216" i="72" s="1"/>
  <c r="AH246" i="72" s="1"/>
  <c r="AD181" i="72"/>
  <c r="AD216" i="72" s="1"/>
  <c r="AD246" i="72" s="1"/>
  <c r="AE181" i="72"/>
  <c r="AE216" i="72" s="1"/>
  <c r="AE246" i="72" s="1"/>
  <c r="AK181" i="72"/>
  <c r="AK216" i="72" s="1"/>
  <c r="AK246" i="72" s="1"/>
  <c r="AL181" i="72"/>
  <c r="AL216" i="72" s="1"/>
  <c r="AL246" i="72" s="1"/>
  <c r="AP181" i="72"/>
  <c r="AP216" i="72" s="1"/>
  <c r="AP246" i="72" s="1"/>
  <c r="AI181" i="72"/>
  <c r="AI216" i="72" s="1"/>
  <c r="AI246" i="72" s="1"/>
  <c r="AJ173" i="72"/>
  <c r="AJ208" i="72" s="1"/>
  <c r="AJ238" i="72" s="1"/>
  <c r="AC173" i="72"/>
  <c r="AC208" i="72" s="1"/>
  <c r="AC238" i="72" s="1"/>
  <c r="AN173" i="72"/>
  <c r="AN208" i="72" s="1"/>
  <c r="AN238" i="72" s="1"/>
  <c r="AD173" i="72"/>
  <c r="AD208" i="72" s="1"/>
  <c r="AD238" i="72" s="1"/>
  <c r="AK173" i="72"/>
  <c r="AK208" i="72" s="1"/>
  <c r="AK238" i="72" s="1"/>
  <c r="AM173" i="72"/>
  <c r="AM208" i="72" s="1"/>
  <c r="AM238" i="72" s="1"/>
  <c r="AO173" i="72"/>
  <c r="AO208" i="72" s="1"/>
  <c r="AO238" i="72" s="1"/>
  <c r="AF173" i="72"/>
  <c r="AF208" i="72" s="1"/>
  <c r="AF238" i="72" s="1"/>
  <c r="AH173" i="72"/>
  <c r="AH208" i="72" s="1"/>
  <c r="AH238" i="72" s="1"/>
  <c r="AL173" i="72"/>
  <c r="AL208" i="72" s="1"/>
  <c r="AL238" i="72" s="1"/>
  <c r="AG173" i="72"/>
  <c r="AG208" i="72" s="1"/>
  <c r="AG238" i="72" s="1"/>
  <c r="AE173" i="72"/>
  <c r="AE208" i="72" s="1"/>
  <c r="AE238" i="72" s="1"/>
  <c r="AP173" i="72"/>
  <c r="AP208" i="72" s="1"/>
  <c r="AP238" i="72" s="1"/>
  <c r="AI173" i="72"/>
  <c r="AI208" i="72" s="1"/>
  <c r="AI238" i="72" s="1"/>
  <c r="Y148" i="73"/>
  <c r="V148" i="73"/>
  <c r="U178" i="73"/>
  <c r="U238" i="73" s="1"/>
  <c r="W148" i="73"/>
  <c r="Q148" i="73"/>
  <c r="K148" i="73"/>
  <c r="X178" i="73"/>
  <c r="X238" i="73" s="1"/>
  <c r="M148" i="73"/>
  <c r="P148" i="73"/>
  <c r="N148" i="73"/>
  <c r="O148" i="73"/>
  <c r="AB178" i="73"/>
  <c r="AB238" i="73" s="1"/>
  <c r="AA148" i="73"/>
  <c r="S148" i="73"/>
  <c r="T178" i="73"/>
  <c r="T238" i="73" s="1"/>
  <c r="AB148" i="73"/>
  <c r="O178" i="73"/>
  <c r="O238" i="73" s="1"/>
  <c r="Z178" i="73"/>
  <c r="Z238" i="73" s="1"/>
  <c r="AA178" i="73"/>
  <c r="AA238" i="73" s="1"/>
  <c r="W178" i="73"/>
  <c r="W238" i="73" s="1"/>
  <c r="R178" i="73"/>
  <c r="R238" i="73" s="1"/>
  <c r="Y178" i="73"/>
  <c r="Y238" i="73" s="1"/>
  <c r="J148" i="73"/>
  <c r="R148" i="73"/>
  <c r="X148" i="73"/>
  <c r="J178" i="73"/>
  <c r="J238" i="73" s="1"/>
  <c r="P178" i="73"/>
  <c r="P238" i="73" s="1"/>
  <c r="T148" i="73"/>
  <c r="Q178" i="73"/>
  <c r="Q238" i="73" s="1"/>
  <c r="M178" i="73"/>
  <c r="M238" i="73" s="1"/>
  <c r="N178" i="73"/>
  <c r="N238" i="73" s="1"/>
  <c r="K178" i="73"/>
  <c r="K238" i="73" s="1"/>
  <c r="U148" i="73"/>
  <c r="V178" i="73"/>
  <c r="V238" i="73" s="1"/>
  <c r="L178" i="73"/>
  <c r="L238" i="73" s="1"/>
  <c r="L148" i="73"/>
  <c r="S178" i="73"/>
  <c r="S238" i="73" s="1"/>
  <c r="Z148" i="73"/>
  <c r="X184" i="73"/>
  <c r="X244" i="73" s="1"/>
  <c r="L154" i="73"/>
  <c r="Y184" i="73"/>
  <c r="Y244" i="73" s="1"/>
  <c r="Q184" i="73"/>
  <c r="Q244" i="73" s="1"/>
  <c r="AB154" i="73"/>
  <c r="N154" i="73"/>
  <c r="V184" i="73"/>
  <c r="V244" i="73" s="1"/>
  <c r="R154" i="73"/>
  <c r="Y154" i="73"/>
  <c r="P154" i="73"/>
  <c r="M184" i="73"/>
  <c r="M244" i="73" s="1"/>
  <c r="T154" i="73"/>
  <c r="J184" i="73"/>
  <c r="J244" i="73" s="1"/>
  <c r="P184" i="73"/>
  <c r="P244" i="73" s="1"/>
  <c r="AA154" i="73"/>
  <c r="S154" i="73"/>
  <c r="S184" i="73"/>
  <c r="S244" i="73" s="1"/>
  <c r="M154" i="73"/>
  <c r="W154" i="73"/>
  <c r="K154" i="73"/>
  <c r="L184" i="73"/>
  <c r="L244" i="73" s="1"/>
  <c r="AB184" i="73"/>
  <c r="AB244" i="73" s="1"/>
  <c r="K184" i="73"/>
  <c r="K244" i="73" s="1"/>
  <c r="X154" i="73"/>
  <c r="Z154" i="73"/>
  <c r="Q154" i="73"/>
  <c r="N184" i="73"/>
  <c r="N244" i="73" s="1"/>
  <c r="U154" i="73"/>
  <c r="Z184" i="73"/>
  <c r="Z244" i="73" s="1"/>
  <c r="U184" i="73"/>
  <c r="U244" i="73" s="1"/>
  <c r="R184" i="73"/>
  <c r="R244" i="73" s="1"/>
  <c r="AA184" i="73"/>
  <c r="AA244" i="73" s="1"/>
  <c r="J154" i="73"/>
  <c r="O154" i="73"/>
  <c r="O184" i="73"/>
  <c r="O244" i="73" s="1"/>
  <c r="V154" i="73"/>
  <c r="T184" i="73"/>
  <c r="T244" i="73" s="1"/>
  <c r="W184" i="73"/>
  <c r="W244" i="73" s="1"/>
  <c r="Q150" i="73"/>
  <c r="R180" i="73"/>
  <c r="R240" i="73" s="1"/>
  <c r="Z180" i="73"/>
  <c r="Z240" i="73" s="1"/>
  <c r="V150" i="73"/>
  <c r="AB180" i="73"/>
  <c r="AB240" i="73" s="1"/>
  <c r="O150" i="73"/>
  <c r="J180" i="73"/>
  <c r="J240" i="73" s="1"/>
  <c r="S150" i="73"/>
  <c r="K180" i="73"/>
  <c r="K240" i="73" s="1"/>
  <c r="P150" i="73"/>
  <c r="K150" i="73"/>
  <c r="J150" i="73"/>
  <c r="V180" i="73"/>
  <c r="V240" i="73" s="1"/>
  <c r="W180" i="73"/>
  <c r="W240" i="73" s="1"/>
  <c r="O180" i="73"/>
  <c r="O240" i="73" s="1"/>
  <c r="U180" i="73"/>
  <c r="U240" i="73" s="1"/>
  <c r="R150" i="73"/>
  <c r="Y180" i="73"/>
  <c r="Y240" i="73" s="1"/>
  <c r="W150" i="73"/>
  <c r="P180" i="73"/>
  <c r="P240" i="73" s="1"/>
  <c r="N180" i="73"/>
  <c r="N240" i="73" s="1"/>
  <c r="AB150" i="73"/>
  <c r="Y150" i="73"/>
  <c r="M150" i="73"/>
  <c r="AA180" i="73"/>
  <c r="AA240" i="73" s="1"/>
  <c r="Z150" i="73"/>
  <c r="N150" i="73"/>
  <c r="Q180" i="73"/>
  <c r="Q240" i="73" s="1"/>
  <c r="AA150" i="73"/>
  <c r="L150" i="73"/>
  <c r="X180" i="73"/>
  <c r="X240" i="73" s="1"/>
  <c r="U150" i="73"/>
  <c r="T180" i="73"/>
  <c r="T240" i="73" s="1"/>
  <c r="T150" i="73"/>
  <c r="M180" i="73"/>
  <c r="M240" i="73" s="1"/>
  <c r="L180" i="73"/>
  <c r="L240" i="73" s="1"/>
  <c r="X150" i="73"/>
  <c r="S180" i="73"/>
  <c r="S240" i="73" s="1"/>
  <c r="AC178" i="72"/>
  <c r="AC213" i="72" s="1"/>
  <c r="AC243" i="72" s="1"/>
  <c r="AF178" i="72"/>
  <c r="AF213" i="72" s="1"/>
  <c r="AF243" i="72" s="1"/>
  <c r="AM178" i="72"/>
  <c r="AM213" i="72" s="1"/>
  <c r="AM243" i="72" s="1"/>
  <c r="AN178" i="72"/>
  <c r="AN213" i="72" s="1"/>
  <c r="AN243" i="72" s="1"/>
  <c r="AI178" i="72"/>
  <c r="AI213" i="72" s="1"/>
  <c r="AI243" i="72" s="1"/>
  <c r="AL178" i="72"/>
  <c r="AL213" i="72" s="1"/>
  <c r="AL243" i="72" s="1"/>
  <c r="AP178" i="72"/>
  <c r="AP213" i="72" s="1"/>
  <c r="AP243" i="72" s="1"/>
  <c r="AK178" i="72"/>
  <c r="AK213" i="72" s="1"/>
  <c r="AK243" i="72" s="1"/>
  <c r="AE178" i="72"/>
  <c r="AE213" i="72" s="1"/>
  <c r="AE243" i="72" s="1"/>
  <c r="AO178" i="72"/>
  <c r="AO213" i="72" s="1"/>
  <c r="AO243" i="72" s="1"/>
  <c r="AG178" i="72"/>
  <c r="AG213" i="72" s="1"/>
  <c r="AG243" i="72" s="1"/>
  <c r="AH178" i="72"/>
  <c r="AH213" i="72" s="1"/>
  <c r="AH243" i="72" s="1"/>
  <c r="AJ178" i="72"/>
  <c r="AJ213" i="72" s="1"/>
  <c r="AJ243" i="72" s="1"/>
  <c r="AD178" i="72"/>
  <c r="AD213" i="72" s="1"/>
  <c r="AD243" i="72" s="1"/>
  <c r="AN174" i="72"/>
  <c r="AN209" i="72" s="1"/>
  <c r="AN239" i="72" s="1"/>
  <c r="AE174" i="72"/>
  <c r="AE209" i="72" s="1"/>
  <c r="AE239" i="72" s="1"/>
  <c r="AP174" i="72"/>
  <c r="AP209" i="72" s="1"/>
  <c r="AP239" i="72" s="1"/>
  <c r="AM174" i="72"/>
  <c r="AM209" i="72" s="1"/>
  <c r="AM239" i="72" s="1"/>
  <c r="AO174" i="72"/>
  <c r="AO209" i="72" s="1"/>
  <c r="AO239" i="72" s="1"/>
  <c r="AI174" i="72"/>
  <c r="AI209" i="72" s="1"/>
  <c r="AI239" i="72" s="1"/>
  <c r="AJ174" i="72"/>
  <c r="AJ209" i="72" s="1"/>
  <c r="AJ239" i="72" s="1"/>
  <c r="AD174" i="72"/>
  <c r="AD209" i="72" s="1"/>
  <c r="AD239" i="72" s="1"/>
  <c r="AK174" i="72"/>
  <c r="AK209" i="72" s="1"/>
  <c r="AK239" i="72" s="1"/>
  <c r="AH174" i="72"/>
  <c r="AH209" i="72" s="1"/>
  <c r="AH239" i="72" s="1"/>
  <c r="AF174" i="72"/>
  <c r="AF209" i="72" s="1"/>
  <c r="AF239" i="72" s="1"/>
  <c r="AL174" i="72"/>
  <c r="AL209" i="72" s="1"/>
  <c r="AL239" i="72" s="1"/>
  <c r="AC174" i="72"/>
  <c r="AC209" i="72" s="1"/>
  <c r="AC239" i="72" s="1"/>
  <c r="AG174" i="72"/>
  <c r="AG209" i="72" s="1"/>
  <c r="AG239" i="72" s="1"/>
  <c r="T66" i="71"/>
  <c r="T171" i="71" s="1"/>
  <c r="S152" i="73"/>
  <c r="W182" i="73"/>
  <c r="W242" i="73" s="1"/>
  <c r="P182" i="73"/>
  <c r="P242" i="73" s="1"/>
  <c r="J152" i="73"/>
  <c r="K152" i="73"/>
  <c r="U182" i="73"/>
  <c r="U242" i="73" s="1"/>
  <c r="Z182" i="73"/>
  <c r="Z242" i="73" s="1"/>
  <c r="U152" i="73"/>
  <c r="L182" i="73"/>
  <c r="L242" i="73" s="1"/>
  <c r="AB182" i="73"/>
  <c r="AB242" i="73" s="1"/>
  <c r="R152" i="73"/>
  <c r="N152" i="73"/>
  <c r="Y182" i="73"/>
  <c r="Y242" i="73" s="1"/>
  <c r="L152" i="73"/>
  <c r="AB152" i="73"/>
  <c r="J182" i="73"/>
  <c r="J242" i="73" s="1"/>
  <c r="Q182" i="73"/>
  <c r="Q242" i="73" s="1"/>
  <c r="AA152" i="73"/>
  <c r="M182" i="73"/>
  <c r="M242" i="73" s="1"/>
  <c r="X152" i="73"/>
  <c r="O182" i="73"/>
  <c r="O242" i="73" s="1"/>
  <c r="V152" i="73"/>
  <c r="O152" i="73"/>
  <c r="AA182" i="73"/>
  <c r="AA242" i="73" s="1"/>
  <c r="X182" i="73"/>
  <c r="X242" i="73" s="1"/>
  <c r="P152" i="73"/>
  <c r="Y152" i="73"/>
  <c r="S182" i="73"/>
  <c r="S242" i="73" s="1"/>
  <c r="Q152" i="73"/>
  <c r="M152" i="73"/>
  <c r="T152" i="73"/>
  <c r="W152" i="73"/>
  <c r="Z152" i="73"/>
  <c r="R182" i="73"/>
  <c r="R242" i="73" s="1"/>
  <c r="N182" i="73"/>
  <c r="N242" i="73" s="1"/>
  <c r="T182" i="73"/>
  <c r="T242" i="73" s="1"/>
  <c r="K182" i="73"/>
  <c r="K242" i="73" s="1"/>
  <c r="V182" i="73"/>
  <c r="V242" i="73" s="1"/>
  <c r="U149" i="73"/>
  <c r="P179" i="73"/>
  <c r="P239" i="73" s="1"/>
  <c r="T179" i="73"/>
  <c r="T239" i="73" s="1"/>
  <c r="Z179" i="73"/>
  <c r="Z239" i="73" s="1"/>
  <c r="K179" i="73"/>
  <c r="K239" i="73" s="1"/>
  <c r="O179" i="73"/>
  <c r="O239" i="73" s="1"/>
  <c r="L179" i="73"/>
  <c r="L239" i="73" s="1"/>
  <c r="Q179" i="73"/>
  <c r="Q239" i="73" s="1"/>
  <c r="AB149" i="73"/>
  <c r="T149" i="73"/>
  <c r="L149" i="73"/>
  <c r="U179" i="73"/>
  <c r="U239" i="73" s="1"/>
  <c r="W179" i="73"/>
  <c r="W239" i="73" s="1"/>
  <c r="AB179" i="73"/>
  <c r="AB239" i="73" s="1"/>
  <c r="P149" i="73"/>
  <c r="Z149" i="73"/>
  <c r="R179" i="73"/>
  <c r="R239" i="73" s="1"/>
  <c r="AA179" i="73"/>
  <c r="AA239" i="73" s="1"/>
  <c r="V179" i="73"/>
  <c r="V239" i="73" s="1"/>
  <c r="R149" i="73"/>
  <c r="Y149" i="73"/>
  <c r="N149" i="73"/>
  <c r="S179" i="73"/>
  <c r="S239" i="73" s="1"/>
  <c r="O149" i="73"/>
  <c r="K149" i="73"/>
  <c r="N179" i="73"/>
  <c r="N239" i="73" s="1"/>
  <c r="X179" i="73"/>
  <c r="X239" i="73" s="1"/>
  <c r="S149" i="73"/>
  <c r="W149" i="73"/>
  <c r="AA149" i="73"/>
  <c r="X149" i="73"/>
  <c r="M179" i="73"/>
  <c r="M239" i="73" s="1"/>
  <c r="M149" i="73"/>
  <c r="J179" i="73"/>
  <c r="J239" i="73" s="1"/>
  <c r="Y179" i="73"/>
  <c r="Y239" i="73" s="1"/>
  <c r="V149" i="73"/>
  <c r="Q149" i="73"/>
  <c r="J149" i="73"/>
  <c r="AC177" i="72"/>
  <c r="AC212" i="72" s="1"/>
  <c r="AC242" i="72" s="1"/>
  <c r="AE177" i="72"/>
  <c r="AE212" i="72" s="1"/>
  <c r="AE242" i="72" s="1"/>
  <c r="AM177" i="72"/>
  <c r="AM212" i="72" s="1"/>
  <c r="AM242" i="72" s="1"/>
  <c r="AG177" i="72"/>
  <c r="AG212" i="72" s="1"/>
  <c r="AG242" i="72" s="1"/>
  <c r="AN177" i="72"/>
  <c r="AN212" i="72" s="1"/>
  <c r="AN242" i="72" s="1"/>
  <c r="AI177" i="72"/>
  <c r="AI212" i="72" s="1"/>
  <c r="AI242" i="72" s="1"/>
  <c r="AF177" i="72"/>
  <c r="AF212" i="72" s="1"/>
  <c r="AF242" i="72" s="1"/>
  <c r="AH177" i="72"/>
  <c r="AH212" i="72" s="1"/>
  <c r="AH242" i="72" s="1"/>
  <c r="AL177" i="72"/>
  <c r="AL212" i="72" s="1"/>
  <c r="AL242" i="72" s="1"/>
  <c r="AP177" i="72"/>
  <c r="AP212" i="72" s="1"/>
  <c r="AP242" i="72" s="1"/>
  <c r="AO177" i="72"/>
  <c r="AO212" i="72" s="1"/>
  <c r="AO242" i="72" s="1"/>
  <c r="AK177" i="72"/>
  <c r="AK212" i="72" s="1"/>
  <c r="AK242" i="72" s="1"/>
  <c r="AJ177" i="72"/>
  <c r="AJ212" i="72" s="1"/>
  <c r="AJ242" i="72" s="1"/>
  <c r="AD177" i="72"/>
  <c r="AD212" i="72" s="1"/>
  <c r="AD242" i="72" s="1"/>
  <c r="AN175" i="72"/>
  <c r="AN210" i="72" s="1"/>
  <c r="AN240" i="72" s="1"/>
  <c r="AC175" i="72"/>
  <c r="AC210" i="72" s="1"/>
  <c r="AC240" i="72" s="1"/>
  <c r="AG175" i="72"/>
  <c r="AG210" i="72" s="1"/>
  <c r="AG240" i="72" s="1"/>
  <c r="AD175" i="72"/>
  <c r="AD210" i="72" s="1"/>
  <c r="AD240" i="72" s="1"/>
  <c r="AO175" i="72"/>
  <c r="AO210" i="72" s="1"/>
  <c r="AO240" i="72" s="1"/>
  <c r="AK175" i="72"/>
  <c r="AK210" i="72" s="1"/>
  <c r="AK240" i="72" s="1"/>
  <c r="AE175" i="72"/>
  <c r="AE210" i="72" s="1"/>
  <c r="AE240" i="72" s="1"/>
  <c r="AP175" i="72"/>
  <c r="AP210" i="72" s="1"/>
  <c r="AP240" i="72" s="1"/>
  <c r="AI175" i="72"/>
  <c r="AI210" i="72" s="1"/>
  <c r="AI240" i="72" s="1"/>
  <c r="AJ175" i="72"/>
  <c r="AJ210" i="72" s="1"/>
  <c r="AJ240" i="72" s="1"/>
  <c r="AL175" i="72"/>
  <c r="AL210" i="72" s="1"/>
  <c r="AL240" i="72" s="1"/>
  <c r="AH175" i="72"/>
  <c r="AH210" i="72" s="1"/>
  <c r="AH240" i="72" s="1"/>
  <c r="AM175" i="72"/>
  <c r="AM210" i="72" s="1"/>
  <c r="AM240" i="72" s="1"/>
  <c r="AF175" i="72"/>
  <c r="AF210" i="72" s="1"/>
  <c r="AF240" i="72" s="1"/>
  <c r="AM172" i="72"/>
  <c r="AM207" i="72" s="1"/>
  <c r="AM237" i="72" s="1"/>
  <c r="AK172" i="72"/>
  <c r="AK207" i="72" s="1"/>
  <c r="AK237" i="72" s="1"/>
  <c r="AO172" i="72"/>
  <c r="AO207" i="72" s="1"/>
  <c r="AO237" i="72" s="1"/>
  <c r="AC172" i="72"/>
  <c r="AC207" i="72" s="1"/>
  <c r="AC237" i="72" s="1"/>
  <c r="AD172" i="72"/>
  <c r="AD207" i="72" s="1"/>
  <c r="AD237" i="72" s="1"/>
  <c r="AG172" i="72"/>
  <c r="AG207" i="72" s="1"/>
  <c r="AG237" i="72" s="1"/>
  <c r="AJ172" i="72"/>
  <c r="AJ207" i="72" s="1"/>
  <c r="AJ237" i="72" s="1"/>
  <c r="AL172" i="72"/>
  <c r="AL207" i="72" s="1"/>
  <c r="AL237" i="72" s="1"/>
  <c r="AE172" i="72"/>
  <c r="AE207" i="72" s="1"/>
  <c r="AE237" i="72" s="1"/>
  <c r="AI172" i="72"/>
  <c r="AI207" i="72" s="1"/>
  <c r="AI237" i="72" s="1"/>
  <c r="AH172" i="72"/>
  <c r="AH207" i="72" s="1"/>
  <c r="AH237" i="72" s="1"/>
  <c r="AP172" i="72"/>
  <c r="AP207" i="72" s="1"/>
  <c r="AP237" i="72" s="1"/>
  <c r="AF172" i="72"/>
  <c r="AF207" i="72" s="1"/>
  <c r="AF237" i="72" s="1"/>
  <c r="AN172" i="72"/>
  <c r="AN207" i="72" s="1"/>
  <c r="AN237" i="72" s="1"/>
  <c r="P153" i="73"/>
  <c r="T183" i="73"/>
  <c r="T243" i="73" s="1"/>
  <c r="T153" i="73"/>
  <c r="V153" i="73"/>
  <c r="Q183" i="73"/>
  <c r="Q243" i="73" s="1"/>
  <c r="AB153" i="73"/>
  <c r="O183" i="73"/>
  <c r="O243" i="73" s="1"/>
  <c r="M183" i="73"/>
  <c r="M243" i="73" s="1"/>
  <c r="Z183" i="73"/>
  <c r="Z243" i="73" s="1"/>
  <c r="P183" i="73"/>
  <c r="P243" i="73" s="1"/>
  <c r="Y183" i="73"/>
  <c r="Y243" i="73" s="1"/>
  <c r="O153" i="73"/>
  <c r="Z153" i="73"/>
  <c r="L183" i="73"/>
  <c r="L243" i="73" s="1"/>
  <c r="K183" i="73"/>
  <c r="K243" i="73" s="1"/>
  <c r="L153" i="73"/>
  <c r="W183" i="73"/>
  <c r="W243" i="73" s="1"/>
  <c r="R183" i="73"/>
  <c r="R243" i="73" s="1"/>
  <c r="N183" i="73"/>
  <c r="N243" i="73" s="1"/>
  <c r="Q153" i="73"/>
  <c r="AA183" i="73"/>
  <c r="AA243" i="73" s="1"/>
  <c r="AB183" i="73"/>
  <c r="AB243" i="73" s="1"/>
  <c r="Y153" i="73"/>
  <c r="AA153" i="73"/>
  <c r="J183" i="73"/>
  <c r="J243" i="73" s="1"/>
  <c r="K153" i="73"/>
  <c r="V183" i="73"/>
  <c r="V243" i="73" s="1"/>
  <c r="U183" i="73"/>
  <c r="U243" i="73" s="1"/>
  <c r="S183" i="73"/>
  <c r="S243" i="73" s="1"/>
  <c r="W153" i="73"/>
  <c r="J153" i="73"/>
  <c r="M153" i="73"/>
  <c r="X153" i="73"/>
  <c r="U153" i="73"/>
  <c r="N153" i="73"/>
  <c r="R153" i="73"/>
  <c r="S153" i="73"/>
  <c r="X183" i="73"/>
  <c r="X243" i="73" s="1"/>
  <c r="W147" i="73"/>
  <c r="M147" i="73"/>
  <c r="K177" i="73"/>
  <c r="K237" i="73" s="1"/>
  <c r="N147" i="73"/>
  <c r="S177" i="73"/>
  <c r="S237" i="73" s="1"/>
  <c r="K147" i="73"/>
  <c r="R147" i="73"/>
  <c r="X147" i="73"/>
  <c r="U147" i="73"/>
  <c r="Y147" i="73"/>
  <c r="V177" i="73"/>
  <c r="V237" i="73" s="1"/>
  <c r="N177" i="73"/>
  <c r="N237" i="73" s="1"/>
  <c r="L177" i="73"/>
  <c r="L237" i="73" s="1"/>
  <c r="J147" i="73"/>
  <c r="V147" i="73"/>
  <c r="J177" i="73"/>
  <c r="J237" i="73" s="1"/>
  <c r="R177" i="73"/>
  <c r="R237" i="73" s="1"/>
  <c r="AB147" i="73"/>
  <c r="AA177" i="73"/>
  <c r="AA237" i="73" s="1"/>
  <c r="S147" i="73"/>
  <c r="T177" i="73"/>
  <c r="T237" i="73" s="1"/>
  <c r="U177" i="73"/>
  <c r="U237" i="73" s="1"/>
  <c r="P177" i="73"/>
  <c r="P237" i="73" s="1"/>
  <c r="X177" i="73"/>
  <c r="X237" i="73" s="1"/>
  <c r="Y177" i="73"/>
  <c r="Y237" i="73" s="1"/>
  <c r="Q147" i="73"/>
  <c r="O177" i="73"/>
  <c r="O237" i="73" s="1"/>
  <c r="M177" i="73"/>
  <c r="M237" i="73" s="1"/>
  <c r="O147" i="73"/>
  <c r="T147" i="73"/>
  <c r="Z177" i="73"/>
  <c r="Z237" i="73" s="1"/>
  <c r="AB177" i="73"/>
  <c r="AB237" i="73" s="1"/>
  <c r="Q177" i="73"/>
  <c r="Q237" i="73" s="1"/>
  <c r="W177" i="73"/>
  <c r="W237" i="73" s="1"/>
  <c r="AA147" i="73"/>
  <c r="P147" i="73"/>
  <c r="L147" i="73"/>
  <c r="Z147" i="73"/>
  <c r="AP180" i="72"/>
  <c r="AP215" i="72" s="1"/>
  <c r="AP245" i="72" s="1"/>
  <c r="AC180" i="72"/>
  <c r="AC215" i="72" s="1"/>
  <c r="AC245" i="72" s="1"/>
  <c r="AN180" i="72"/>
  <c r="AN215" i="72" s="1"/>
  <c r="AN245" i="72" s="1"/>
  <c r="AH180" i="72"/>
  <c r="AH215" i="72" s="1"/>
  <c r="AH245" i="72" s="1"/>
  <c r="AM180" i="72"/>
  <c r="AM215" i="72" s="1"/>
  <c r="AM245" i="72" s="1"/>
  <c r="AF180" i="72"/>
  <c r="AF215" i="72" s="1"/>
  <c r="AF245" i="72" s="1"/>
  <c r="AE180" i="72"/>
  <c r="AE215" i="72" s="1"/>
  <c r="AE245" i="72" s="1"/>
  <c r="AL180" i="72"/>
  <c r="AL215" i="72" s="1"/>
  <c r="AL245" i="72" s="1"/>
  <c r="AI180" i="72"/>
  <c r="AI215" i="72" s="1"/>
  <c r="AI245" i="72" s="1"/>
  <c r="AD180" i="72"/>
  <c r="AD215" i="72" s="1"/>
  <c r="AD245" i="72" s="1"/>
  <c r="AO180" i="72"/>
  <c r="AO215" i="72" s="1"/>
  <c r="AO245" i="72" s="1"/>
  <c r="AJ180" i="72"/>
  <c r="AJ215" i="72" s="1"/>
  <c r="AJ245" i="72" s="1"/>
  <c r="AG180" i="72"/>
  <c r="AG215" i="72" s="1"/>
  <c r="AG245" i="72" s="1"/>
  <c r="AK180" i="72"/>
  <c r="AK215" i="72" s="1"/>
  <c r="AK245" i="72" s="1"/>
  <c r="AD176" i="72"/>
  <c r="AD211" i="72" s="1"/>
  <c r="AD241" i="72" s="1"/>
  <c r="AN176" i="72"/>
  <c r="AN211" i="72" s="1"/>
  <c r="AN241" i="72" s="1"/>
  <c r="AH176" i="72"/>
  <c r="AH211" i="72" s="1"/>
  <c r="AH241" i="72" s="1"/>
  <c r="AJ176" i="72"/>
  <c r="AJ211" i="72" s="1"/>
  <c r="AJ241" i="72" s="1"/>
  <c r="AG176" i="72"/>
  <c r="AG211" i="72" s="1"/>
  <c r="AG241" i="72" s="1"/>
  <c r="AI176" i="72"/>
  <c r="AI211" i="72" s="1"/>
  <c r="AI241" i="72" s="1"/>
  <c r="AC176" i="72"/>
  <c r="AC211" i="72" s="1"/>
  <c r="AC241" i="72" s="1"/>
  <c r="AE176" i="72"/>
  <c r="AE211" i="72" s="1"/>
  <c r="AE241" i="72" s="1"/>
  <c r="AO176" i="72"/>
  <c r="AO211" i="72" s="1"/>
  <c r="AO241" i="72" s="1"/>
  <c r="AL176" i="72"/>
  <c r="AL211" i="72" s="1"/>
  <c r="AL241" i="72" s="1"/>
  <c r="AK176" i="72"/>
  <c r="AK211" i="72" s="1"/>
  <c r="AK241" i="72" s="1"/>
  <c r="AF176" i="72"/>
  <c r="AF211" i="72" s="1"/>
  <c r="AF241" i="72" s="1"/>
  <c r="AP176" i="72"/>
  <c r="AP211" i="72" s="1"/>
  <c r="AP241" i="72" s="1"/>
  <c r="AM176" i="72"/>
  <c r="AM211" i="72" s="1"/>
  <c r="AM241" i="72" s="1"/>
  <c r="AM179" i="72"/>
  <c r="AM214" i="72" s="1"/>
  <c r="AM244" i="72" s="1"/>
  <c r="AL179" i="72"/>
  <c r="AL214" i="72" s="1"/>
  <c r="AL244" i="72" s="1"/>
  <c r="AO179" i="72"/>
  <c r="AO214" i="72" s="1"/>
  <c r="AO244" i="72" s="1"/>
  <c r="AC179" i="72"/>
  <c r="AC214" i="72" s="1"/>
  <c r="AC244" i="72" s="1"/>
  <c r="AP179" i="72"/>
  <c r="AP214" i="72" s="1"/>
  <c r="AP244" i="72" s="1"/>
  <c r="AE179" i="72"/>
  <c r="AE214" i="72" s="1"/>
  <c r="AE244" i="72" s="1"/>
  <c r="AI179" i="72"/>
  <c r="AI214" i="72" s="1"/>
  <c r="AI244" i="72" s="1"/>
  <c r="AK179" i="72"/>
  <c r="AK214" i="72" s="1"/>
  <c r="AK244" i="72" s="1"/>
  <c r="AF179" i="72"/>
  <c r="AF214" i="72" s="1"/>
  <c r="AF244" i="72" s="1"/>
  <c r="AD179" i="72"/>
  <c r="AD214" i="72" s="1"/>
  <c r="AD244" i="72" s="1"/>
  <c r="AN179" i="72"/>
  <c r="AN214" i="72" s="1"/>
  <c r="AN244" i="72" s="1"/>
  <c r="AJ179" i="72"/>
  <c r="AJ214" i="72" s="1"/>
  <c r="AJ244" i="72" s="1"/>
  <c r="AH179" i="72"/>
  <c r="AH214" i="72" s="1"/>
  <c r="AH244" i="72" s="1"/>
  <c r="AG179" i="72"/>
  <c r="AG214" i="72" s="1"/>
  <c r="AG244" i="72" s="1"/>
  <c r="AA219" i="71" l="1"/>
  <c r="AA22" i="41" s="1"/>
  <c r="AA47" i="41" s="1"/>
  <c r="L274" i="83"/>
  <c r="L218" i="71"/>
  <c r="L21" i="41" s="1"/>
  <c r="L145" i="41" s="1"/>
  <c r="AG219" i="71"/>
  <c r="AG22" i="41" s="1"/>
  <c r="AG22" i="65" s="1"/>
  <c r="AG80" i="65" s="1"/>
  <c r="AG91" i="65" s="1"/>
  <c r="AC219" i="71"/>
  <c r="AC22" i="41" s="1"/>
  <c r="AC22" i="65" s="1"/>
  <c r="AC80" i="65" s="1"/>
  <c r="AC91" i="65" s="1"/>
  <c r="X250" i="72"/>
  <c r="X26" i="41" s="1"/>
  <c r="X26" i="65" s="1"/>
  <c r="X84" i="65" s="1"/>
  <c r="X95" i="65" s="1"/>
  <c r="AN219" i="71"/>
  <c r="AN22" i="41" s="1"/>
  <c r="AN70" i="41" s="1"/>
  <c r="DB96" i="41" s="1"/>
  <c r="AE218" i="71"/>
  <c r="AE21" i="41" s="1"/>
  <c r="AE46" i="41" s="1"/>
  <c r="Q292" i="83"/>
  <c r="T273" i="83"/>
  <c r="M273" i="83"/>
  <c r="P292" i="83"/>
  <c r="AF218" i="71"/>
  <c r="AF21" i="41" s="1"/>
  <c r="AF21" i="65" s="1"/>
  <c r="AF79" i="65" s="1"/>
  <c r="AF90" i="65" s="1"/>
  <c r="AF46" i="105" s="1"/>
  <c r="AF83" i="105" s="1"/>
  <c r="U219" i="71"/>
  <c r="U22" i="41" s="1"/>
  <c r="U47" i="41" s="1"/>
  <c r="P218" i="71"/>
  <c r="P21" i="41" s="1"/>
  <c r="P46" i="41" s="1"/>
  <c r="AO219" i="71"/>
  <c r="AO22" i="41" s="1"/>
  <c r="AO22" i="65" s="1"/>
  <c r="AO80" i="65" s="1"/>
  <c r="AO91" i="65" s="1"/>
  <c r="AE219" i="71"/>
  <c r="AE22" i="41" s="1"/>
  <c r="AE146" i="41" s="1"/>
  <c r="AH218" i="71"/>
  <c r="AH21" i="41" s="1"/>
  <c r="AH46" i="41" s="1"/>
  <c r="R218" i="71"/>
  <c r="R21" i="41" s="1"/>
  <c r="R69" i="41" s="1"/>
  <c r="AY96" i="41" s="1"/>
  <c r="T219" i="71"/>
  <c r="T22" i="41" s="1"/>
  <c r="T47" i="41" s="1"/>
  <c r="AE217" i="71"/>
  <c r="AE20" i="41" s="1"/>
  <c r="AE20" i="65" s="1"/>
  <c r="AE78" i="65" s="1"/>
  <c r="AE89" i="65" s="1"/>
  <c r="K273" i="83"/>
  <c r="AP219" i="71"/>
  <c r="AP22" i="41" s="1"/>
  <c r="AP22" i="65" s="1"/>
  <c r="AP80" i="65" s="1"/>
  <c r="AP91" i="65" s="1"/>
  <c r="AP47" i="105" s="1"/>
  <c r="AP84" i="105" s="1"/>
  <c r="AL218" i="71"/>
  <c r="AL21" i="41" s="1"/>
  <c r="AL21" i="65" s="1"/>
  <c r="AL79" i="65" s="1"/>
  <c r="AL90" i="65" s="1"/>
  <c r="AL46" i="105" s="1"/>
  <c r="AL83" i="105" s="1"/>
  <c r="L217" i="71"/>
  <c r="L20" i="41" s="1"/>
  <c r="L45" i="41" s="1"/>
  <c r="AO292" i="83"/>
  <c r="K36" i="71"/>
  <c r="K141" i="71" s="1"/>
  <c r="K217" i="71" s="1"/>
  <c r="K20" i="41" s="1"/>
  <c r="AJ217" i="71"/>
  <c r="AJ20" i="41" s="1"/>
  <c r="AJ144" i="41" s="1"/>
  <c r="AM219" i="71"/>
  <c r="AM22" i="41" s="1"/>
  <c r="AM146" i="41" s="1"/>
  <c r="W250" i="72"/>
  <c r="W26" i="41" s="1"/>
  <c r="W26" i="65" s="1"/>
  <c r="W84" i="65" s="1"/>
  <c r="W95" i="65" s="1"/>
  <c r="AJ218" i="71"/>
  <c r="AJ21" i="41" s="1"/>
  <c r="AJ69" i="41" s="1"/>
  <c r="BQ96" i="41" s="1"/>
  <c r="Z250" i="72"/>
  <c r="Z26" i="41" s="1"/>
  <c r="Z51" i="41" s="1"/>
  <c r="AI218" i="71"/>
  <c r="AI21" i="41" s="1"/>
  <c r="AI46" i="41" s="1"/>
  <c r="R219" i="71"/>
  <c r="R22" i="41" s="1"/>
  <c r="R70" i="41" s="1"/>
  <c r="CF96" i="41" s="1"/>
  <c r="O250" i="72"/>
  <c r="O26" i="41" s="1"/>
  <c r="O150" i="41" s="1"/>
  <c r="W219" i="71"/>
  <c r="W22" i="41" s="1"/>
  <c r="W22" i="65" s="1"/>
  <c r="AJ219" i="71"/>
  <c r="AJ22" i="41" s="1"/>
  <c r="AJ47" i="41" s="1"/>
  <c r="X217" i="71"/>
  <c r="X20" i="41" s="1"/>
  <c r="X68" i="41" s="1"/>
  <c r="X96" i="41" s="1"/>
  <c r="AD218" i="71"/>
  <c r="AD21" i="41" s="1"/>
  <c r="AD145" i="41" s="1"/>
  <c r="J250" i="72"/>
  <c r="J26" i="41" s="1"/>
  <c r="J51" i="41" s="1"/>
  <c r="V217" i="71"/>
  <c r="V20" i="41" s="1"/>
  <c r="V45" i="41" s="1"/>
  <c r="J274" i="83"/>
  <c r="Y219" i="71"/>
  <c r="Y22" i="41" s="1"/>
  <c r="Y146" i="41" s="1"/>
  <c r="AN217" i="71"/>
  <c r="AN20" i="41" s="1"/>
  <c r="AN68" i="41" s="1"/>
  <c r="AN96" i="41" s="1"/>
  <c r="AJ292" i="83"/>
  <c r="V250" i="72"/>
  <c r="V26" i="41" s="1"/>
  <c r="V51" i="41" s="1"/>
  <c r="AB250" i="72"/>
  <c r="AB26" i="41" s="1"/>
  <c r="AB150" i="41" s="1"/>
  <c r="AD219" i="71"/>
  <c r="AD22" i="41" s="1"/>
  <c r="AD146" i="41" s="1"/>
  <c r="Y250" i="72"/>
  <c r="Y26" i="41" s="1"/>
  <c r="Y26" i="65" s="1"/>
  <c r="Y84" i="65" s="1"/>
  <c r="Y95" i="65" s="1"/>
  <c r="AO36" i="71"/>
  <c r="AO141" i="71" s="1"/>
  <c r="AF292" i="83"/>
  <c r="R250" i="72"/>
  <c r="R26" i="41" s="1"/>
  <c r="R51" i="41" s="1"/>
  <c r="J292" i="83"/>
  <c r="AE292" i="83"/>
  <c r="W292" i="83"/>
  <c r="R217" i="71"/>
  <c r="R20" i="41" s="1"/>
  <c r="R68" i="41" s="1"/>
  <c r="R96" i="41" s="1"/>
  <c r="AB217" i="71"/>
  <c r="AB20" i="41" s="1"/>
  <c r="AB68" i="41" s="1"/>
  <c r="AB96" i="41" s="1"/>
  <c r="J66" i="71"/>
  <c r="J171" i="71" s="1"/>
  <c r="J218" i="71" s="1"/>
  <c r="J21" i="41" s="1"/>
  <c r="J145" i="41" s="1"/>
  <c r="N292" i="83"/>
  <c r="S275" i="83"/>
  <c r="AM217" i="71"/>
  <c r="AM20" i="41" s="1"/>
  <c r="AM20" i="65" s="1"/>
  <c r="AM78" i="65" s="1"/>
  <c r="AM89" i="65" s="1"/>
  <c r="AA217" i="71"/>
  <c r="AA20" i="41" s="1"/>
  <c r="AA20" i="65" s="1"/>
  <c r="U292" i="83"/>
  <c r="O217" i="71"/>
  <c r="O20" i="41" s="1"/>
  <c r="O20" i="65" s="1"/>
  <c r="S274" i="83"/>
  <c r="V292" i="83"/>
  <c r="AI292" i="83"/>
  <c r="S273" i="83"/>
  <c r="AC217" i="71"/>
  <c r="AC20" i="41" s="1"/>
  <c r="AC144" i="41" s="1"/>
  <c r="S219" i="71"/>
  <c r="S22" i="41" s="1"/>
  <c r="S70" i="41" s="1"/>
  <c r="CG96" i="41" s="1"/>
  <c r="O219" i="71"/>
  <c r="O22" i="41" s="1"/>
  <c r="O22" i="65" s="1"/>
  <c r="O80" i="65" s="1"/>
  <c r="O91" i="65" s="1"/>
  <c r="M275" i="83"/>
  <c r="T218" i="71"/>
  <c r="T21" i="41" s="1"/>
  <c r="T69" i="41" s="1"/>
  <c r="BA96" i="41" s="1"/>
  <c r="S217" i="71"/>
  <c r="S20" i="41" s="1"/>
  <c r="S45" i="41" s="1"/>
  <c r="L275" i="83"/>
  <c r="O275" i="83"/>
  <c r="Y218" i="71"/>
  <c r="Y21" i="41" s="1"/>
  <c r="Y145" i="41" s="1"/>
  <c r="W218" i="71"/>
  <c r="W21" i="41" s="1"/>
  <c r="W21" i="65" s="1"/>
  <c r="AC218" i="71"/>
  <c r="AC21" i="41" s="1"/>
  <c r="AC46" i="41" s="1"/>
  <c r="S250" i="72"/>
  <c r="S26" i="41" s="1"/>
  <c r="S26" i="65" s="1"/>
  <c r="S84" i="65" s="1"/>
  <c r="S95" i="65" s="1"/>
  <c r="U250" i="72"/>
  <c r="U26" i="41" s="1"/>
  <c r="U51" i="41" s="1"/>
  <c r="AO218" i="71"/>
  <c r="AO21" i="41" s="1"/>
  <c r="AO21" i="65" s="1"/>
  <c r="AO79" i="65" s="1"/>
  <c r="AO90" i="65" s="1"/>
  <c r="AD217" i="71"/>
  <c r="AD20" i="41" s="1"/>
  <c r="AD20" i="65" s="1"/>
  <c r="AD78" i="65" s="1"/>
  <c r="AD89" i="65" s="1"/>
  <c r="Y292" i="83"/>
  <c r="X218" i="71"/>
  <c r="X21" i="41" s="1"/>
  <c r="X145" i="41" s="1"/>
  <c r="AA250" i="72"/>
  <c r="AA26" i="41" s="1"/>
  <c r="AA26" i="65" s="1"/>
  <c r="AA84" i="65" s="1"/>
  <c r="AA95" i="65" s="1"/>
  <c r="Q218" i="71"/>
  <c r="Q21" i="41" s="1"/>
  <c r="Q46" i="41" s="1"/>
  <c r="AF219" i="71"/>
  <c r="AF22" i="41" s="1"/>
  <c r="AF70" i="41" s="1"/>
  <c r="CT96" i="41" s="1"/>
  <c r="AI219" i="71"/>
  <c r="AI22" i="41" s="1"/>
  <c r="AI146" i="41" s="1"/>
  <c r="X219" i="71"/>
  <c r="X22" i="41" s="1"/>
  <c r="X70" i="41" s="1"/>
  <c r="CL96" i="41" s="1"/>
  <c r="L250" i="72"/>
  <c r="L26" i="41" s="1"/>
  <c r="L26" i="65" s="1"/>
  <c r="L84" i="65" s="1"/>
  <c r="L95" i="65" s="1"/>
  <c r="AM218" i="71"/>
  <c r="AM21" i="41" s="1"/>
  <c r="AM21" i="65" s="1"/>
  <c r="AM79" i="65" s="1"/>
  <c r="AM90" i="65" s="1"/>
  <c r="N250" i="72"/>
  <c r="N26" i="41" s="1"/>
  <c r="N26" i="65" s="1"/>
  <c r="N84" i="65" s="1"/>
  <c r="N95" i="65" s="1"/>
  <c r="AA218" i="71"/>
  <c r="AA21" i="41" s="1"/>
  <c r="AA21" i="65" s="1"/>
  <c r="AA79" i="65" s="1"/>
  <c r="AA90" i="65" s="1"/>
  <c r="AG218" i="71"/>
  <c r="AG21" i="41" s="1"/>
  <c r="AG46" i="41" s="1"/>
  <c r="V219" i="71"/>
  <c r="V22" i="41" s="1"/>
  <c r="V47" i="41" s="1"/>
  <c r="Z219" i="71"/>
  <c r="Z22" i="41" s="1"/>
  <c r="Z22" i="65" s="1"/>
  <c r="Z80" i="65" s="1"/>
  <c r="Z91" i="65" s="1"/>
  <c r="T250" i="72"/>
  <c r="T26" i="41" s="1"/>
  <c r="T51" i="41" s="1"/>
  <c r="AP218" i="71"/>
  <c r="AP21" i="41" s="1"/>
  <c r="AP46" i="41" s="1"/>
  <c r="Q219" i="71"/>
  <c r="Q22" i="41" s="1"/>
  <c r="Q146" i="41" s="1"/>
  <c r="AL219" i="71"/>
  <c r="AL22" i="41" s="1"/>
  <c r="AL22" i="65" s="1"/>
  <c r="AL80" i="65" s="1"/>
  <c r="AL91" i="65" s="1"/>
  <c r="AL47" i="105" s="1"/>
  <c r="AL84" i="105" s="1"/>
  <c r="AH219" i="71"/>
  <c r="AH22" i="41" s="1"/>
  <c r="AH70" i="41" s="1"/>
  <c r="CV96" i="41" s="1"/>
  <c r="M250" i="72"/>
  <c r="M26" i="41" s="1"/>
  <c r="M51" i="41" s="1"/>
  <c r="AB218" i="71"/>
  <c r="AB21" i="41" s="1"/>
  <c r="AB69" i="41" s="1"/>
  <c r="BI96" i="41" s="1"/>
  <c r="K250" i="72"/>
  <c r="K26" i="41" s="1"/>
  <c r="K150" i="41" s="1"/>
  <c r="P219" i="71"/>
  <c r="P22" i="41" s="1"/>
  <c r="P22" i="65" s="1"/>
  <c r="P80" i="65" s="1"/>
  <c r="P91" i="65" s="1"/>
  <c r="AN218" i="71"/>
  <c r="AN21" i="41" s="1"/>
  <c r="AN145" i="41" s="1"/>
  <c r="AK218" i="71"/>
  <c r="AK21" i="41" s="1"/>
  <c r="AK69" i="41" s="1"/>
  <c r="BR96" i="41" s="1"/>
  <c r="V218" i="71"/>
  <c r="V21" i="41" s="1"/>
  <c r="V69" i="41" s="1"/>
  <c r="BC96" i="41" s="1"/>
  <c r="M219" i="71"/>
  <c r="M22" i="41" s="1"/>
  <c r="M22" i="65" s="1"/>
  <c r="M80" i="65" s="1"/>
  <c r="M91" i="65" s="1"/>
  <c r="Z218" i="71"/>
  <c r="Z21" i="41" s="1"/>
  <c r="Z145" i="41" s="1"/>
  <c r="P250" i="72"/>
  <c r="P26" i="41" s="1"/>
  <c r="P150" i="41" s="1"/>
  <c r="U218" i="71"/>
  <c r="U21" i="41" s="1"/>
  <c r="U21" i="65" s="1"/>
  <c r="AI217" i="71"/>
  <c r="AI20" i="41" s="1"/>
  <c r="AI20" i="65" s="1"/>
  <c r="AI78" i="65" s="1"/>
  <c r="AI89" i="65" s="1"/>
  <c r="K274" i="83"/>
  <c r="AH292" i="83"/>
  <c r="AF217" i="71"/>
  <c r="AF20" i="41" s="1"/>
  <c r="AF20" i="65" s="1"/>
  <c r="AF78" i="65" s="1"/>
  <c r="AF89" i="65" s="1"/>
  <c r="AF45" i="105" s="1"/>
  <c r="AF82" i="105" s="1"/>
  <c r="AK219" i="71"/>
  <c r="AK22" i="41" s="1"/>
  <c r="AK146" i="41" s="1"/>
  <c r="N217" i="71"/>
  <c r="N20" i="41" s="1"/>
  <c r="N68" i="41" s="1"/>
  <c r="N96" i="41" s="1"/>
  <c r="AB219" i="71"/>
  <c r="AB22" i="41" s="1"/>
  <c r="AB22" i="65" s="1"/>
  <c r="H290" i="83" a="1"/>
  <c r="H290" i="83" s="1"/>
  <c r="M292" i="83"/>
  <c r="R292" i="83"/>
  <c r="AA292" i="83"/>
  <c r="N218" i="71"/>
  <c r="N21" i="41" s="1"/>
  <c r="N69" i="41" s="1"/>
  <c r="AU96" i="41" s="1"/>
  <c r="Z217" i="71"/>
  <c r="Z20" i="41" s="1"/>
  <c r="Z20" i="65" s="1"/>
  <c r="N219" i="71"/>
  <c r="N22" i="41" s="1"/>
  <c r="N47" i="41" s="1"/>
  <c r="K219" i="71"/>
  <c r="K22" i="41" s="1"/>
  <c r="K47" i="41" s="1"/>
  <c r="L292" i="83"/>
  <c r="AO217" i="71"/>
  <c r="AO20" i="41" s="1"/>
  <c r="AO20" i="65" s="1"/>
  <c r="AO78" i="65" s="1"/>
  <c r="AO89" i="65" s="1"/>
  <c r="K66" i="71"/>
  <c r="K171" i="71" s="1"/>
  <c r="K218" i="71" s="1"/>
  <c r="K21" i="41" s="1"/>
  <c r="K21" i="65" s="1"/>
  <c r="S292" i="83"/>
  <c r="AN292" i="83"/>
  <c r="AC292" i="83"/>
  <c r="N273" i="83"/>
  <c r="J219" i="71"/>
  <c r="J22" i="41" s="1"/>
  <c r="J146" i="41" s="1"/>
  <c r="X292" i="83"/>
  <c r="AD292" i="83"/>
  <c r="AP292" i="83"/>
  <c r="K292" i="83"/>
  <c r="W217" i="71"/>
  <c r="W20" i="41" s="1"/>
  <c r="W20" i="65" s="1"/>
  <c r="AK292" i="83"/>
  <c r="U217" i="71"/>
  <c r="U20" i="41" s="1"/>
  <c r="U68" i="41" s="1"/>
  <c r="U96" i="41" s="1"/>
  <c r="O274" i="83"/>
  <c r="T274" i="83"/>
  <c r="O292" i="83"/>
  <c r="S218" i="71"/>
  <c r="S21" i="41" s="1"/>
  <c r="S21" i="65" s="1"/>
  <c r="AB292" i="83"/>
  <c r="AH36" i="71"/>
  <c r="AH141" i="71" s="1"/>
  <c r="AH217" i="71" s="1"/>
  <c r="AH20" i="41" s="1"/>
  <c r="AH144" i="41" s="1"/>
  <c r="AL292" i="83"/>
  <c r="L219" i="71"/>
  <c r="L22" i="41" s="1"/>
  <c r="L47" i="41" s="1"/>
  <c r="M218" i="71"/>
  <c r="M21" i="41" s="1"/>
  <c r="M46" i="41" s="1"/>
  <c r="T275" i="83"/>
  <c r="Q217" i="71"/>
  <c r="Q20" i="41" s="1"/>
  <c r="Q45" i="41" s="1"/>
  <c r="T217" i="71"/>
  <c r="T20" i="41" s="1"/>
  <c r="T45" i="41" s="1"/>
  <c r="Y217" i="71"/>
  <c r="Y20" i="41" s="1"/>
  <c r="Y20" i="65" s="1"/>
  <c r="P217" i="71"/>
  <c r="P20" i="41" s="1"/>
  <c r="P20" i="65" s="1"/>
  <c r="Q250" i="72"/>
  <c r="Q26" i="41" s="1"/>
  <c r="Q150" i="41" s="1"/>
  <c r="J273" i="83"/>
  <c r="M217" i="71"/>
  <c r="M20" i="41" s="1"/>
  <c r="M68" i="41" s="1"/>
  <c r="M96" i="41" s="1"/>
  <c r="AK217" i="71"/>
  <c r="AK20" i="41" s="1"/>
  <c r="AK144" i="41" s="1"/>
  <c r="N274" i="83"/>
  <c r="Z292" i="83"/>
  <c r="O218" i="71"/>
  <c r="O21" i="41" s="1"/>
  <c r="O145" i="41" s="1"/>
  <c r="N275" i="83"/>
  <c r="O273" i="83"/>
  <c r="K275" i="83"/>
  <c r="L273" i="83"/>
  <c r="AL217" i="71"/>
  <c r="AL20" i="41" s="1"/>
  <c r="AL45" i="41" s="1"/>
  <c r="J275" i="83"/>
  <c r="M274" i="83"/>
  <c r="AG217" i="71"/>
  <c r="AG20" i="41" s="1"/>
  <c r="AG20" i="65" s="1"/>
  <c r="AG78" i="65" s="1"/>
  <c r="AG89" i="65" s="1"/>
  <c r="AP217" i="71"/>
  <c r="AP20" i="41" s="1"/>
  <c r="AP45" i="41" s="1"/>
  <c r="AM292" i="83"/>
  <c r="T292" i="83"/>
  <c r="AG292" i="83"/>
  <c r="AH250" i="72"/>
  <c r="AH26" i="41" s="1"/>
  <c r="AH150" i="41" s="1"/>
  <c r="AJ250" i="72"/>
  <c r="AJ26" i="41" s="1"/>
  <c r="M279" i="73"/>
  <c r="M42" i="74" s="1"/>
  <c r="M87" i="74" s="1"/>
  <c r="M209" i="73"/>
  <c r="K209" i="73"/>
  <c r="K279" i="73"/>
  <c r="K42" i="74" s="1"/>
  <c r="K87" i="74" s="1"/>
  <c r="Y282" i="73"/>
  <c r="Y45" i="74" s="1"/>
  <c r="Y90" i="74" s="1"/>
  <c r="Y212" i="73"/>
  <c r="R282" i="73"/>
  <c r="R45" i="74" s="1"/>
  <c r="R90" i="74" s="1"/>
  <c r="R120" i="74" s="1"/>
  <c r="R152" i="74" s="1"/>
  <c r="R212" i="73"/>
  <c r="X280" i="73"/>
  <c r="X43" i="74" s="1"/>
  <c r="X88" i="74" s="1"/>
  <c r="X210" i="73"/>
  <c r="AA210" i="73"/>
  <c r="AA280" i="73"/>
  <c r="AA43" i="74" s="1"/>
  <c r="AA88" i="74" s="1"/>
  <c r="W214" i="73"/>
  <c r="W284" i="73"/>
  <c r="W47" i="74" s="1"/>
  <c r="W92" i="74" s="1"/>
  <c r="U278" i="73"/>
  <c r="U41" i="74" s="1"/>
  <c r="U86" i="74" s="1"/>
  <c r="U208" i="73"/>
  <c r="X278" i="73"/>
  <c r="X41" i="74" s="1"/>
  <c r="X86" i="74" s="1"/>
  <c r="X208" i="73"/>
  <c r="P208" i="73"/>
  <c r="P278" i="73"/>
  <c r="P41" i="74" s="1"/>
  <c r="P86" i="74" s="1"/>
  <c r="P116" i="74" s="1"/>
  <c r="P148" i="74" s="1"/>
  <c r="Y278" i="73"/>
  <c r="Y41" i="74" s="1"/>
  <c r="Y86" i="74" s="1"/>
  <c r="Y208" i="73"/>
  <c r="L215" i="73"/>
  <c r="L285" i="73"/>
  <c r="L48" i="74" s="1"/>
  <c r="L93" i="74" s="1"/>
  <c r="W285" i="73"/>
  <c r="W48" i="74" s="1"/>
  <c r="W93" i="74" s="1"/>
  <c r="W215" i="73"/>
  <c r="Z207" i="73"/>
  <c r="Z277" i="73"/>
  <c r="Z40" i="74" s="1"/>
  <c r="Z85" i="74" s="1"/>
  <c r="T207" i="73"/>
  <c r="T277" i="73"/>
  <c r="T40" i="74" s="1"/>
  <c r="T85" i="74" s="1"/>
  <c r="Q277" i="73"/>
  <c r="Q40" i="74" s="1"/>
  <c r="Q85" i="74" s="1"/>
  <c r="Q115" i="74" s="1"/>
  <c r="Q147" i="74" s="1"/>
  <c r="Q207" i="73"/>
  <c r="AB207" i="73"/>
  <c r="AB277" i="73"/>
  <c r="AB40" i="74" s="1"/>
  <c r="AB85" i="74" s="1"/>
  <c r="J277" i="73"/>
  <c r="J40" i="74" s="1"/>
  <c r="J85" i="74" s="1"/>
  <c r="J207" i="73"/>
  <c r="Y277" i="73"/>
  <c r="Y40" i="74" s="1"/>
  <c r="Y85" i="74" s="1"/>
  <c r="Y207" i="73"/>
  <c r="K277" i="73"/>
  <c r="K40" i="74" s="1"/>
  <c r="K85" i="74" s="1"/>
  <c r="K207" i="73"/>
  <c r="M277" i="73"/>
  <c r="M40" i="74" s="1"/>
  <c r="M85" i="74" s="1"/>
  <c r="M207" i="73"/>
  <c r="R283" i="73"/>
  <c r="R46" i="74" s="1"/>
  <c r="R91" i="74" s="1"/>
  <c r="R121" i="74" s="1"/>
  <c r="R153" i="74" s="1"/>
  <c r="R213" i="73"/>
  <c r="M283" i="73"/>
  <c r="M46" i="74" s="1"/>
  <c r="M91" i="74" s="1"/>
  <c r="M213" i="73"/>
  <c r="AA283" i="73"/>
  <c r="AA46" i="74" s="1"/>
  <c r="AA91" i="74" s="1"/>
  <c r="AA213" i="73"/>
  <c r="Q283" i="73"/>
  <c r="Q46" i="74" s="1"/>
  <c r="Q91" i="74" s="1"/>
  <c r="Q121" i="74" s="1"/>
  <c r="Q153" i="74" s="1"/>
  <c r="Q213" i="73"/>
  <c r="L283" i="73"/>
  <c r="L46" i="74" s="1"/>
  <c r="L91" i="74" s="1"/>
  <c r="L213" i="73"/>
  <c r="O283" i="73"/>
  <c r="O46" i="74" s="1"/>
  <c r="O91" i="74" s="1"/>
  <c r="O213" i="73"/>
  <c r="V283" i="73"/>
  <c r="V46" i="74" s="1"/>
  <c r="V91" i="74" s="1"/>
  <c r="V213" i="73"/>
  <c r="AN22" i="65"/>
  <c r="AN80" i="65" s="1"/>
  <c r="AN91" i="65" s="1"/>
  <c r="AN47" i="105" s="1"/>
  <c r="AN84" i="105" s="1"/>
  <c r="AN47" i="41"/>
  <c r="Z21" i="65"/>
  <c r="Z79" i="65" s="1"/>
  <c r="Z90" i="65" s="1"/>
  <c r="AA70" i="41"/>
  <c r="CO96" i="41" s="1"/>
  <c r="AF250" i="72"/>
  <c r="AF26" i="41" s="1"/>
  <c r="AE250" i="72"/>
  <c r="AE26" i="41" s="1"/>
  <c r="AD250" i="72"/>
  <c r="AD26" i="41" s="1"/>
  <c r="AM250" i="72"/>
  <c r="AM26" i="41" s="1"/>
  <c r="X209" i="73"/>
  <c r="X279" i="73"/>
  <c r="X42" i="74" s="1"/>
  <c r="X87" i="74" s="1"/>
  <c r="P279" i="73"/>
  <c r="P42" i="74" s="1"/>
  <c r="P87" i="74" s="1"/>
  <c r="P117" i="74" s="1"/>
  <c r="P149" i="74" s="1"/>
  <c r="P209" i="73"/>
  <c r="L209" i="73"/>
  <c r="L279" i="73"/>
  <c r="L42" i="74" s="1"/>
  <c r="L87" i="74" s="1"/>
  <c r="Z212" i="73"/>
  <c r="Z282" i="73"/>
  <c r="Z45" i="74" s="1"/>
  <c r="Z90" i="74" s="1"/>
  <c r="Q212" i="73"/>
  <c r="Q282" i="73"/>
  <c r="Q45" i="74" s="1"/>
  <c r="Q90" i="74" s="1"/>
  <c r="Q120" i="74" s="1"/>
  <c r="Q152" i="74" s="1"/>
  <c r="K212" i="73"/>
  <c r="K282" i="73"/>
  <c r="K45" i="74" s="1"/>
  <c r="K90" i="74" s="1"/>
  <c r="S212" i="73"/>
  <c r="S282" i="73"/>
  <c r="S45" i="74" s="1"/>
  <c r="S90" i="74" s="1"/>
  <c r="N210" i="73"/>
  <c r="N280" i="73"/>
  <c r="N43" i="74" s="1"/>
  <c r="N88" i="74" s="1"/>
  <c r="Y210" i="73"/>
  <c r="Y280" i="73"/>
  <c r="Y43" i="74" s="1"/>
  <c r="Y88" i="74" s="1"/>
  <c r="W280" i="73"/>
  <c r="W43" i="74" s="1"/>
  <c r="W88" i="74" s="1"/>
  <c r="W210" i="73"/>
  <c r="K280" i="73"/>
  <c r="K43" i="74" s="1"/>
  <c r="K88" i="74" s="1"/>
  <c r="K210" i="73"/>
  <c r="J284" i="73"/>
  <c r="J47" i="74" s="1"/>
  <c r="J92" i="74" s="1"/>
  <c r="J214" i="73"/>
  <c r="Z214" i="73"/>
  <c r="Z284" i="73"/>
  <c r="Z47" i="74" s="1"/>
  <c r="Z92" i="74" s="1"/>
  <c r="Y284" i="73"/>
  <c r="Y47" i="74" s="1"/>
  <c r="Y92" i="74" s="1"/>
  <c r="Y214" i="73"/>
  <c r="AB284" i="73"/>
  <c r="AB47" i="74" s="1"/>
  <c r="AB92" i="74" s="1"/>
  <c r="AB214" i="73"/>
  <c r="J278" i="73"/>
  <c r="J41" i="74" s="1"/>
  <c r="J86" i="74" s="1"/>
  <c r="J208" i="73"/>
  <c r="O208" i="73"/>
  <c r="O278" i="73"/>
  <c r="O41" i="74" s="1"/>
  <c r="O86" i="74" s="1"/>
  <c r="AG69" i="41"/>
  <c r="BN96" i="41" s="1"/>
  <c r="AC21" i="65"/>
  <c r="AC79" i="65" s="1"/>
  <c r="AC90" i="65" s="1"/>
  <c r="AB215" i="73"/>
  <c r="AB285" i="73"/>
  <c r="AB48" i="74" s="1"/>
  <c r="AB93" i="74" s="1"/>
  <c r="AA215" i="73"/>
  <c r="AA285" i="73"/>
  <c r="AA48" i="74" s="1"/>
  <c r="AA93" i="74" s="1"/>
  <c r="J285" i="73"/>
  <c r="J48" i="74" s="1"/>
  <c r="J93" i="74" s="1"/>
  <c r="J215" i="73"/>
  <c r="S215" i="73"/>
  <c r="S285" i="73"/>
  <c r="S48" i="74" s="1"/>
  <c r="S93" i="74" s="1"/>
  <c r="O206" i="73"/>
  <c r="O276" i="73"/>
  <c r="O39" i="74" s="1"/>
  <c r="O84" i="74" s="1"/>
  <c r="T206" i="73"/>
  <c r="T276" i="73"/>
  <c r="T39" i="74" s="1"/>
  <c r="T84" i="74" s="1"/>
  <c r="Z206" i="73"/>
  <c r="Z276" i="73"/>
  <c r="Z39" i="74" s="1"/>
  <c r="Z84" i="74" s="1"/>
  <c r="M276" i="73"/>
  <c r="M39" i="74" s="1"/>
  <c r="M84" i="74" s="1"/>
  <c r="M206" i="73"/>
  <c r="Y257" i="73"/>
  <c r="Y25" i="41" s="1"/>
  <c r="AB257" i="73"/>
  <c r="AB25" i="41" s="1"/>
  <c r="R257" i="73"/>
  <c r="R25" i="41" s="1"/>
  <c r="M257" i="73"/>
  <c r="M25" i="41" s="1"/>
  <c r="K276" i="73"/>
  <c r="K39" i="74" s="1"/>
  <c r="K84" i="74" s="1"/>
  <c r="K206" i="73"/>
  <c r="Q257" i="73"/>
  <c r="Q25" i="41" s="1"/>
  <c r="T281" i="73"/>
  <c r="T44" i="74" s="1"/>
  <c r="T89" i="74" s="1"/>
  <c r="T211" i="73"/>
  <c r="Z281" i="73"/>
  <c r="Z44" i="74" s="1"/>
  <c r="Z89" i="74" s="1"/>
  <c r="Z211" i="73"/>
  <c r="J211" i="73"/>
  <c r="J281" i="73"/>
  <c r="J44" i="74" s="1"/>
  <c r="J89" i="74" s="1"/>
  <c r="Y211" i="73"/>
  <c r="Y281" i="73"/>
  <c r="Y44" i="74" s="1"/>
  <c r="Y89" i="74" s="1"/>
  <c r="M150" i="41"/>
  <c r="AP250" i="72"/>
  <c r="AP26" i="41" s="1"/>
  <c r="AL250" i="72"/>
  <c r="AL26" i="41" s="1"/>
  <c r="AC250" i="72"/>
  <c r="AC26" i="41" s="1"/>
  <c r="J279" i="73"/>
  <c r="J42" i="74" s="1"/>
  <c r="J87" i="74" s="1"/>
  <c r="J209" i="73"/>
  <c r="AA279" i="73"/>
  <c r="AA42" i="74" s="1"/>
  <c r="AA87" i="74" s="1"/>
  <c r="AA209" i="73"/>
  <c r="N209" i="73"/>
  <c r="N279" i="73"/>
  <c r="N42" i="74" s="1"/>
  <c r="N87" i="74" s="1"/>
  <c r="T279" i="73"/>
  <c r="T42" i="74" s="1"/>
  <c r="T87" i="74" s="1"/>
  <c r="T209" i="73"/>
  <c r="W212" i="73"/>
  <c r="W282" i="73"/>
  <c r="W45" i="74" s="1"/>
  <c r="W90" i="74" s="1"/>
  <c r="X282" i="73"/>
  <c r="X45" i="74" s="1"/>
  <c r="X90" i="74" s="1"/>
  <c r="X212" i="73"/>
  <c r="N212" i="73"/>
  <c r="N282" i="73"/>
  <c r="N45" i="74" s="1"/>
  <c r="N90" i="74" s="1"/>
  <c r="U212" i="73"/>
  <c r="U282" i="73"/>
  <c r="U45" i="74" s="1"/>
  <c r="U90" i="74" s="1"/>
  <c r="J212" i="73"/>
  <c r="J282" i="73"/>
  <c r="J45" i="74" s="1"/>
  <c r="J90" i="74" s="1"/>
  <c r="T280" i="73"/>
  <c r="T43" i="74" s="1"/>
  <c r="T88" i="74" s="1"/>
  <c r="T210" i="73"/>
  <c r="L280" i="73"/>
  <c r="L43" i="74" s="1"/>
  <c r="L88" i="74" s="1"/>
  <c r="L210" i="73"/>
  <c r="Z210" i="73"/>
  <c r="Z280" i="73"/>
  <c r="Z43" i="74" s="1"/>
  <c r="Z88" i="74" s="1"/>
  <c r="AB280" i="73"/>
  <c r="AB43" i="74" s="1"/>
  <c r="AB88" i="74" s="1"/>
  <c r="AB210" i="73"/>
  <c r="P210" i="73"/>
  <c r="P280" i="73"/>
  <c r="P43" i="74" s="1"/>
  <c r="P88" i="74" s="1"/>
  <c r="P118" i="74" s="1"/>
  <c r="P150" i="74" s="1"/>
  <c r="O210" i="73"/>
  <c r="O280" i="73"/>
  <c r="O43" i="74" s="1"/>
  <c r="O88" i="74" s="1"/>
  <c r="V284" i="73"/>
  <c r="V47" i="74" s="1"/>
  <c r="V92" i="74" s="1"/>
  <c r="V214" i="73"/>
  <c r="U214" i="73"/>
  <c r="U284" i="73"/>
  <c r="U47" i="74" s="1"/>
  <c r="U92" i="74" s="1"/>
  <c r="X284" i="73"/>
  <c r="X47" i="74" s="1"/>
  <c r="X92" i="74" s="1"/>
  <c r="X214" i="73"/>
  <c r="K284" i="73"/>
  <c r="K47" i="74" s="1"/>
  <c r="K92" i="74" s="1"/>
  <c r="K214" i="73"/>
  <c r="S284" i="73"/>
  <c r="S47" i="74" s="1"/>
  <c r="S92" i="74" s="1"/>
  <c r="S214" i="73"/>
  <c r="T214" i="73"/>
  <c r="T284" i="73"/>
  <c r="T47" i="74" s="1"/>
  <c r="T92" i="74" s="1"/>
  <c r="R284" i="73"/>
  <c r="R47" i="74" s="1"/>
  <c r="R92" i="74" s="1"/>
  <c r="R122" i="74" s="1"/>
  <c r="R154" i="74" s="1"/>
  <c r="R214" i="73"/>
  <c r="Z278" i="73"/>
  <c r="Z41" i="74" s="1"/>
  <c r="Z86" i="74" s="1"/>
  <c r="Z208" i="73"/>
  <c r="S208" i="73"/>
  <c r="S278" i="73"/>
  <c r="S41" i="74" s="1"/>
  <c r="S86" i="74" s="1"/>
  <c r="N208" i="73"/>
  <c r="N278" i="73"/>
  <c r="N41" i="74" s="1"/>
  <c r="N86" i="74" s="1"/>
  <c r="K208" i="73"/>
  <c r="K278" i="73"/>
  <c r="K41" i="74" s="1"/>
  <c r="K86" i="74" s="1"/>
  <c r="V208" i="73"/>
  <c r="V278" i="73"/>
  <c r="V41" i="74" s="1"/>
  <c r="V86" i="74" s="1"/>
  <c r="S20" i="65"/>
  <c r="AJ46" i="41"/>
  <c r="Q285" i="73"/>
  <c r="Q48" i="74" s="1"/>
  <c r="Q93" i="74" s="1"/>
  <c r="Q123" i="74" s="1"/>
  <c r="Q155" i="74" s="1"/>
  <c r="Q215" i="73"/>
  <c r="P215" i="73"/>
  <c r="P285" i="73"/>
  <c r="P48" i="74" s="1"/>
  <c r="P93" i="74" s="1"/>
  <c r="P123" i="74" s="1"/>
  <c r="P155" i="74" s="1"/>
  <c r="O285" i="73"/>
  <c r="O48" i="74" s="1"/>
  <c r="O93" i="74" s="1"/>
  <c r="O215" i="73"/>
  <c r="N215" i="73"/>
  <c r="N285" i="73"/>
  <c r="N48" i="74" s="1"/>
  <c r="N93" i="74" s="1"/>
  <c r="M215" i="73"/>
  <c r="M285" i="73"/>
  <c r="M48" i="74" s="1"/>
  <c r="M93" i="74" s="1"/>
  <c r="U215" i="73"/>
  <c r="U285" i="73"/>
  <c r="U48" i="74" s="1"/>
  <c r="U93" i="74" s="1"/>
  <c r="X215" i="73"/>
  <c r="X285" i="73"/>
  <c r="X48" i="74" s="1"/>
  <c r="X93" i="74" s="1"/>
  <c r="R285" i="73"/>
  <c r="R48" i="74" s="1"/>
  <c r="R93" i="74" s="1"/>
  <c r="R123" i="74" s="1"/>
  <c r="R155" i="74" s="1"/>
  <c r="R215" i="73"/>
  <c r="AA206" i="73"/>
  <c r="AA276" i="73"/>
  <c r="AA39" i="74" s="1"/>
  <c r="AA84" i="74" s="1"/>
  <c r="P257" i="73"/>
  <c r="P25" i="41" s="1"/>
  <c r="X257" i="73"/>
  <c r="X25" i="41" s="1"/>
  <c r="R276" i="73"/>
  <c r="R39" i="74" s="1"/>
  <c r="R84" i="74" s="1"/>
  <c r="R114" i="74" s="1"/>
  <c r="R146" i="74" s="1"/>
  <c r="R206" i="73"/>
  <c r="O257" i="73"/>
  <c r="O25" i="41" s="1"/>
  <c r="L257" i="73"/>
  <c r="L25" i="41" s="1"/>
  <c r="Z257" i="73"/>
  <c r="Z25" i="41" s="1"/>
  <c r="S257" i="73"/>
  <c r="S25" i="41" s="1"/>
  <c r="J257" i="73"/>
  <c r="J25" i="41" s="1"/>
  <c r="L281" i="73"/>
  <c r="L44" i="74" s="1"/>
  <c r="L89" i="74" s="1"/>
  <c r="L211" i="73"/>
  <c r="AA211" i="73"/>
  <c r="AA281" i="73"/>
  <c r="AA44" i="74" s="1"/>
  <c r="AA89" i="74" s="1"/>
  <c r="O281" i="73"/>
  <c r="O44" i="74" s="1"/>
  <c r="O89" i="74" s="1"/>
  <c r="O211" i="73"/>
  <c r="N281" i="73"/>
  <c r="N44" i="74" s="1"/>
  <c r="N89" i="74" s="1"/>
  <c r="N211" i="73"/>
  <c r="W281" i="73"/>
  <c r="W44" i="74" s="1"/>
  <c r="W89" i="74" s="1"/>
  <c r="W211" i="73"/>
  <c r="V257" i="73"/>
  <c r="V25" i="41" s="1"/>
  <c r="S206" i="73"/>
  <c r="S276" i="73"/>
  <c r="S39" i="74" s="1"/>
  <c r="S84" i="74" s="1"/>
  <c r="AA257" i="73"/>
  <c r="AA25" i="41" s="1"/>
  <c r="K257" i="73"/>
  <c r="K25" i="41" s="1"/>
  <c r="U257" i="73"/>
  <c r="U25" i="41" s="1"/>
  <c r="W276" i="73"/>
  <c r="W39" i="74" s="1"/>
  <c r="W84" i="74" s="1"/>
  <c r="W206" i="73"/>
  <c r="AB276" i="73"/>
  <c r="AB39" i="74" s="1"/>
  <c r="AB84" i="74" s="1"/>
  <c r="AB206" i="73"/>
  <c r="V276" i="73"/>
  <c r="V39" i="74" s="1"/>
  <c r="V84" i="74" s="1"/>
  <c r="V206" i="73"/>
  <c r="W257" i="73"/>
  <c r="W25" i="41" s="1"/>
  <c r="R211" i="73"/>
  <c r="R281" i="73"/>
  <c r="R44" i="74" s="1"/>
  <c r="R89" i="74" s="1"/>
  <c r="R119" i="74" s="1"/>
  <c r="R151" i="74" s="1"/>
  <c r="X281" i="73"/>
  <c r="X44" i="74" s="1"/>
  <c r="X89" i="74" s="1"/>
  <c r="X211" i="73"/>
  <c r="AB281" i="73"/>
  <c r="AB44" i="74" s="1"/>
  <c r="AB89" i="74" s="1"/>
  <c r="AB211" i="73"/>
  <c r="V281" i="73"/>
  <c r="V44" i="74" s="1"/>
  <c r="V89" i="74" s="1"/>
  <c r="V211" i="73"/>
  <c r="U211" i="73"/>
  <c r="U281" i="73"/>
  <c r="U44" i="74" s="1"/>
  <c r="U89" i="74" s="1"/>
  <c r="AN46" i="41"/>
  <c r="L277" i="73"/>
  <c r="L40" i="74" s="1"/>
  <c r="L85" i="74" s="1"/>
  <c r="L207" i="73"/>
  <c r="O207" i="73"/>
  <c r="O277" i="73"/>
  <c r="O40" i="74" s="1"/>
  <c r="O85" i="74" s="1"/>
  <c r="U207" i="73"/>
  <c r="U277" i="73"/>
  <c r="U40" i="74" s="1"/>
  <c r="U85" i="74" s="1"/>
  <c r="W207" i="73"/>
  <c r="W277" i="73"/>
  <c r="W40" i="74" s="1"/>
  <c r="W85" i="74" s="1"/>
  <c r="N213" i="73"/>
  <c r="N283" i="73"/>
  <c r="N46" i="74" s="1"/>
  <c r="N91" i="74" s="1"/>
  <c r="J283" i="73"/>
  <c r="J46" i="74" s="1"/>
  <c r="J91" i="74" s="1"/>
  <c r="J213" i="73"/>
  <c r="Y213" i="73"/>
  <c r="Y283" i="73"/>
  <c r="Y46" i="74" s="1"/>
  <c r="Y91" i="74" s="1"/>
  <c r="T213" i="73"/>
  <c r="T283" i="73"/>
  <c r="T46" i="74" s="1"/>
  <c r="T91" i="74" s="1"/>
  <c r="J141" i="71"/>
  <c r="J217" i="71" s="1"/>
  <c r="J20" i="41" s="1"/>
  <c r="AP70" i="41"/>
  <c r="DD96" i="41" s="1"/>
  <c r="P207" i="73"/>
  <c r="P277" i="73"/>
  <c r="P40" i="74" s="1"/>
  <c r="P85" i="74" s="1"/>
  <c r="P115" i="74" s="1"/>
  <c r="P147" i="74" s="1"/>
  <c r="S207" i="73"/>
  <c r="S277" i="73"/>
  <c r="S40" i="74" s="1"/>
  <c r="S85" i="74" s="1"/>
  <c r="X277" i="73"/>
  <c r="X40" i="74" s="1"/>
  <c r="X85" i="74" s="1"/>
  <c r="X207" i="73"/>
  <c r="N277" i="73"/>
  <c r="N40" i="74" s="1"/>
  <c r="N85" i="74" s="1"/>
  <c r="N207" i="73"/>
  <c r="U283" i="73"/>
  <c r="U46" i="74" s="1"/>
  <c r="U91" i="74" s="1"/>
  <c r="U213" i="73"/>
  <c r="W283" i="73"/>
  <c r="W46" i="74" s="1"/>
  <c r="W91" i="74" s="1"/>
  <c r="W213" i="73"/>
  <c r="K213" i="73"/>
  <c r="K283" i="73"/>
  <c r="K46" i="74" s="1"/>
  <c r="K91" i="74" s="1"/>
  <c r="AB283" i="73"/>
  <c r="AB46" i="74" s="1"/>
  <c r="AB91" i="74" s="1"/>
  <c r="AB213" i="73"/>
  <c r="L69" i="41"/>
  <c r="AS96" i="41" s="1"/>
  <c r="AO250" i="72"/>
  <c r="AO26" i="41" s="1"/>
  <c r="Q279" i="73"/>
  <c r="Q42" i="74" s="1"/>
  <c r="Q87" i="74" s="1"/>
  <c r="Q117" i="74" s="1"/>
  <c r="Q149" i="74" s="1"/>
  <c r="Q209" i="73"/>
  <c r="W279" i="73"/>
  <c r="W42" i="74" s="1"/>
  <c r="W87" i="74" s="1"/>
  <c r="W209" i="73"/>
  <c r="Y279" i="73"/>
  <c r="Y42" i="74" s="1"/>
  <c r="Y87" i="74" s="1"/>
  <c r="Y209" i="73"/>
  <c r="AB209" i="73"/>
  <c r="AB279" i="73"/>
  <c r="AB42" i="74" s="1"/>
  <c r="AB87" i="74" s="1"/>
  <c r="U209" i="73"/>
  <c r="U279" i="73"/>
  <c r="U42" i="74" s="1"/>
  <c r="U87" i="74" s="1"/>
  <c r="T212" i="73"/>
  <c r="T282" i="73"/>
  <c r="T45" i="74" s="1"/>
  <c r="T90" i="74" s="1"/>
  <c r="O282" i="73"/>
  <c r="O45" i="74" s="1"/>
  <c r="O90" i="74" s="1"/>
  <c r="O212" i="73"/>
  <c r="AB282" i="73"/>
  <c r="AB45" i="74" s="1"/>
  <c r="AB90" i="74" s="1"/>
  <c r="AB212" i="73"/>
  <c r="R210" i="73"/>
  <c r="R280" i="73"/>
  <c r="R43" i="74" s="1"/>
  <c r="R88" i="74" s="1"/>
  <c r="R118" i="74" s="1"/>
  <c r="R150" i="74" s="1"/>
  <c r="Q210" i="73"/>
  <c r="Q280" i="73"/>
  <c r="Q43" i="74" s="1"/>
  <c r="Q88" i="74" s="1"/>
  <c r="Q118" i="74" s="1"/>
  <c r="Q150" i="74" s="1"/>
  <c r="AA284" i="73"/>
  <c r="AA47" i="74" s="1"/>
  <c r="AA92" i="74" s="1"/>
  <c r="AA214" i="73"/>
  <c r="AA208" i="73"/>
  <c r="AA278" i="73"/>
  <c r="AA41" i="74" s="1"/>
  <c r="AA86" i="74" s="1"/>
  <c r="Q208" i="73"/>
  <c r="Q278" i="73"/>
  <c r="Q41" i="74" s="1"/>
  <c r="Q86" i="74" s="1"/>
  <c r="Q116" i="74" s="1"/>
  <c r="Q148" i="74" s="1"/>
  <c r="K215" i="73"/>
  <c r="K285" i="73"/>
  <c r="K48" i="74" s="1"/>
  <c r="K93" i="74" s="1"/>
  <c r="AA207" i="73"/>
  <c r="AA277" i="73"/>
  <c r="AA40" i="74" s="1"/>
  <c r="AA85" i="74" s="1"/>
  <c r="V207" i="73"/>
  <c r="V277" i="73"/>
  <c r="V40" i="74" s="1"/>
  <c r="V85" i="74" s="1"/>
  <c r="R207" i="73"/>
  <c r="R277" i="73"/>
  <c r="R40" i="74" s="1"/>
  <c r="R85" i="74" s="1"/>
  <c r="R115" i="74" s="1"/>
  <c r="R147" i="74" s="1"/>
  <c r="S213" i="73"/>
  <c r="S283" i="73"/>
  <c r="S46" i="74" s="1"/>
  <c r="S91" i="74" s="1"/>
  <c r="X213" i="73"/>
  <c r="X283" i="73"/>
  <c r="X46" i="74" s="1"/>
  <c r="X91" i="74" s="1"/>
  <c r="Z283" i="73"/>
  <c r="Z46" i="74" s="1"/>
  <c r="Z91" i="74" s="1"/>
  <c r="Z213" i="73"/>
  <c r="P213" i="73"/>
  <c r="P283" i="73"/>
  <c r="P46" i="74" s="1"/>
  <c r="P91" i="74" s="1"/>
  <c r="P121" i="74" s="1"/>
  <c r="P153" i="74" s="1"/>
  <c r="AN250" i="72"/>
  <c r="AN26" i="41" s="1"/>
  <c r="AI250" i="72"/>
  <c r="AI26" i="41" s="1"/>
  <c r="AG250" i="72"/>
  <c r="AG26" i="41" s="1"/>
  <c r="AK250" i="72"/>
  <c r="AK26" i="41" s="1"/>
  <c r="V279" i="73"/>
  <c r="V42" i="74" s="1"/>
  <c r="V87" i="74" s="1"/>
  <c r="V209" i="73"/>
  <c r="S279" i="73"/>
  <c r="S42" i="74" s="1"/>
  <c r="S87" i="74" s="1"/>
  <c r="S209" i="73"/>
  <c r="O279" i="73"/>
  <c r="O42" i="74" s="1"/>
  <c r="O87" i="74" s="1"/>
  <c r="O209" i="73"/>
  <c r="R209" i="73"/>
  <c r="R279" i="73"/>
  <c r="R42" i="74" s="1"/>
  <c r="R87" i="74" s="1"/>
  <c r="R117" i="74" s="1"/>
  <c r="R149" i="74" s="1"/>
  <c r="Z279" i="73"/>
  <c r="Z42" i="74" s="1"/>
  <c r="Z87" i="74" s="1"/>
  <c r="Z209" i="73"/>
  <c r="M212" i="73"/>
  <c r="M282" i="73"/>
  <c r="M45" i="74" s="1"/>
  <c r="M90" i="74" s="1"/>
  <c r="P212" i="73"/>
  <c r="P282" i="73"/>
  <c r="P45" i="74" s="1"/>
  <c r="P90" i="74" s="1"/>
  <c r="P120" i="74" s="1"/>
  <c r="P152" i="74" s="1"/>
  <c r="V212" i="73"/>
  <c r="V282" i="73"/>
  <c r="V45" i="74" s="1"/>
  <c r="V90" i="74" s="1"/>
  <c r="AA212" i="73"/>
  <c r="AA282" i="73"/>
  <c r="AA45" i="74" s="1"/>
  <c r="AA90" i="74" s="1"/>
  <c r="L282" i="73"/>
  <c r="L45" i="74" s="1"/>
  <c r="L90" i="74" s="1"/>
  <c r="L212" i="73"/>
  <c r="R21" i="65"/>
  <c r="U280" i="73"/>
  <c r="U43" i="74" s="1"/>
  <c r="U88" i="74" s="1"/>
  <c r="U210" i="73"/>
  <c r="M210" i="73"/>
  <c r="M280" i="73"/>
  <c r="M43" i="74" s="1"/>
  <c r="M88" i="74" s="1"/>
  <c r="J210" i="73"/>
  <c r="J280" i="73"/>
  <c r="J43" i="74" s="1"/>
  <c r="J88" i="74" s="1"/>
  <c r="S280" i="73"/>
  <c r="S43" i="74" s="1"/>
  <c r="S88" i="74" s="1"/>
  <c r="S210" i="73"/>
  <c r="V280" i="73"/>
  <c r="V43" i="74" s="1"/>
  <c r="V88" i="74" s="1"/>
  <c r="V210" i="73"/>
  <c r="O214" i="73"/>
  <c r="O284" i="73"/>
  <c r="O47" i="74" s="1"/>
  <c r="O92" i="74" s="1"/>
  <c r="Q214" i="73"/>
  <c r="Q284" i="73"/>
  <c r="Q47" i="74" s="1"/>
  <c r="Q92" i="74" s="1"/>
  <c r="Q122" i="74" s="1"/>
  <c r="Q154" i="74" s="1"/>
  <c r="M214" i="73"/>
  <c r="M284" i="73"/>
  <c r="M47" i="74" s="1"/>
  <c r="M92" i="74" s="1"/>
  <c r="P284" i="73"/>
  <c r="P47" i="74" s="1"/>
  <c r="P92" i="74" s="1"/>
  <c r="P122" i="74" s="1"/>
  <c r="P154" i="74" s="1"/>
  <c r="P214" i="73"/>
  <c r="N284" i="73"/>
  <c r="N47" i="74" s="1"/>
  <c r="N92" i="74" s="1"/>
  <c r="N214" i="73"/>
  <c r="L214" i="73"/>
  <c r="L284" i="73"/>
  <c r="L47" i="74" s="1"/>
  <c r="L92" i="74" s="1"/>
  <c r="L278" i="73"/>
  <c r="L41" i="74" s="1"/>
  <c r="L86" i="74" s="1"/>
  <c r="L208" i="73"/>
  <c r="T208" i="73"/>
  <c r="T278" i="73"/>
  <c r="T41" i="74" s="1"/>
  <c r="T86" i="74" s="1"/>
  <c r="R208" i="73"/>
  <c r="R278" i="73"/>
  <c r="R41" i="74" s="1"/>
  <c r="R86" i="74" s="1"/>
  <c r="R116" i="74" s="1"/>
  <c r="R148" i="74" s="1"/>
  <c r="AB278" i="73"/>
  <c r="AB41" i="74" s="1"/>
  <c r="AB86" i="74" s="1"/>
  <c r="AB208" i="73"/>
  <c r="M208" i="73"/>
  <c r="M278" i="73"/>
  <c r="M41" i="74" s="1"/>
  <c r="M86" i="74" s="1"/>
  <c r="W278" i="73"/>
  <c r="W41" i="74" s="1"/>
  <c r="W86" i="74" s="1"/>
  <c r="W208" i="73"/>
  <c r="V285" i="73"/>
  <c r="V48" i="74" s="1"/>
  <c r="V93" i="74" s="1"/>
  <c r="V215" i="73"/>
  <c r="T215" i="73"/>
  <c r="T285" i="73"/>
  <c r="T48" i="74" s="1"/>
  <c r="T93" i="74" s="1"/>
  <c r="Y285" i="73"/>
  <c r="Y48" i="74" s="1"/>
  <c r="Y93" i="74" s="1"/>
  <c r="Y215" i="73"/>
  <c r="Z285" i="73"/>
  <c r="Z48" i="74" s="1"/>
  <c r="Z93" i="74" s="1"/>
  <c r="Z215" i="73"/>
  <c r="N206" i="73"/>
  <c r="N276" i="73"/>
  <c r="N39" i="74" s="1"/>
  <c r="N84" i="74" s="1"/>
  <c r="J206" i="73"/>
  <c r="J276" i="73"/>
  <c r="J39" i="74" s="1"/>
  <c r="X276" i="73"/>
  <c r="X39" i="74" s="1"/>
  <c r="X84" i="74" s="1"/>
  <c r="X206" i="73"/>
  <c r="L206" i="73"/>
  <c r="L276" i="73"/>
  <c r="L39" i="74" s="1"/>
  <c r="L84" i="74" s="1"/>
  <c r="T257" i="73"/>
  <c r="T25" i="41" s="1"/>
  <c r="Y276" i="73"/>
  <c r="Y39" i="74" s="1"/>
  <c r="Y84" i="74" s="1"/>
  <c r="Y206" i="73"/>
  <c r="P276" i="73"/>
  <c r="P39" i="74" s="1"/>
  <c r="P84" i="74" s="1"/>
  <c r="P114" i="74" s="1"/>
  <c r="P146" i="74" s="1"/>
  <c r="P206" i="73"/>
  <c r="Q276" i="73"/>
  <c r="Q39" i="74" s="1"/>
  <c r="Q84" i="74" s="1"/>
  <c r="Q114" i="74" s="1"/>
  <c r="Q146" i="74" s="1"/>
  <c r="Q206" i="73"/>
  <c r="U206" i="73"/>
  <c r="U276" i="73"/>
  <c r="U39" i="74" s="1"/>
  <c r="U84" i="74" s="1"/>
  <c r="N257" i="73"/>
  <c r="N25" i="41" s="1"/>
  <c r="Q211" i="73"/>
  <c r="Q281" i="73"/>
  <c r="Q44" i="74" s="1"/>
  <c r="Q89" i="74" s="1"/>
  <c r="Q119" i="74" s="1"/>
  <c r="Q151" i="74" s="1"/>
  <c r="S211" i="73"/>
  <c r="S281" i="73"/>
  <c r="S44" i="74" s="1"/>
  <c r="S89" i="74" s="1"/>
  <c r="P281" i="73"/>
  <c r="P44" i="74" s="1"/>
  <c r="P89" i="74" s="1"/>
  <c r="P119" i="74" s="1"/>
  <c r="P151" i="74" s="1"/>
  <c r="P211" i="73"/>
  <c r="K211" i="73"/>
  <c r="K281" i="73"/>
  <c r="K44" i="74" s="1"/>
  <c r="K89" i="74" s="1"/>
  <c r="M281" i="73"/>
  <c r="M44" i="74" s="1"/>
  <c r="M89" i="74" s="1"/>
  <c r="M211" i="73"/>
  <c r="O70" i="41"/>
  <c r="CC96" i="41" s="1"/>
  <c r="L51" i="41"/>
  <c r="P21" i="65"/>
  <c r="AA146" i="41" l="1"/>
  <c r="AA22" i="65"/>
  <c r="AA80" i="65" s="1"/>
  <c r="AA91" i="65" s="1"/>
  <c r="AA100" i="65" s="1"/>
  <c r="AA56" i="105" s="1"/>
  <c r="K51" i="41"/>
  <c r="Y22" i="65"/>
  <c r="Y80" i="65" s="1"/>
  <c r="Y91" i="65" s="1"/>
  <c r="Y109" i="65" s="1"/>
  <c r="Y65" i="105" s="1"/>
  <c r="L46" i="41"/>
  <c r="Q21" i="65"/>
  <c r="AD70" i="41"/>
  <c r="CR96" i="41" s="1"/>
  <c r="R150" i="41"/>
  <c r="Q22" i="65"/>
  <c r="Q80" i="65" s="1"/>
  <c r="Q91" i="65" s="1"/>
  <c r="Q47" i="105" s="1"/>
  <c r="Q84" i="105" s="1"/>
  <c r="AP145" i="41"/>
  <c r="AD22" i="65"/>
  <c r="AD80" i="65" s="1"/>
  <c r="AD91" i="65" s="1"/>
  <c r="AD109" i="65" s="1"/>
  <c r="AD65" i="105" s="1"/>
  <c r="AD104" i="105" s="1"/>
  <c r="AD21" i="65"/>
  <c r="AD79" i="65" s="1"/>
  <c r="AD90" i="65" s="1"/>
  <c r="AD46" i="105" s="1"/>
  <c r="AD83" i="105" s="1"/>
  <c r="AB21" i="65"/>
  <c r="AD68" i="41"/>
  <c r="AD96" i="41" s="1"/>
  <c r="O26" i="65"/>
  <c r="O84" i="65" s="1"/>
  <c r="O95" i="65" s="1"/>
  <c r="O113" i="65" s="1"/>
  <c r="O69" i="105" s="1"/>
  <c r="O108" i="105" s="1"/>
  <c r="AL69" i="41"/>
  <c r="BS96" i="41" s="1"/>
  <c r="N20" i="65"/>
  <c r="P69" i="41"/>
  <c r="AW96" i="41" s="1"/>
  <c r="AB26" i="65"/>
  <c r="AB84" i="65" s="1"/>
  <c r="AB95" i="65" s="1"/>
  <c r="AB113" i="65" s="1"/>
  <c r="AB69" i="105" s="1"/>
  <c r="L21" i="65"/>
  <c r="L79" i="65" s="1"/>
  <c r="L90" i="65" s="1"/>
  <c r="L99" i="65" s="1"/>
  <c r="L55" i="105" s="1"/>
  <c r="L93" i="105" s="1"/>
  <c r="AP146" i="41"/>
  <c r="T20" i="65"/>
  <c r="AJ21" i="65"/>
  <c r="AJ79" i="65" s="1"/>
  <c r="AJ90" i="65" s="1"/>
  <c r="AJ46" i="105" s="1"/>
  <c r="AJ83" i="105" s="1"/>
  <c r="AG21" i="65"/>
  <c r="AG79" i="65" s="1"/>
  <c r="AG90" i="65" s="1"/>
  <c r="AG46" i="105" s="1"/>
  <c r="AG83" i="105" s="1"/>
  <c r="AN146" i="41"/>
  <c r="AP21" i="65"/>
  <c r="AP79" i="65" s="1"/>
  <c r="AP90" i="65" s="1"/>
  <c r="AP46" i="105" s="1"/>
  <c r="AP83" i="105" s="1"/>
  <c r="O146" i="41"/>
  <c r="Y47" i="41"/>
  <c r="R46" i="41"/>
  <c r="AD46" i="41"/>
  <c r="AN21" i="65"/>
  <c r="AN79" i="65" s="1"/>
  <c r="AN90" i="65" s="1"/>
  <c r="AN46" i="105" s="1"/>
  <c r="AN83" i="105" s="1"/>
  <c r="AD144" i="41"/>
  <c r="M26" i="65"/>
  <c r="M84" i="65" s="1"/>
  <c r="M95" i="65" s="1"/>
  <c r="M113" i="65" s="1"/>
  <c r="M69" i="105" s="1"/>
  <c r="L70" i="41"/>
  <c r="BZ96" i="41" s="1"/>
  <c r="AC145" i="41"/>
  <c r="AN20" i="65"/>
  <c r="AN78" i="65" s="1"/>
  <c r="AN89" i="65" s="1"/>
  <c r="AN45" i="105" s="1"/>
  <c r="AN82" i="105" s="1"/>
  <c r="AE21" i="65"/>
  <c r="AE79" i="65" s="1"/>
  <c r="AE90" i="65" s="1"/>
  <c r="AE108" i="65" s="1"/>
  <c r="AE64" i="105" s="1"/>
  <c r="R45" i="41"/>
  <c r="AG47" i="41"/>
  <c r="M69" i="41"/>
  <c r="AT96" i="41" s="1"/>
  <c r="AJ45" i="41"/>
  <c r="V22" i="65"/>
  <c r="AO47" i="41"/>
  <c r="AB46" i="41"/>
  <c r="AJ20" i="65"/>
  <c r="AJ78" i="65" s="1"/>
  <c r="AJ89" i="65" s="1"/>
  <c r="AJ45" i="105" s="1"/>
  <c r="AJ82" i="105" s="1"/>
  <c r="AG146" i="41"/>
  <c r="Z26" i="65"/>
  <c r="Z84" i="65" s="1"/>
  <c r="Z95" i="65" s="1"/>
  <c r="Z104" i="65" s="1"/>
  <c r="Z60" i="105" s="1"/>
  <c r="T22" i="65"/>
  <c r="Z150" i="41"/>
  <c r="J150" i="41"/>
  <c r="R26" i="65"/>
  <c r="R84" i="65" s="1"/>
  <c r="R95" i="65" s="1"/>
  <c r="R51" i="105" s="1"/>
  <c r="R88" i="105" s="1"/>
  <c r="AH145" i="41"/>
  <c r="AD47" i="41"/>
  <c r="AN144" i="41"/>
  <c r="AE69" i="41"/>
  <c r="BL96" i="41" s="1"/>
  <c r="J26" i="65"/>
  <c r="J84" i="65" s="1"/>
  <c r="J95" i="65" s="1"/>
  <c r="J113" i="65" s="1"/>
  <c r="J69" i="105" s="1"/>
  <c r="AO70" i="41"/>
  <c r="DC96" i="41" s="1"/>
  <c r="AG70" i="41"/>
  <c r="CU96" i="41" s="1"/>
  <c r="AK145" i="41"/>
  <c r="T70" i="41"/>
  <c r="CH96" i="41" s="1"/>
  <c r="AL46" i="41"/>
  <c r="K70" i="41"/>
  <c r="BY96" i="41" s="1"/>
  <c r="AJ68" i="41"/>
  <c r="AJ96" i="41" s="1"/>
  <c r="AN45" i="41"/>
  <c r="AE145" i="41"/>
  <c r="S150" i="41"/>
  <c r="AO146" i="41"/>
  <c r="AK21" i="65"/>
  <c r="AK79" i="65" s="1"/>
  <c r="AK90" i="65" s="1"/>
  <c r="AK46" i="105" s="1"/>
  <c r="AK83" i="105" s="1"/>
  <c r="AL145" i="41"/>
  <c r="W47" i="41"/>
  <c r="AJ70" i="41"/>
  <c r="CX96" i="41" s="1"/>
  <c r="AM70" i="41"/>
  <c r="DA96" i="41" s="1"/>
  <c r="AC146" i="41"/>
  <c r="AL47" i="41"/>
  <c r="AF69" i="41"/>
  <c r="BM96" i="41" s="1"/>
  <c r="AF144" i="41"/>
  <c r="AC20" i="65"/>
  <c r="AC78" i="65" s="1"/>
  <c r="AC89" i="65" s="1"/>
  <c r="AC45" i="105" s="1"/>
  <c r="AC82" i="105" s="1"/>
  <c r="AI145" i="41"/>
  <c r="L68" i="41"/>
  <c r="L96" i="41" s="1"/>
  <c r="Y150" i="41"/>
  <c r="V20" i="65"/>
  <c r="AC70" i="41"/>
  <c r="CQ96" i="41" s="1"/>
  <c r="U150" i="41"/>
  <c r="X21" i="65"/>
  <c r="X79" i="65" s="1"/>
  <c r="X90" i="65" s="1"/>
  <c r="X108" i="65" s="1"/>
  <c r="X64" i="105" s="1"/>
  <c r="Z70" i="41"/>
  <c r="CN96" i="41" s="1"/>
  <c r="AC47" i="41"/>
  <c r="U69" i="41"/>
  <c r="BB96" i="41" s="1"/>
  <c r="W70" i="41"/>
  <c r="CK96" i="41" s="1"/>
  <c r="AM145" i="41"/>
  <c r="AE70" i="41"/>
  <c r="CS96" i="41" s="1"/>
  <c r="AE22" i="65"/>
  <c r="AE80" i="65" s="1"/>
  <c r="AE91" i="65" s="1"/>
  <c r="AE109" i="65" s="1"/>
  <c r="AE65" i="105" s="1"/>
  <c r="AM45" i="41"/>
  <c r="T21" i="65"/>
  <c r="Y46" i="41"/>
  <c r="AE144" i="41"/>
  <c r="AI22" i="65"/>
  <c r="AI80" i="65" s="1"/>
  <c r="AI91" i="65" s="1"/>
  <c r="AI109" i="65" s="1"/>
  <c r="AI65" i="105" s="1"/>
  <c r="AF22" i="65"/>
  <c r="AF80" i="65" s="1"/>
  <c r="AF91" i="65" s="1"/>
  <c r="AF47" i="105" s="1"/>
  <c r="AF84" i="105" s="1"/>
  <c r="N51" i="41"/>
  <c r="J47" i="41"/>
  <c r="AH22" i="65"/>
  <c r="AH80" i="65" s="1"/>
  <c r="AH91" i="65" s="1"/>
  <c r="AH47" i="105" s="1"/>
  <c r="AH84" i="105" s="1"/>
  <c r="X51" i="41"/>
  <c r="J69" i="41"/>
  <c r="AQ96" i="41" s="1"/>
  <c r="AI68" i="41"/>
  <c r="AI96" i="41" s="1"/>
  <c r="S46" i="41"/>
  <c r="N146" i="41"/>
  <c r="X150" i="41"/>
  <c r="U22" i="65"/>
  <c r="AH21" i="65"/>
  <c r="AH79" i="65" s="1"/>
  <c r="AH90" i="65" s="1"/>
  <c r="AH46" i="105" s="1"/>
  <c r="AH83" i="105" s="1"/>
  <c r="AA145" i="41"/>
  <c r="M146" i="41"/>
  <c r="Z45" i="41"/>
  <c r="AK22" i="65"/>
  <c r="AK80" i="65" s="1"/>
  <c r="AK91" i="65" s="1"/>
  <c r="AK47" i="105" s="1"/>
  <c r="AK84" i="105" s="1"/>
  <c r="X47" i="41"/>
  <c r="AH69" i="41"/>
  <c r="BO96" i="41" s="1"/>
  <c r="S22" i="65"/>
  <c r="R22" i="65"/>
  <c r="R80" i="65" s="1"/>
  <c r="R91" i="65" s="1"/>
  <c r="R47" i="105" s="1"/>
  <c r="R84" i="105" s="1"/>
  <c r="U70" i="41"/>
  <c r="CI96" i="41" s="1"/>
  <c r="P146" i="41"/>
  <c r="Q20" i="65"/>
  <c r="Q47" i="41"/>
  <c r="O45" i="41"/>
  <c r="R20" i="65"/>
  <c r="V70" i="41"/>
  <c r="CJ96" i="41" s="1"/>
  <c r="P51" i="41"/>
  <c r="AO68" i="41"/>
  <c r="AO96" i="41" s="1"/>
  <c r="S51" i="41"/>
  <c r="W150" i="41"/>
  <c r="Y68" i="41"/>
  <c r="Y96" i="41" s="1"/>
  <c r="AO145" i="41"/>
  <c r="W46" i="41"/>
  <c r="AA68" i="41"/>
  <c r="AA96" i="41" s="1"/>
  <c r="AB70" i="41"/>
  <c r="CP96" i="41" s="1"/>
  <c r="AA150" i="41"/>
  <c r="AF146" i="41"/>
  <c r="T150" i="41"/>
  <c r="J22" i="65"/>
  <c r="J80" i="65" s="1"/>
  <c r="J91" i="65" s="1"/>
  <c r="J47" i="105" s="1"/>
  <c r="J84" i="105" s="1"/>
  <c r="K22" i="65"/>
  <c r="K80" i="65" s="1"/>
  <c r="K91" i="65" s="1"/>
  <c r="K109" i="65" s="1"/>
  <c r="K65" i="105" s="1"/>
  <c r="AM69" i="41"/>
  <c r="BT96" i="41" s="1"/>
  <c r="S276" i="83"/>
  <c r="H280" i="83" s="1"/>
  <c r="AM144" i="41"/>
  <c r="AJ146" i="41"/>
  <c r="AE47" i="41"/>
  <c r="AC68" i="41"/>
  <c r="AC96" i="41" s="1"/>
  <c r="L20" i="65"/>
  <c r="T46" i="41"/>
  <c r="AM22" i="65"/>
  <c r="AM80" i="65" s="1"/>
  <c r="AM91" i="65" s="1"/>
  <c r="AM47" i="105" s="1"/>
  <c r="AM84" i="105" s="1"/>
  <c r="Y21" i="65"/>
  <c r="Y79" i="65" s="1"/>
  <c r="Y90" i="65" s="1"/>
  <c r="Y108" i="65" s="1"/>
  <c r="Y64" i="105" s="1"/>
  <c r="V46" i="41"/>
  <c r="AH51" i="41"/>
  <c r="AE68" i="41"/>
  <c r="AE96" i="41" s="1"/>
  <c r="AI69" i="41"/>
  <c r="BP96" i="41" s="1"/>
  <c r="AL70" i="41"/>
  <c r="CZ96" i="41" s="1"/>
  <c r="AF46" i="41"/>
  <c r="U26" i="65"/>
  <c r="U84" i="65" s="1"/>
  <c r="U95" i="65" s="1"/>
  <c r="U113" i="65" s="1"/>
  <c r="U69" i="105" s="1"/>
  <c r="AB45" i="41"/>
  <c r="X46" i="41"/>
  <c r="K26" i="65"/>
  <c r="K84" i="65" s="1"/>
  <c r="K95" i="65" s="1"/>
  <c r="K104" i="65" s="1"/>
  <c r="K60" i="105" s="1"/>
  <c r="V68" i="41"/>
  <c r="V96" i="41" s="1"/>
  <c r="Z47" i="41"/>
  <c r="AI70" i="41"/>
  <c r="CW96" i="41" s="1"/>
  <c r="N150" i="41"/>
  <c r="AF68" i="41"/>
  <c r="AF96" i="41" s="1"/>
  <c r="AC45" i="41"/>
  <c r="AM47" i="41"/>
  <c r="Y69" i="41"/>
  <c r="BF96" i="41" s="1"/>
  <c r="V21" i="65"/>
  <c r="AE45" i="41"/>
  <c r="AI21" i="65"/>
  <c r="AI79" i="65" s="1"/>
  <c r="AI90" i="65" s="1"/>
  <c r="AI108" i="65" s="1"/>
  <c r="AI64" i="105" s="1"/>
  <c r="Y51" i="41"/>
  <c r="AL146" i="41"/>
  <c r="AF145" i="41"/>
  <c r="AB20" i="65"/>
  <c r="X69" i="41"/>
  <c r="BE96" i="41" s="1"/>
  <c r="Z146" i="41"/>
  <c r="AI47" i="41"/>
  <c r="U46" i="41"/>
  <c r="AF45" i="41"/>
  <c r="AM68" i="41"/>
  <c r="AM96" i="41" s="1"/>
  <c r="AJ22" i="65"/>
  <c r="AJ80" i="65" s="1"/>
  <c r="AJ91" i="65" s="1"/>
  <c r="AJ47" i="105" s="1"/>
  <c r="AJ84" i="105" s="1"/>
  <c r="K45" i="41"/>
  <c r="K68" i="41"/>
  <c r="K96" i="41" s="1"/>
  <c r="K20" i="65"/>
  <c r="L146" i="41"/>
  <c r="S69" i="41"/>
  <c r="AZ96" i="41" s="1"/>
  <c r="U45" i="41"/>
  <c r="Z46" i="41"/>
  <c r="K46" i="41"/>
  <c r="L276" i="83"/>
  <c r="AP69" i="41"/>
  <c r="BW96" i="41" s="1"/>
  <c r="L150" i="41"/>
  <c r="O47" i="41"/>
  <c r="Y70" i="41"/>
  <c r="CM96" i="41" s="1"/>
  <c r="AB51" i="41"/>
  <c r="AP47" i="41"/>
  <c r="AD69" i="41"/>
  <c r="BK96" i="41" s="1"/>
  <c r="AN69" i="41"/>
  <c r="BU96" i="41" s="1"/>
  <c r="Q69" i="41"/>
  <c r="AX96" i="41" s="1"/>
  <c r="T68" i="41"/>
  <c r="T96" i="41" s="1"/>
  <c r="AD45" i="41"/>
  <c r="AJ145" i="41"/>
  <c r="L22" i="65"/>
  <c r="L80" i="65" s="1"/>
  <c r="L91" i="65" s="1"/>
  <c r="L47" i="105" s="1"/>
  <c r="L84" i="105" s="1"/>
  <c r="N45" i="41"/>
  <c r="AC69" i="41"/>
  <c r="BJ96" i="41" s="1"/>
  <c r="O51" i="41"/>
  <c r="AG145" i="41"/>
  <c r="U20" i="65"/>
  <c r="Z69" i="41"/>
  <c r="BG96" i="41" s="1"/>
  <c r="K69" i="41"/>
  <c r="AR96" i="41" s="1"/>
  <c r="M276" i="83"/>
  <c r="K276" i="83"/>
  <c r="O276" i="83"/>
  <c r="AG68" i="41"/>
  <c r="AG96" i="41" s="1"/>
  <c r="N22" i="65"/>
  <c r="N80" i="65" s="1"/>
  <c r="N91" i="65" s="1"/>
  <c r="N109" i="65" s="1"/>
  <c r="N65" i="105" s="1"/>
  <c r="M70" i="41"/>
  <c r="CA96" i="41" s="1"/>
  <c r="R146" i="41"/>
  <c r="Z68" i="41"/>
  <c r="Z96" i="41" s="1"/>
  <c r="V150" i="41"/>
  <c r="W51" i="41"/>
  <c r="P47" i="41"/>
  <c r="AO69" i="41"/>
  <c r="BV96" i="41" s="1"/>
  <c r="AH47" i="41"/>
  <c r="AI45" i="41"/>
  <c r="AP68" i="41"/>
  <c r="AP96" i="41" s="1"/>
  <c r="AA46" i="41"/>
  <c r="M47" i="41"/>
  <c r="S47" i="41"/>
  <c r="AO45" i="41"/>
  <c r="R47" i="41"/>
  <c r="V26" i="65"/>
  <c r="V84" i="65" s="1"/>
  <c r="V95" i="65" s="1"/>
  <c r="V113" i="65" s="1"/>
  <c r="V69" i="105" s="1"/>
  <c r="P70" i="41"/>
  <c r="CD96" i="41" s="1"/>
  <c r="AO46" i="41"/>
  <c r="W69" i="41"/>
  <c r="BD96" i="41" s="1"/>
  <c r="X45" i="41"/>
  <c r="AH146" i="41"/>
  <c r="AK47" i="41"/>
  <c r="AL144" i="41"/>
  <c r="S68" i="41"/>
  <c r="S96" i="41" s="1"/>
  <c r="X146" i="41"/>
  <c r="AA45" i="41"/>
  <c r="AK45" i="41"/>
  <c r="J46" i="41"/>
  <c r="T26" i="65"/>
  <c r="T84" i="65" s="1"/>
  <c r="T95" i="65" s="1"/>
  <c r="T51" i="105" s="1"/>
  <c r="T88" i="105" s="1"/>
  <c r="AI144" i="41"/>
  <c r="N21" i="65"/>
  <c r="AA69" i="41"/>
  <c r="BH96" i="41" s="1"/>
  <c r="AO144" i="41"/>
  <c r="X20" i="65"/>
  <c r="AK70" i="41"/>
  <c r="CY96" i="41" s="1"/>
  <c r="X22" i="65"/>
  <c r="X80" i="65" s="1"/>
  <c r="X91" i="65" s="1"/>
  <c r="X100" i="65" s="1"/>
  <c r="X56" i="105" s="1"/>
  <c r="AK68" i="41"/>
  <c r="AK96" i="41" s="1"/>
  <c r="J21" i="65"/>
  <c r="J79" i="65" s="1"/>
  <c r="J90" i="65" s="1"/>
  <c r="J108" i="65" s="1"/>
  <c r="J64" i="105" s="1"/>
  <c r="AA51" i="41"/>
  <c r="T276" i="83"/>
  <c r="H285" i="83" s="1"/>
  <c r="AP144" i="41"/>
  <c r="Q26" i="65"/>
  <c r="Q84" i="65" s="1"/>
  <c r="Q95" i="65" s="1"/>
  <c r="Q51" i="105" s="1"/>
  <c r="Q88" i="105" s="1"/>
  <c r="AH26" i="65"/>
  <c r="AH84" i="65" s="1"/>
  <c r="AH95" i="65" s="1"/>
  <c r="AH51" i="105" s="1"/>
  <c r="AH88" i="105" s="1"/>
  <c r="AL20" i="65"/>
  <c r="AL78" i="65" s="1"/>
  <c r="AL89" i="65" s="1"/>
  <c r="AL45" i="105" s="1"/>
  <c r="AL82" i="105" s="1"/>
  <c r="M45" i="41"/>
  <c r="Q70" i="41"/>
  <c r="CE96" i="41" s="1"/>
  <c r="P256" i="73"/>
  <c r="P24" i="41" s="1"/>
  <c r="P49" i="41" s="1"/>
  <c r="N256" i="73"/>
  <c r="N24" i="41" s="1"/>
  <c r="N148" i="41" s="1"/>
  <c r="O68" i="41"/>
  <c r="O96" i="41" s="1"/>
  <c r="P26" i="65"/>
  <c r="P84" i="65" s="1"/>
  <c r="P95" i="65" s="1"/>
  <c r="P104" i="65" s="1"/>
  <c r="P60" i="105" s="1"/>
  <c r="P45" i="41"/>
  <c r="O69" i="41"/>
  <c r="AV96" i="41" s="1"/>
  <c r="AK46" i="41"/>
  <c r="AB47" i="41"/>
  <c r="AF47" i="41"/>
  <c r="J70" i="41"/>
  <c r="BX96" i="41" s="1"/>
  <c r="K146" i="41"/>
  <c r="AM46" i="41"/>
  <c r="Y45" i="41"/>
  <c r="M145" i="41"/>
  <c r="AH45" i="41"/>
  <c r="W68" i="41"/>
  <c r="W96" i="41" s="1"/>
  <c r="P68" i="41"/>
  <c r="P96" i="41" s="1"/>
  <c r="O46" i="41"/>
  <c r="M20" i="65"/>
  <c r="AG45" i="41"/>
  <c r="AH20" i="65"/>
  <c r="AH78" i="65" s="1"/>
  <c r="AH89" i="65" s="1"/>
  <c r="AH45" i="105" s="1"/>
  <c r="AH82" i="105" s="1"/>
  <c r="N46" i="41"/>
  <c r="W45" i="41"/>
  <c r="O21" i="65"/>
  <c r="O79" i="65" s="1"/>
  <c r="O90" i="65" s="1"/>
  <c r="O99" i="65" s="1"/>
  <c r="O55" i="105" s="1"/>
  <c r="O93" i="105" s="1"/>
  <c r="AG144" i="41"/>
  <c r="AH68" i="41"/>
  <c r="AH96" i="41" s="1"/>
  <c r="H292" i="83"/>
  <c r="N276" i="83"/>
  <c r="AP20" i="65"/>
  <c r="AP78" i="65" s="1"/>
  <c r="AP89" i="65" s="1"/>
  <c r="AP45" i="105" s="1"/>
  <c r="AP82" i="105" s="1"/>
  <c r="Q51" i="41"/>
  <c r="Q68" i="41"/>
  <c r="Q96" i="41" s="1"/>
  <c r="M21" i="65"/>
  <c r="M79" i="65" s="1"/>
  <c r="M90" i="65" s="1"/>
  <c r="M99" i="65" s="1"/>
  <c r="M55" i="105" s="1"/>
  <c r="AL68" i="41"/>
  <c r="AL96" i="41" s="1"/>
  <c r="AK20" i="65"/>
  <c r="AK78" i="65" s="1"/>
  <c r="AK89" i="65" s="1"/>
  <c r="AK107" i="65" s="1"/>
  <c r="N70" i="41"/>
  <c r="CB96" i="41" s="1"/>
  <c r="J276" i="83"/>
  <c r="H223" i="71" a="1"/>
  <c r="H223" i="71" s="1"/>
  <c r="A4" i="71" s="1"/>
  <c r="V256" i="73"/>
  <c r="V24" i="41" s="1"/>
  <c r="V24" i="65" s="1"/>
  <c r="V82" i="65" s="1"/>
  <c r="V93" i="65" s="1"/>
  <c r="W256" i="73"/>
  <c r="W24" i="41" s="1"/>
  <c r="W24" i="65" s="1"/>
  <c r="W82" i="65" s="1"/>
  <c r="W93" i="65" s="1"/>
  <c r="P161" i="74"/>
  <c r="P23" i="41" s="1"/>
  <c r="J84" i="74"/>
  <c r="X51" i="105"/>
  <c r="X88" i="105" s="1"/>
  <c r="X104" i="65"/>
  <c r="X60" i="105" s="1"/>
  <c r="X113" i="65"/>
  <c r="X69" i="105" s="1"/>
  <c r="AK51" i="41"/>
  <c r="AK150" i="41"/>
  <c r="AK26" i="65"/>
  <c r="AK84" i="65" s="1"/>
  <c r="AK95" i="65" s="1"/>
  <c r="AE107" i="65"/>
  <c r="AE63" i="105" s="1"/>
  <c r="AE98" i="65"/>
  <c r="AE45" i="105"/>
  <c r="AE82" i="105" s="1"/>
  <c r="Z50" i="41"/>
  <c r="Z25" i="65"/>
  <c r="Z83" i="65" s="1"/>
  <c r="Z94" i="65" s="1"/>
  <c r="Z149" i="41"/>
  <c r="AB149" i="41"/>
  <c r="AB25" i="65"/>
  <c r="AB83" i="65" s="1"/>
  <c r="AB94" i="65" s="1"/>
  <c r="AB50" i="41"/>
  <c r="AA113" i="65"/>
  <c r="AA69" i="105" s="1"/>
  <c r="AA104" i="65"/>
  <c r="AA60" i="105" s="1"/>
  <c r="AA51" i="105"/>
  <c r="AA88" i="105" s="1"/>
  <c r="AF51" i="41"/>
  <c r="AF26" i="65"/>
  <c r="AF84" i="65" s="1"/>
  <c r="AF95" i="65" s="1"/>
  <c r="AF51" i="105" s="1"/>
  <c r="AF88" i="105" s="1"/>
  <c r="AF150" i="41"/>
  <c r="N113" i="65"/>
  <c r="N69" i="105" s="1"/>
  <c r="N51" i="105"/>
  <c r="N88" i="105" s="1"/>
  <c r="N104" i="65"/>
  <c r="N60" i="105" s="1"/>
  <c r="Q256" i="73"/>
  <c r="Q24" i="41" s="1"/>
  <c r="Y256" i="73"/>
  <c r="Y24" i="41" s="1"/>
  <c r="L256" i="73"/>
  <c r="L24" i="41" s="1"/>
  <c r="J256" i="73"/>
  <c r="J24" i="41" s="1"/>
  <c r="AN116" i="74"/>
  <c r="AN148" i="74" s="1"/>
  <c r="W116" i="74"/>
  <c r="W148" i="74" s="1"/>
  <c r="AE116" i="74"/>
  <c r="AE148" i="74" s="1"/>
  <c r="AG116" i="74"/>
  <c r="AG148" i="74" s="1"/>
  <c r="AJ116" i="74"/>
  <c r="AJ148" i="74" s="1"/>
  <c r="AB116" i="74"/>
  <c r="AB148" i="74" s="1"/>
  <c r="AD116" i="74"/>
  <c r="AD148" i="74" s="1"/>
  <c r="AO116" i="74"/>
  <c r="AO148" i="74" s="1"/>
  <c r="O116" i="74"/>
  <c r="O148" i="74" s="1"/>
  <c r="V116" i="74"/>
  <c r="V148" i="74" s="1"/>
  <c r="AI116" i="74"/>
  <c r="AI148" i="74" s="1"/>
  <c r="Y116" i="74"/>
  <c r="Y148" i="74" s="1"/>
  <c r="AL116" i="74"/>
  <c r="AL148" i="74" s="1"/>
  <c r="X116" i="74"/>
  <c r="X148" i="74" s="1"/>
  <c r="AF116" i="74"/>
  <c r="AF148" i="74" s="1"/>
  <c r="AC116" i="74"/>
  <c r="AC148" i="74" s="1"/>
  <c r="AA116" i="74"/>
  <c r="AA148" i="74" s="1"/>
  <c r="U116" i="74"/>
  <c r="U148" i="74" s="1"/>
  <c r="AP116" i="74"/>
  <c r="AP148" i="74" s="1"/>
  <c r="Z116" i="74"/>
  <c r="Z148" i="74" s="1"/>
  <c r="L116" i="74"/>
  <c r="L148" i="74" s="1"/>
  <c r="AM116" i="74"/>
  <c r="AM148" i="74" s="1"/>
  <c r="AH116" i="74"/>
  <c r="AH148" i="74" s="1"/>
  <c r="AK116" i="74"/>
  <c r="AK148" i="74" s="1"/>
  <c r="AN120" i="74"/>
  <c r="AN152" i="74" s="1"/>
  <c r="AM120" i="74"/>
  <c r="AM152" i="74" s="1"/>
  <c r="Z120" i="74"/>
  <c r="Z152" i="74" s="1"/>
  <c r="AG120" i="74"/>
  <c r="AG152" i="74" s="1"/>
  <c r="AL120" i="74"/>
  <c r="AL152" i="74" s="1"/>
  <c r="AP120" i="74"/>
  <c r="AP152" i="74" s="1"/>
  <c r="AI120" i="74"/>
  <c r="AI152" i="74" s="1"/>
  <c r="AC120" i="74"/>
  <c r="AC152" i="74" s="1"/>
  <c r="Y120" i="74"/>
  <c r="Y152" i="74" s="1"/>
  <c r="AK120" i="74"/>
  <c r="AK152" i="74" s="1"/>
  <c r="AB120" i="74"/>
  <c r="AB152" i="74" s="1"/>
  <c r="AO120" i="74"/>
  <c r="AO152" i="74" s="1"/>
  <c r="W120" i="74"/>
  <c r="W152" i="74" s="1"/>
  <c r="V120" i="74"/>
  <c r="V152" i="74" s="1"/>
  <c r="X120" i="74"/>
  <c r="X152" i="74" s="1"/>
  <c r="U120" i="74"/>
  <c r="U152" i="74" s="1"/>
  <c r="AJ120" i="74"/>
  <c r="AJ152" i="74" s="1"/>
  <c r="O120" i="74"/>
  <c r="O152" i="74" s="1"/>
  <c r="AE120" i="74"/>
  <c r="AE152" i="74" s="1"/>
  <c r="AD120" i="74"/>
  <c r="AD152" i="74" s="1"/>
  <c r="AH120" i="74"/>
  <c r="AH152" i="74" s="1"/>
  <c r="L120" i="74"/>
  <c r="L152" i="74" s="1"/>
  <c r="AA120" i="74"/>
  <c r="AA152" i="74" s="1"/>
  <c r="AF120" i="74"/>
  <c r="AF152" i="74" s="1"/>
  <c r="AG150" i="41"/>
  <c r="AG26" i="65"/>
  <c r="AG84" i="65" s="1"/>
  <c r="AG95" i="65" s="1"/>
  <c r="AG51" i="41"/>
  <c r="Y51" i="105"/>
  <c r="Y88" i="105" s="1"/>
  <c r="Y104" i="65"/>
  <c r="Y60" i="105" s="1"/>
  <c r="Y113" i="65"/>
  <c r="Y69" i="105" s="1"/>
  <c r="AB256" i="73"/>
  <c r="AB24" i="41" s="1"/>
  <c r="U149" i="41"/>
  <c r="U25" i="65"/>
  <c r="U83" i="65" s="1"/>
  <c r="U94" i="65" s="1"/>
  <c r="U50" i="41"/>
  <c r="S256" i="73"/>
  <c r="S24" i="41" s="1"/>
  <c r="AM119" i="74"/>
  <c r="AM151" i="74" s="1"/>
  <c r="AN119" i="74"/>
  <c r="AN151" i="74" s="1"/>
  <c r="Z119" i="74"/>
  <c r="Z151" i="74" s="1"/>
  <c r="AD119" i="74"/>
  <c r="AD151" i="74" s="1"/>
  <c r="AJ119" i="74"/>
  <c r="AJ151" i="74" s="1"/>
  <c r="V119" i="74"/>
  <c r="V151" i="74" s="1"/>
  <c r="U119" i="74"/>
  <c r="U151" i="74" s="1"/>
  <c r="AP119" i="74"/>
  <c r="AP151" i="74" s="1"/>
  <c r="AB119" i="74"/>
  <c r="AB151" i="74" s="1"/>
  <c r="L119" i="74"/>
  <c r="L151" i="74" s="1"/>
  <c r="AA119" i="74"/>
  <c r="AA151" i="74" s="1"/>
  <c r="AO119" i="74"/>
  <c r="AO151" i="74" s="1"/>
  <c r="AI119" i="74"/>
  <c r="AI151" i="74" s="1"/>
  <c r="AH119" i="74"/>
  <c r="AH151" i="74" s="1"/>
  <c r="AC119" i="74"/>
  <c r="AC151" i="74" s="1"/>
  <c r="AG119" i="74"/>
  <c r="AG151" i="74" s="1"/>
  <c r="AF119" i="74"/>
  <c r="AF151" i="74" s="1"/>
  <c r="Y119" i="74"/>
  <c r="Y151" i="74" s="1"/>
  <c r="O119" i="74"/>
  <c r="O151" i="74" s="1"/>
  <c r="AE119" i="74"/>
  <c r="AE151" i="74" s="1"/>
  <c r="AK119" i="74"/>
  <c r="AK151" i="74" s="1"/>
  <c r="X119" i="74"/>
  <c r="X151" i="74" s="1"/>
  <c r="W119" i="74"/>
  <c r="W151" i="74" s="1"/>
  <c r="AL119" i="74"/>
  <c r="AL151" i="74" s="1"/>
  <c r="L25" i="65"/>
  <c r="L83" i="65" s="1"/>
  <c r="L94" i="65" s="1"/>
  <c r="L149" i="41"/>
  <c r="L50" i="41"/>
  <c r="X50" i="41"/>
  <c r="X25" i="65"/>
  <c r="X83" i="65" s="1"/>
  <c r="X94" i="65" s="1"/>
  <c r="X149" i="41"/>
  <c r="V118" i="74"/>
  <c r="V150" i="74" s="1"/>
  <c r="AL118" i="74"/>
  <c r="AL150" i="74" s="1"/>
  <c r="AJ118" i="74"/>
  <c r="AJ150" i="74" s="1"/>
  <c r="AM118" i="74"/>
  <c r="AM150" i="74" s="1"/>
  <c r="W118" i="74"/>
  <c r="W150" i="74" s="1"/>
  <c r="AI118" i="74"/>
  <c r="AI150" i="74" s="1"/>
  <c r="AC118" i="74"/>
  <c r="AC150" i="74" s="1"/>
  <c r="Y118" i="74"/>
  <c r="Y150" i="74" s="1"/>
  <c r="L118" i="74"/>
  <c r="L150" i="74" s="1"/>
  <c r="AK118" i="74"/>
  <c r="AK150" i="74" s="1"/>
  <c r="AD118" i="74"/>
  <c r="AD150" i="74" s="1"/>
  <c r="AN118" i="74"/>
  <c r="AN150" i="74" s="1"/>
  <c r="Z118" i="74"/>
  <c r="Z150" i="74" s="1"/>
  <c r="AF118" i="74"/>
  <c r="AF150" i="74" s="1"/>
  <c r="AG118" i="74"/>
  <c r="AG150" i="74" s="1"/>
  <c r="X118" i="74"/>
  <c r="X150" i="74" s="1"/>
  <c r="U118" i="74"/>
  <c r="U150" i="74" s="1"/>
  <c r="AB118" i="74"/>
  <c r="AB150" i="74" s="1"/>
  <c r="AH118" i="74"/>
  <c r="AH150" i="74" s="1"/>
  <c r="AA118" i="74"/>
  <c r="AA150" i="74" s="1"/>
  <c r="O118" i="74"/>
  <c r="O150" i="74" s="1"/>
  <c r="AP118" i="74"/>
  <c r="AP150" i="74" s="1"/>
  <c r="AO118" i="74"/>
  <c r="AO150" i="74" s="1"/>
  <c r="AE118" i="74"/>
  <c r="AE150" i="74" s="1"/>
  <c r="AL26" i="65"/>
  <c r="AL84" i="65" s="1"/>
  <c r="AL95" i="65" s="1"/>
  <c r="AL51" i="105" s="1"/>
  <c r="AL88" i="105" s="1"/>
  <c r="AL51" i="41"/>
  <c r="AL150" i="41"/>
  <c r="J119" i="74"/>
  <c r="J151" i="74" s="1"/>
  <c r="S119" i="74"/>
  <c r="S151" i="74" s="1"/>
  <c r="K119" i="74"/>
  <c r="K151" i="74" s="1"/>
  <c r="N119" i="74"/>
  <c r="N151" i="74" s="1"/>
  <c r="T119" i="74"/>
  <c r="T151" i="74" s="1"/>
  <c r="M119" i="74"/>
  <c r="M151" i="74" s="1"/>
  <c r="Y25" i="65"/>
  <c r="Y83" i="65" s="1"/>
  <c r="Y94" i="65" s="1"/>
  <c r="Y149" i="41"/>
  <c r="Y50" i="41"/>
  <c r="Z256" i="73"/>
  <c r="Z24" i="41" s="1"/>
  <c r="O256" i="73"/>
  <c r="O24" i="41" s="1"/>
  <c r="K123" i="74"/>
  <c r="K155" i="74" s="1"/>
  <c r="S123" i="74"/>
  <c r="S155" i="74" s="1"/>
  <c r="T123" i="74"/>
  <c r="T155" i="74" s="1"/>
  <c r="N123" i="74"/>
  <c r="N155" i="74" s="1"/>
  <c r="J123" i="74"/>
  <c r="J155" i="74" s="1"/>
  <c r="M123" i="74"/>
  <c r="M155" i="74" s="1"/>
  <c r="AC108" i="65"/>
  <c r="AC64" i="105" s="1"/>
  <c r="AC103" i="105" s="1"/>
  <c r="AC46" i="105"/>
  <c r="AC83" i="105" s="1"/>
  <c r="AC99" i="65"/>
  <c r="AC55" i="105" s="1"/>
  <c r="AC93" i="105" s="1"/>
  <c r="T116" i="74"/>
  <c r="T148" i="74" s="1"/>
  <c r="N116" i="74"/>
  <c r="N148" i="74" s="1"/>
  <c r="K116" i="74"/>
  <c r="K148" i="74" s="1"/>
  <c r="S116" i="74"/>
  <c r="S148" i="74" s="1"/>
  <c r="M116" i="74"/>
  <c r="M148" i="74" s="1"/>
  <c r="J116" i="74"/>
  <c r="J148" i="74" s="1"/>
  <c r="M122" i="74"/>
  <c r="M154" i="74" s="1"/>
  <c r="T122" i="74"/>
  <c r="T154" i="74" s="1"/>
  <c r="K122" i="74"/>
  <c r="K154" i="74" s="1"/>
  <c r="N122" i="74"/>
  <c r="N154" i="74" s="1"/>
  <c r="S122" i="74"/>
  <c r="S154" i="74" s="1"/>
  <c r="J122" i="74"/>
  <c r="J154" i="74" s="1"/>
  <c r="Z109" i="65"/>
  <c r="Z65" i="105" s="1"/>
  <c r="Z100" i="65"/>
  <c r="Z56" i="105" s="1"/>
  <c r="Z47" i="105"/>
  <c r="Z84" i="105" s="1"/>
  <c r="AM51" i="41"/>
  <c r="AM150" i="41"/>
  <c r="AM26" i="65"/>
  <c r="AM84" i="65" s="1"/>
  <c r="AM95" i="65" s="1"/>
  <c r="Z108" i="65"/>
  <c r="Z64" i="105" s="1"/>
  <c r="Z46" i="105"/>
  <c r="Z83" i="105" s="1"/>
  <c r="Z99" i="65"/>
  <c r="Z55" i="105" s="1"/>
  <c r="L51" i="105"/>
  <c r="L88" i="105" s="1"/>
  <c r="L104" i="65"/>
  <c r="L60" i="105" s="1"/>
  <c r="L98" i="105" s="1"/>
  <c r="L113" i="65"/>
  <c r="L69" i="105" s="1"/>
  <c r="L108" i="105" s="1"/>
  <c r="O47" i="105"/>
  <c r="O84" i="105" s="1"/>
  <c r="O100" i="65"/>
  <c r="O56" i="105" s="1"/>
  <c r="O94" i="105" s="1"/>
  <c r="O109" i="65"/>
  <c r="O65" i="105" s="1"/>
  <c r="O104" i="105" s="1"/>
  <c r="T149" i="41"/>
  <c r="T25" i="65"/>
  <c r="T83" i="65" s="1"/>
  <c r="T94" i="65" s="1"/>
  <c r="T50" i="41"/>
  <c r="AN26" i="65"/>
  <c r="AN84" i="65" s="1"/>
  <c r="AN95" i="65" s="1"/>
  <c r="AN51" i="105" s="1"/>
  <c r="AN88" i="105" s="1"/>
  <c r="AN51" i="41"/>
  <c r="AN150" i="41"/>
  <c r="AA46" i="105"/>
  <c r="AA83" i="105" s="1"/>
  <c r="AA108" i="65"/>
  <c r="AA64" i="105" s="1"/>
  <c r="AA99" i="65"/>
  <c r="AA55" i="105" s="1"/>
  <c r="W51" i="105"/>
  <c r="W88" i="105" s="1"/>
  <c r="W113" i="65"/>
  <c r="W69" i="105" s="1"/>
  <c r="AG109" i="65"/>
  <c r="AG65" i="105" s="1"/>
  <c r="AG100" i="65"/>
  <c r="AG56" i="105" s="1"/>
  <c r="AG47" i="105"/>
  <c r="AG84" i="105" s="1"/>
  <c r="P100" i="65"/>
  <c r="P56" i="105" s="1"/>
  <c r="P109" i="65"/>
  <c r="P65" i="105" s="1"/>
  <c r="P47" i="105"/>
  <c r="P84" i="105" s="1"/>
  <c r="AA25" i="65"/>
  <c r="AA83" i="65" s="1"/>
  <c r="AA94" i="65" s="1"/>
  <c r="AA50" i="41"/>
  <c r="AA149" i="41"/>
  <c r="U256" i="73"/>
  <c r="U24" i="41" s="1"/>
  <c r="AM114" i="74"/>
  <c r="AM146" i="74" s="1"/>
  <c r="AJ114" i="74"/>
  <c r="AJ146" i="74" s="1"/>
  <c r="AP114" i="74"/>
  <c r="AP146" i="74" s="1"/>
  <c r="AF114" i="74"/>
  <c r="AF146" i="74" s="1"/>
  <c r="V114" i="74"/>
  <c r="V146" i="74" s="1"/>
  <c r="AA114" i="74"/>
  <c r="AA146" i="74" s="1"/>
  <c r="AD114" i="74"/>
  <c r="AD146" i="74" s="1"/>
  <c r="Z114" i="74"/>
  <c r="Z146" i="74" s="1"/>
  <c r="Y114" i="74"/>
  <c r="Y146" i="74" s="1"/>
  <c r="L114" i="74"/>
  <c r="L146" i="74" s="1"/>
  <c r="AE114" i="74"/>
  <c r="AE146" i="74" s="1"/>
  <c r="O114" i="74"/>
  <c r="O146" i="74" s="1"/>
  <c r="AG114" i="74"/>
  <c r="AG146" i="74" s="1"/>
  <c r="AH114" i="74"/>
  <c r="AH146" i="74" s="1"/>
  <c r="X114" i="74"/>
  <c r="X146" i="74" s="1"/>
  <c r="AI114" i="74"/>
  <c r="AI146" i="74" s="1"/>
  <c r="AB114" i="74"/>
  <c r="AB146" i="74" s="1"/>
  <c r="W114" i="74"/>
  <c r="W146" i="74" s="1"/>
  <c r="AC114" i="74"/>
  <c r="AC146" i="74" s="1"/>
  <c r="AO114" i="74"/>
  <c r="AO146" i="74" s="1"/>
  <c r="AK114" i="74"/>
  <c r="AK146" i="74" s="1"/>
  <c r="AL114" i="74"/>
  <c r="AL146" i="74" s="1"/>
  <c r="U114" i="74"/>
  <c r="U146" i="74" s="1"/>
  <c r="AN114" i="74"/>
  <c r="AN146" i="74" s="1"/>
  <c r="J68" i="41"/>
  <c r="J96" i="41" s="1"/>
  <c r="J45" i="41"/>
  <c r="J20" i="65"/>
  <c r="AC115" i="74"/>
  <c r="AC147" i="74" s="1"/>
  <c r="AH115" i="74"/>
  <c r="AH147" i="74" s="1"/>
  <c r="Y115" i="74"/>
  <c r="Y147" i="74" s="1"/>
  <c r="AA115" i="74"/>
  <c r="AA147" i="74" s="1"/>
  <c r="AJ115" i="74"/>
  <c r="AJ147" i="74" s="1"/>
  <c r="AF115" i="74"/>
  <c r="AF147" i="74" s="1"/>
  <c r="W115" i="74"/>
  <c r="W147" i="74" s="1"/>
  <c r="X115" i="74"/>
  <c r="X147" i="74" s="1"/>
  <c r="AO115" i="74"/>
  <c r="AO147" i="74" s="1"/>
  <c r="AG115" i="74"/>
  <c r="AG147" i="74" s="1"/>
  <c r="AE115" i="74"/>
  <c r="AE147" i="74" s="1"/>
  <c r="AB115" i="74"/>
  <c r="AB147" i="74" s="1"/>
  <c r="AD115" i="74"/>
  <c r="AD147" i="74" s="1"/>
  <c r="AP115" i="74"/>
  <c r="AP147" i="74" s="1"/>
  <c r="AM115" i="74"/>
  <c r="AM147" i="74" s="1"/>
  <c r="AI115" i="74"/>
  <c r="AI147" i="74" s="1"/>
  <c r="O115" i="74"/>
  <c r="O147" i="74" s="1"/>
  <c r="AK115" i="74"/>
  <c r="AK147" i="74" s="1"/>
  <c r="L115" i="74"/>
  <c r="L147" i="74" s="1"/>
  <c r="AN115" i="74"/>
  <c r="AN147" i="74" s="1"/>
  <c r="Z115" i="74"/>
  <c r="Z147" i="74" s="1"/>
  <c r="V115" i="74"/>
  <c r="V147" i="74" s="1"/>
  <c r="AL115" i="74"/>
  <c r="AL147" i="74" s="1"/>
  <c r="U115" i="74"/>
  <c r="U147" i="74" s="1"/>
  <c r="AD45" i="105"/>
  <c r="AD82" i="105" s="1"/>
  <c r="AD107" i="65"/>
  <c r="AD63" i="105" s="1"/>
  <c r="AD102" i="105" s="1"/>
  <c r="R161" i="74"/>
  <c r="R23" i="41" s="1"/>
  <c r="AA256" i="73"/>
  <c r="AA24" i="41" s="1"/>
  <c r="AC51" i="41"/>
  <c r="AC26" i="65"/>
  <c r="AC84" i="65" s="1"/>
  <c r="AC95" i="65" s="1"/>
  <c r="AC150" i="41"/>
  <c r="K256" i="73"/>
  <c r="K24" i="41" s="1"/>
  <c r="AM107" i="65"/>
  <c r="AM45" i="105"/>
  <c r="AM82" i="105" s="1"/>
  <c r="N25" i="65"/>
  <c r="N83" i="65" s="1"/>
  <c r="N94" i="65" s="1"/>
  <c r="N149" i="41"/>
  <c r="N50" i="41"/>
  <c r="Q161" i="74"/>
  <c r="Q23" i="41" s="1"/>
  <c r="X256" i="73"/>
  <c r="X24" i="41" s="1"/>
  <c r="AB122" i="74"/>
  <c r="AB154" i="74" s="1"/>
  <c r="AK122" i="74"/>
  <c r="AK154" i="74" s="1"/>
  <c r="AN122" i="74"/>
  <c r="AN154" i="74" s="1"/>
  <c r="AA122" i="74"/>
  <c r="AA154" i="74" s="1"/>
  <c r="W122" i="74"/>
  <c r="W154" i="74" s="1"/>
  <c r="AI122" i="74"/>
  <c r="AI154" i="74" s="1"/>
  <c r="AJ122" i="74"/>
  <c r="AJ154" i="74" s="1"/>
  <c r="AF122" i="74"/>
  <c r="AF154" i="74" s="1"/>
  <c r="AG122" i="74"/>
  <c r="AG154" i="74" s="1"/>
  <c r="AD122" i="74"/>
  <c r="AD154" i="74" s="1"/>
  <c r="V122" i="74"/>
  <c r="V154" i="74" s="1"/>
  <c r="O122" i="74"/>
  <c r="O154" i="74" s="1"/>
  <c r="AC122" i="74"/>
  <c r="AC154" i="74" s="1"/>
  <c r="AM122" i="74"/>
  <c r="AM154" i="74" s="1"/>
  <c r="Y122" i="74"/>
  <c r="Y154" i="74" s="1"/>
  <c r="AO122" i="74"/>
  <c r="AO154" i="74" s="1"/>
  <c r="L122" i="74"/>
  <c r="L154" i="74" s="1"/>
  <c r="Z122" i="74"/>
  <c r="Z154" i="74" s="1"/>
  <c r="AE122" i="74"/>
  <c r="AE154" i="74" s="1"/>
  <c r="U122" i="74"/>
  <c r="U154" i="74" s="1"/>
  <c r="AH122" i="74"/>
  <c r="AH154" i="74" s="1"/>
  <c r="AP122" i="74"/>
  <c r="AP154" i="74" s="1"/>
  <c r="AL122" i="74"/>
  <c r="AL154" i="74" s="1"/>
  <c r="X122" i="74"/>
  <c r="X154" i="74" s="1"/>
  <c r="T118" i="74"/>
  <c r="T150" i="74" s="1"/>
  <c r="K118" i="74"/>
  <c r="K150" i="74" s="1"/>
  <c r="S118" i="74"/>
  <c r="S150" i="74" s="1"/>
  <c r="M118" i="74"/>
  <c r="M150" i="74" s="1"/>
  <c r="J118" i="74"/>
  <c r="J150" i="74" s="1"/>
  <c r="N118" i="74"/>
  <c r="N150" i="74" s="1"/>
  <c r="AB51" i="105"/>
  <c r="AB88" i="105" s="1"/>
  <c r="AI26" i="65"/>
  <c r="AI84" i="65" s="1"/>
  <c r="AI95" i="65" s="1"/>
  <c r="AI51" i="41"/>
  <c r="AI150" i="41"/>
  <c r="M109" i="65"/>
  <c r="M65" i="105" s="1"/>
  <c r="M47" i="105"/>
  <c r="M84" i="105" s="1"/>
  <c r="M100" i="65"/>
  <c r="M56" i="105" s="1"/>
  <c r="AO45" i="105"/>
  <c r="AO82" i="105" s="1"/>
  <c r="AO107" i="65"/>
  <c r="S113" i="65"/>
  <c r="S69" i="105" s="1"/>
  <c r="S51" i="105"/>
  <c r="S88" i="105" s="1"/>
  <c r="S104" i="65"/>
  <c r="S60" i="105" s="1"/>
  <c r="AO150" i="41"/>
  <c r="AO51" i="41"/>
  <c r="AO26" i="65"/>
  <c r="AO84" i="65" s="1"/>
  <c r="AO95" i="65" s="1"/>
  <c r="AO47" i="105"/>
  <c r="AO84" i="105" s="1"/>
  <c r="AO109" i="65"/>
  <c r="AO65" i="105" s="1"/>
  <c r="K121" i="74"/>
  <c r="K153" i="74" s="1"/>
  <c r="J121" i="74"/>
  <c r="J153" i="74" s="1"/>
  <c r="T121" i="74"/>
  <c r="T153" i="74" s="1"/>
  <c r="S121" i="74"/>
  <c r="S153" i="74" s="1"/>
  <c r="M121" i="74"/>
  <c r="M153" i="74" s="1"/>
  <c r="N121" i="74"/>
  <c r="N153" i="74" s="1"/>
  <c r="AO108" i="65"/>
  <c r="AO64" i="105" s="1"/>
  <c r="AO46" i="105"/>
  <c r="AO83" i="105" s="1"/>
  <c r="W149" i="41"/>
  <c r="W25" i="65"/>
  <c r="W83" i="65" s="1"/>
  <c r="W94" i="65" s="1"/>
  <c r="W50" i="41"/>
  <c r="K25" i="65"/>
  <c r="K83" i="65" s="1"/>
  <c r="K94" i="65" s="1"/>
  <c r="K50" i="41"/>
  <c r="K149" i="41"/>
  <c r="V25" i="65"/>
  <c r="V83" i="65" s="1"/>
  <c r="V94" i="65" s="1"/>
  <c r="V149" i="41"/>
  <c r="V50" i="41"/>
  <c r="J25" i="65"/>
  <c r="J83" i="65" s="1"/>
  <c r="J94" i="65" s="1"/>
  <c r="J149" i="41"/>
  <c r="J50" i="41"/>
  <c r="O149" i="41"/>
  <c r="O50" i="41"/>
  <c r="O25" i="65"/>
  <c r="O83" i="65" s="1"/>
  <c r="O94" i="65" s="1"/>
  <c r="P50" i="41"/>
  <c r="P25" i="65"/>
  <c r="P83" i="65" s="1"/>
  <c r="P94" i="65" s="1"/>
  <c r="P149" i="41"/>
  <c r="J120" i="74"/>
  <c r="J152" i="74" s="1"/>
  <c r="T120" i="74"/>
  <c r="T152" i="74" s="1"/>
  <c r="S120" i="74"/>
  <c r="S152" i="74" s="1"/>
  <c r="K120" i="74"/>
  <c r="K152" i="74" s="1"/>
  <c r="N120" i="74"/>
  <c r="N152" i="74" s="1"/>
  <c r="M120" i="74"/>
  <c r="M152" i="74" s="1"/>
  <c r="AP51" i="41"/>
  <c r="AP150" i="41"/>
  <c r="AP26" i="65"/>
  <c r="AP84" i="65" s="1"/>
  <c r="AP95" i="65" s="1"/>
  <c r="AP51" i="105" s="1"/>
  <c r="AP88" i="105" s="1"/>
  <c r="AG45" i="105"/>
  <c r="AG82" i="105" s="1"/>
  <c r="AG107" i="65"/>
  <c r="AG98" i="65"/>
  <c r="M50" i="41"/>
  <c r="M25" i="65"/>
  <c r="M83" i="65" s="1"/>
  <c r="M94" i="65" s="1"/>
  <c r="M149" i="41"/>
  <c r="M256" i="73"/>
  <c r="M24" i="41" s="1"/>
  <c r="AD51" i="41"/>
  <c r="AD26" i="65"/>
  <c r="AD84" i="65" s="1"/>
  <c r="AD95" i="65" s="1"/>
  <c r="AD150" i="41"/>
  <c r="AA123" i="74"/>
  <c r="AA155" i="74" s="1"/>
  <c r="AC123" i="74"/>
  <c r="AC155" i="74" s="1"/>
  <c r="AM123" i="74"/>
  <c r="AM155" i="74" s="1"/>
  <c r="AO123" i="74"/>
  <c r="AO155" i="74" s="1"/>
  <c r="X123" i="74"/>
  <c r="X155" i="74" s="1"/>
  <c r="Z123" i="74"/>
  <c r="Z155" i="74" s="1"/>
  <c r="AF123" i="74"/>
  <c r="AF155" i="74" s="1"/>
  <c r="O123" i="74"/>
  <c r="O155" i="74" s="1"/>
  <c r="AL123" i="74"/>
  <c r="AL155" i="74" s="1"/>
  <c r="AN123" i="74"/>
  <c r="AN155" i="74" s="1"/>
  <c r="AE123" i="74"/>
  <c r="AE155" i="74" s="1"/>
  <c r="U123" i="74"/>
  <c r="U155" i="74" s="1"/>
  <c r="W123" i="74"/>
  <c r="W155" i="74" s="1"/>
  <c r="Y123" i="74"/>
  <c r="Y155" i="74" s="1"/>
  <c r="L123" i="74"/>
  <c r="L155" i="74" s="1"/>
  <c r="AD123" i="74"/>
  <c r="AD155" i="74" s="1"/>
  <c r="AP123" i="74"/>
  <c r="AP155" i="74" s="1"/>
  <c r="AG123" i="74"/>
  <c r="AG155" i="74" s="1"/>
  <c r="AJ123" i="74"/>
  <c r="AJ155" i="74" s="1"/>
  <c r="AI123" i="74"/>
  <c r="AI155" i="74" s="1"/>
  <c r="AK123" i="74"/>
  <c r="AK155" i="74" s="1"/>
  <c r="V123" i="74"/>
  <c r="V155" i="74" s="1"/>
  <c r="AB123" i="74"/>
  <c r="AB155" i="74" s="1"/>
  <c r="AH123" i="74"/>
  <c r="AH155" i="74" s="1"/>
  <c r="S25" i="65"/>
  <c r="S83" i="65" s="1"/>
  <c r="S94" i="65" s="1"/>
  <c r="S149" i="41"/>
  <c r="S50" i="41"/>
  <c r="R256" i="73"/>
  <c r="R24" i="41" s="1"/>
  <c r="J117" i="74"/>
  <c r="J149" i="74" s="1"/>
  <c r="N117" i="74"/>
  <c r="N149" i="74" s="1"/>
  <c r="M117" i="74"/>
  <c r="M149" i="74" s="1"/>
  <c r="S117" i="74"/>
  <c r="S149" i="74" s="1"/>
  <c r="K117" i="74"/>
  <c r="K149" i="74" s="1"/>
  <c r="T117" i="74"/>
  <c r="T149" i="74" s="1"/>
  <c r="Q149" i="41"/>
  <c r="Q50" i="41"/>
  <c r="Q25" i="65"/>
  <c r="Q83" i="65" s="1"/>
  <c r="Q94" i="65" s="1"/>
  <c r="Q50" i="105" s="1"/>
  <c r="Q87" i="105" s="1"/>
  <c r="R25" i="65"/>
  <c r="R83" i="65" s="1"/>
  <c r="R94" i="65" s="1"/>
  <c r="R50" i="105" s="1"/>
  <c r="R87" i="105" s="1"/>
  <c r="R149" i="41"/>
  <c r="R50" i="41"/>
  <c r="T256" i="73"/>
  <c r="T24" i="41" s="1"/>
  <c r="AC109" i="65"/>
  <c r="AC65" i="105" s="1"/>
  <c r="AC104" i="105" s="1"/>
  <c r="AC47" i="105"/>
  <c r="AC84" i="105" s="1"/>
  <c r="AC100" i="65"/>
  <c r="AC56" i="105" s="1"/>
  <c r="AC94" i="105" s="1"/>
  <c r="AP117" i="74"/>
  <c r="AP149" i="74" s="1"/>
  <c r="AB117" i="74"/>
  <c r="AB149" i="74" s="1"/>
  <c r="V117" i="74"/>
  <c r="V149" i="74" s="1"/>
  <c r="AG117" i="74"/>
  <c r="AG149" i="74" s="1"/>
  <c r="AJ117" i="74"/>
  <c r="AJ149" i="74" s="1"/>
  <c r="U117" i="74"/>
  <c r="U149" i="74" s="1"/>
  <c r="W117" i="74"/>
  <c r="W149" i="74" s="1"/>
  <c r="AK117" i="74"/>
  <c r="AK149" i="74" s="1"/>
  <c r="AM117" i="74"/>
  <c r="AM149" i="74" s="1"/>
  <c r="AF117" i="74"/>
  <c r="AF149" i="74" s="1"/>
  <c r="Y117" i="74"/>
  <c r="Y149" i="74" s="1"/>
  <c r="AO117" i="74"/>
  <c r="AO149" i="74" s="1"/>
  <c r="AN117" i="74"/>
  <c r="AN149" i="74" s="1"/>
  <c r="AI117" i="74"/>
  <c r="AI149" i="74" s="1"/>
  <c r="AH117" i="74"/>
  <c r="AH149" i="74" s="1"/>
  <c r="AC117" i="74"/>
  <c r="AC149" i="74" s="1"/>
  <c r="L117" i="74"/>
  <c r="L149" i="74" s="1"/>
  <c r="Z117" i="74"/>
  <c r="Z149" i="74" s="1"/>
  <c r="AD117" i="74"/>
  <c r="AD149" i="74" s="1"/>
  <c r="AL117" i="74"/>
  <c r="AL149" i="74" s="1"/>
  <c r="AA117" i="74"/>
  <c r="AA149" i="74" s="1"/>
  <c r="O117" i="74"/>
  <c r="O149" i="74" s="1"/>
  <c r="X117" i="74"/>
  <c r="X149" i="74" s="1"/>
  <c r="AE117" i="74"/>
  <c r="AE149" i="74" s="1"/>
  <c r="AE150" i="41"/>
  <c r="AE51" i="41"/>
  <c r="AE26" i="65"/>
  <c r="AE84" i="65" s="1"/>
  <c r="AE95" i="65" s="1"/>
  <c r="AA47" i="105"/>
  <c r="AA84" i="105" s="1"/>
  <c r="AJ121" i="74"/>
  <c r="AJ153" i="74" s="1"/>
  <c r="O121" i="74"/>
  <c r="O153" i="74" s="1"/>
  <c r="AM121" i="74"/>
  <c r="AM153" i="74" s="1"/>
  <c r="AA121" i="74"/>
  <c r="AA153" i="74" s="1"/>
  <c r="W121" i="74"/>
  <c r="W153" i="74" s="1"/>
  <c r="L121" i="74"/>
  <c r="L153" i="74" s="1"/>
  <c r="V121" i="74"/>
  <c r="V153" i="74" s="1"/>
  <c r="AE121" i="74"/>
  <c r="AE153" i="74" s="1"/>
  <c r="AO121" i="74"/>
  <c r="AO153" i="74" s="1"/>
  <c r="AD121" i="74"/>
  <c r="AD153" i="74" s="1"/>
  <c r="AC121" i="74"/>
  <c r="AC153" i="74" s="1"/>
  <c r="AH121" i="74"/>
  <c r="AH153" i="74" s="1"/>
  <c r="AF121" i="74"/>
  <c r="AF153" i="74" s="1"/>
  <c r="Y121" i="74"/>
  <c r="Y153" i="74" s="1"/>
  <c r="AB121" i="74"/>
  <c r="AB153" i="74" s="1"/>
  <c r="U121" i="74"/>
  <c r="U153" i="74" s="1"/>
  <c r="AI121" i="74"/>
  <c r="AI153" i="74" s="1"/>
  <c r="Z121" i="74"/>
  <c r="Z153" i="74" s="1"/>
  <c r="X121" i="74"/>
  <c r="X153" i="74" s="1"/>
  <c r="AN121" i="74"/>
  <c r="AN153" i="74" s="1"/>
  <c r="AL121" i="74"/>
  <c r="AL153" i="74" s="1"/>
  <c r="AG121" i="74"/>
  <c r="AG153" i="74" s="1"/>
  <c r="AP121" i="74"/>
  <c r="AP153" i="74" s="1"/>
  <c r="AK121" i="74"/>
  <c r="AK153" i="74" s="1"/>
  <c r="N115" i="74"/>
  <c r="N147" i="74" s="1"/>
  <c r="J115" i="74"/>
  <c r="J147" i="74" s="1"/>
  <c r="M115" i="74"/>
  <c r="M147" i="74" s="1"/>
  <c r="K115" i="74"/>
  <c r="K147" i="74" s="1"/>
  <c r="T115" i="74"/>
  <c r="T147" i="74" s="1"/>
  <c r="S115" i="74"/>
  <c r="S147" i="74" s="1"/>
  <c r="AI45" i="105"/>
  <c r="AI82" i="105" s="1"/>
  <c r="AI107" i="65"/>
  <c r="AM46" i="105"/>
  <c r="AM83" i="105" s="1"/>
  <c r="AM108" i="65"/>
  <c r="AM64" i="105" s="1"/>
  <c r="AJ150" i="41"/>
  <c r="AJ26" i="65"/>
  <c r="AJ84" i="65" s="1"/>
  <c r="AJ95" i="65" s="1"/>
  <c r="AJ51" i="105" s="1"/>
  <c r="AJ88" i="105" s="1"/>
  <c r="AJ51" i="41"/>
  <c r="H254" i="72" a="1"/>
  <c r="H254" i="72" s="1"/>
  <c r="Y100" i="65" l="1"/>
  <c r="Y56" i="105" s="1"/>
  <c r="Y94" i="105" s="1"/>
  <c r="X103" i="105"/>
  <c r="X178" i="105"/>
  <c r="Y104" i="105"/>
  <c r="Y179" i="105"/>
  <c r="AA93" i="105"/>
  <c r="AA167" i="105"/>
  <c r="AA103" i="105"/>
  <c r="AA178" i="105"/>
  <c r="Z103" i="105"/>
  <c r="Z178" i="105"/>
  <c r="X108" i="105"/>
  <c r="X183" i="105"/>
  <c r="Y103" i="105"/>
  <c r="Y178" i="105"/>
  <c r="Z98" i="105"/>
  <c r="Z172" i="105"/>
  <c r="AA108" i="105"/>
  <c r="AA183" i="105"/>
  <c r="Z94" i="105"/>
  <c r="Z168" i="105"/>
  <c r="Y108" i="105"/>
  <c r="Y183" i="105"/>
  <c r="X98" i="105"/>
  <c r="X172" i="105"/>
  <c r="AA94" i="105"/>
  <c r="AA168" i="105"/>
  <c r="Z93" i="105"/>
  <c r="Z167" i="105"/>
  <c r="Z104" i="105"/>
  <c r="Z179" i="105"/>
  <c r="Y98" i="105"/>
  <c r="Y172" i="105"/>
  <c r="AA98" i="105"/>
  <c r="AA172" i="105"/>
  <c r="X94" i="105"/>
  <c r="X168" i="105"/>
  <c r="AA109" i="65"/>
  <c r="AA65" i="105" s="1"/>
  <c r="Y47" i="105"/>
  <c r="Y84" i="105" s="1"/>
  <c r="AM109" i="65"/>
  <c r="AM65" i="105" s="1"/>
  <c r="Z113" i="65"/>
  <c r="Z69" i="105" s="1"/>
  <c r="O104" i="65"/>
  <c r="O60" i="105" s="1"/>
  <c r="O98" i="105" s="1"/>
  <c r="AB104" i="65"/>
  <c r="AB60" i="105" s="1"/>
  <c r="AB172" i="105" s="1"/>
  <c r="Z51" i="105"/>
  <c r="Z88" i="105" s="1"/>
  <c r="AE46" i="105"/>
  <c r="AE83" i="105" s="1"/>
  <c r="M104" i="65"/>
  <c r="M60" i="105" s="1"/>
  <c r="M172" i="105" s="1"/>
  <c r="O51" i="105"/>
  <c r="O88" i="105" s="1"/>
  <c r="AD47" i="105"/>
  <c r="AD84" i="105" s="1"/>
  <c r="T113" i="65"/>
  <c r="T69" i="105" s="1"/>
  <c r="T108" i="105" s="1"/>
  <c r="U51" i="105"/>
  <c r="U88" i="105" s="1"/>
  <c r="AE99" i="65"/>
  <c r="AE55" i="105" s="1"/>
  <c r="AE167" i="105" s="1"/>
  <c r="M51" i="105"/>
  <c r="M88" i="105" s="1"/>
  <c r="K47" i="105"/>
  <c r="K84" i="105" s="1"/>
  <c r="L100" i="65"/>
  <c r="L56" i="105" s="1"/>
  <c r="L94" i="105" s="1"/>
  <c r="P148" i="41"/>
  <c r="X99" i="65"/>
  <c r="X55" i="105" s="1"/>
  <c r="AI46" i="105"/>
  <c r="AI83" i="105" s="1"/>
  <c r="L46" i="105"/>
  <c r="L83" i="105" s="1"/>
  <c r="AD108" i="65"/>
  <c r="AD64" i="105" s="1"/>
  <c r="AD103" i="105" s="1"/>
  <c r="AK45" i="105"/>
  <c r="AK82" i="105" s="1"/>
  <c r="AG99" i="65"/>
  <c r="AG55" i="105" s="1"/>
  <c r="AG93" i="105" s="1"/>
  <c r="L108" i="65"/>
  <c r="L64" i="105" s="1"/>
  <c r="L103" i="105" s="1"/>
  <c r="AG108" i="65"/>
  <c r="AG64" i="105" s="1"/>
  <c r="AG103" i="105" s="1"/>
  <c r="J100" i="65"/>
  <c r="J56" i="105" s="1"/>
  <c r="J94" i="105" s="1"/>
  <c r="AK109" i="65"/>
  <c r="AK65" i="105" s="1"/>
  <c r="AK179" i="105" s="1"/>
  <c r="J104" i="65"/>
  <c r="J60" i="105" s="1"/>
  <c r="J98" i="105" s="1"/>
  <c r="AE47" i="105"/>
  <c r="AE84" i="105" s="1"/>
  <c r="N47" i="105"/>
  <c r="N84" i="105" s="1"/>
  <c r="X109" i="65"/>
  <c r="X65" i="105" s="1"/>
  <c r="AC107" i="65"/>
  <c r="AC63" i="105" s="1"/>
  <c r="AC102" i="105" s="1"/>
  <c r="V51" i="105"/>
  <c r="V88" i="105" s="1"/>
  <c r="N24" i="65"/>
  <c r="N82" i="65" s="1"/>
  <c r="N93" i="65" s="1"/>
  <c r="N102" i="65" s="1"/>
  <c r="N58" i="105" s="1"/>
  <c r="K100" i="65"/>
  <c r="K56" i="105" s="1"/>
  <c r="K94" i="105" s="1"/>
  <c r="X47" i="105"/>
  <c r="X84" i="105" s="1"/>
  <c r="N100" i="65"/>
  <c r="N56" i="105" s="1"/>
  <c r="N168" i="105" s="1"/>
  <c r="L109" i="65"/>
  <c r="L65" i="105" s="1"/>
  <c r="L104" i="105" s="1"/>
  <c r="AC98" i="65"/>
  <c r="AC54" i="105" s="1"/>
  <c r="AC92" i="105" s="1"/>
  <c r="N49" i="41"/>
  <c r="K51" i="105"/>
  <c r="K88" i="105" s="1"/>
  <c r="AE100" i="65"/>
  <c r="AE56" i="105" s="1"/>
  <c r="AE94" i="105" s="1"/>
  <c r="K113" i="65"/>
  <c r="K69" i="105" s="1"/>
  <c r="K183" i="105" s="1"/>
  <c r="M108" i="65"/>
  <c r="M64" i="105" s="1"/>
  <c r="M103" i="105" s="1"/>
  <c r="J109" i="65"/>
  <c r="J65" i="105" s="1"/>
  <c r="J104" i="105" s="1"/>
  <c r="J51" i="105"/>
  <c r="J88" i="105" s="1"/>
  <c r="P24" i="65"/>
  <c r="P82" i="65" s="1"/>
  <c r="P93" i="65" s="1"/>
  <c r="P111" i="65" s="1"/>
  <c r="P67" i="105" s="1"/>
  <c r="X46" i="105"/>
  <c r="X83" i="105" s="1"/>
  <c r="H284" i="83"/>
  <c r="H286" i="83" s="1"/>
  <c r="AI47" i="105"/>
  <c r="AI84" i="105" s="1"/>
  <c r="AK108" i="65"/>
  <c r="AK64" i="105" s="1"/>
  <c r="AK103" i="105" s="1"/>
  <c r="M46" i="105"/>
  <c r="M83" i="105" s="1"/>
  <c r="T104" i="65"/>
  <c r="T60" i="105" s="1"/>
  <c r="T172" i="105" s="1"/>
  <c r="U104" i="65"/>
  <c r="U60" i="105" s="1"/>
  <c r="U172" i="105" s="1"/>
  <c r="H279" i="83"/>
  <c r="H281" i="83" s="1"/>
  <c r="H46" i="41"/>
  <c r="Y46" i="105"/>
  <c r="Y83" i="105" s="1"/>
  <c r="Y99" i="65"/>
  <c r="Y55" i="105" s="1"/>
  <c r="O108" i="65"/>
  <c r="O64" i="105" s="1"/>
  <c r="O103" i="105" s="1"/>
  <c r="J46" i="105"/>
  <c r="J83" i="105" s="1"/>
  <c r="H47" i="41"/>
  <c r="J99" i="65"/>
  <c r="J55" i="105" s="1"/>
  <c r="J93" i="105" s="1"/>
  <c r="P51" i="105"/>
  <c r="P88" i="105" s="1"/>
  <c r="O46" i="105"/>
  <c r="O83" i="105" s="1"/>
  <c r="P113" i="65"/>
  <c r="P69" i="105" s="1"/>
  <c r="P108" i="105" s="1"/>
  <c r="V49" i="41"/>
  <c r="W49" i="41"/>
  <c r="T103" i="41"/>
  <c r="W148" i="41"/>
  <c r="AZ103" i="41"/>
  <c r="AV103" i="41"/>
  <c r="CI103" i="41"/>
  <c r="W103" i="41"/>
  <c r="CX103" i="41"/>
  <c r="DB103" i="41"/>
  <c r="BD103" i="41"/>
  <c r="Y103" i="41"/>
  <c r="V148" i="41"/>
  <c r="J48" i="55"/>
  <c r="BB103" i="41"/>
  <c r="BZ103" i="41"/>
  <c r="AT103" i="41"/>
  <c r="AR103" i="41"/>
  <c r="CT103" i="41"/>
  <c r="BN103" i="41"/>
  <c r="BJ103" i="41"/>
  <c r="BE103" i="41"/>
  <c r="BM103" i="41"/>
  <c r="AE103" i="41"/>
  <c r="BC103" i="41"/>
  <c r="BF103" i="41"/>
  <c r="AN103" i="41"/>
  <c r="N103" i="41"/>
  <c r="BI103" i="41"/>
  <c r="AK103" i="41"/>
  <c r="S103" i="41"/>
  <c r="X103" i="41"/>
  <c r="AB103" i="41"/>
  <c r="CV103" i="41"/>
  <c r="CD103" i="41"/>
  <c r="CF103" i="41"/>
  <c r="CC103" i="41"/>
  <c r="CL103" i="41"/>
  <c r="CA103" i="41"/>
  <c r="BX103" i="41"/>
  <c r="BY103" i="41"/>
  <c r="CW103" i="41"/>
  <c r="CN103" i="41"/>
  <c r="AA103" i="41"/>
  <c r="CZ103" i="41"/>
  <c r="BU103" i="41"/>
  <c r="CU103" i="41"/>
  <c r="BA103" i="41"/>
  <c r="AG103" i="41"/>
  <c r="AL103" i="41"/>
  <c r="BO103" i="41"/>
  <c r="AU103" i="41"/>
  <c r="AQ103" i="41"/>
  <c r="AY103" i="41"/>
  <c r="CK103" i="41"/>
  <c r="BR103" i="41"/>
  <c r="BK103" i="41"/>
  <c r="DA103" i="41"/>
  <c r="AF103" i="41"/>
  <c r="P103" i="41"/>
  <c r="AS103" i="41"/>
  <c r="CP103" i="41"/>
  <c r="AO103" i="41"/>
  <c r="O103" i="41"/>
  <c r="AO161" i="74"/>
  <c r="AO23" i="41" s="1"/>
  <c r="AO48" i="41" s="1"/>
  <c r="AO52" i="41" s="1"/>
  <c r="AC103" i="41"/>
  <c r="H51" i="41"/>
  <c r="J49" i="55"/>
  <c r="A4" i="72"/>
  <c r="AM103" i="105"/>
  <c r="AM178" i="105"/>
  <c r="T49" i="41"/>
  <c r="T24" i="65"/>
  <c r="T82" i="65" s="1"/>
  <c r="T93" i="65" s="1"/>
  <c r="T148" i="41"/>
  <c r="S103" i="65"/>
  <c r="S59" i="105" s="1"/>
  <c r="S112" i="65"/>
  <c r="S68" i="105" s="1"/>
  <c r="S50" i="105"/>
  <c r="S87" i="105" s="1"/>
  <c r="N104" i="105"/>
  <c r="N179" i="105"/>
  <c r="K104" i="105"/>
  <c r="K179" i="105"/>
  <c r="O112" i="65"/>
  <c r="O68" i="105" s="1"/>
  <c r="O107" i="105" s="1"/>
  <c r="O103" i="65"/>
  <c r="O59" i="105" s="1"/>
  <c r="O97" i="105" s="1"/>
  <c r="O50" i="105"/>
  <c r="O87" i="105" s="1"/>
  <c r="K103" i="65"/>
  <c r="K59" i="105" s="1"/>
  <c r="K112" i="65"/>
  <c r="K68" i="105" s="1"/>
  <c r="K50" i="105"/>
  <c r="K87" i="105" s="1"/>
  <c r="AO104" i="105"/>
  <c r="AO179" i="105"/>
  <c r="M94" i="105"/>
  <c r="M168" i="105"/>
  <c r="P172" i="105"/>
  <c r="P98" i="105"/>
  <c r="AM63" i="105"/>
  <c r="AA24" i="65"/>
  <c r="AA82" i="65" s="1"/>
  <c r="AA93" i="65" s="1"/>
  <c r="AA49" i="41"/>
  <c r="AA148" i="41"/>
  <c r="J103" i="41"/>
  <c r="R103" i="41"/>
  <c r="AE93" i="105"/>
  <c r="AL161" i="74"/>
  <c r="AL23" i="41" s="1"/>
  <c r="W161" i="74"/>
  <c r="W23" i="41" s="1"/>
  <c r="AH161" i="74"/>
  <c r="AH23" i="41" s="1"/>
  <c r="L161" i="74"/>
  <c r="L23" i="41" s="1"/>
  <c r="AA161" i="74"/>
  <c r="AA23" i="41" s="1"/>
  <c r="AJ161" i="74"/>
  <c r="AJ23" i="41" s="1"/>
  <c r="P94" i="105"/>
  <c r="P168" i="105"/>
  <c r="V183" i="105"/>
  <c r="V108" i="105"/>
  <c r="AP103" i="41"/>
  <c r="CB103" i="41"/>
  <c r="CO103" i="41"/>
  <c r="CQ103" i="41"/>
  <c r="O49" i="41"/>
  <c r="O148" i="41"/>
  <c r="O24" i="65"/>
  <c r="O82" i="65" s="1"/>
  <c r="O93" i="65" s="1"/>
  <c r="Y103" i="65"/>
  <c r="Y59" i="105" s="1"/>
  <c r="Y112" i="65"/>
  <c r="Y68" i="105" s="1"/>
  <c r="Y50" i="105"/>
  <c r="Y87" i="105" s="1"/>
  <c r="U108" i="105"/>
  <c r="U183" i="105"/>
  <c r="CJ103" i="41"/>
  <c r="BL103" i="41"/>
  <c r="J49" i="41"/>
  <c r="J24" i="65"/>
  <c r="J82" i="65" s="1"/>
  <c r="J93" i="65" s="1"/>
  <c r="J148" i="41"/>
  <c r="AE179" i="105"/>
  <c r="AE104" i="105"/>
  <c r="BW103" i="41"/>
  <c r="BS103" i="41"/>
  <c r="AK63" i="105"/>
  <c r="BQ103" i="41"/>
  <c r="BV103" i="41"/>
  <c r="P147" i="41"/>
  <c r="P48" i="41"/>
  <c r="P52" i="41" s="1"/>
  <c r="P23" i="65"/>
  <c r="P81" i="65" s="1"/>
  <c r="P92" i="65" s="1"/>
  <c r="W49" i="105"/>
  <c r="W86" i="105" s="1"/>
  <c r="W111" i="65"/>
  <c r="W67" i="105" s="1"/>
  <c r="AG63" i="105"/>
  <c r="P50" i="105"/>
  <c r="P87" i="105" s="1"/>
  <c r="P112" i="65"/>
  <c r="P68" i="105" s="1"/>
  <c r="P103" i="65"/>
  <c r="P59" i="105" s="1"/>
  <c r="AO178" i="105"/>
  <c r="AO103" i="105"/>
  <c r="AO51" i="105"/>
  <c r="AO88" i="105" s="1"/>
  <c r="AO113" i="65"/>
  <c r="AO69" i="105" s="1"/>
  <c r="M179" i="105"/>
  <c r="M104" i="105"/>
  <c r="Q147" i="41"/>
  <c r="Q48" i="41"/>
  <c r="Q23" i="65"/>
  <c r="Q81" i="65" s="1"/>
  <c r="Q92" i="65" s="1"/>
  <c r="Q48" i="105" s="1"/>
  <c r="Q85" i="105" s="1"/>
  <c r="AE103" i="105"/>
  <c r="AE178" i="105"/>
  <c r="O161" i="74"/>
  <c r="O23" i="41" s="1"/>
  <c r="Z161" i="74"/>
  <c r="Z23" i="41" s="1"/>
  <c r="U148" i="41"/>
  <c r="U49" i="41"/>
  <c r="U24" i="65"/>
  <c r="U82" i="65" s="1"/>
  <c r="U93" i="65" s="1"/>
  <c r="AA112" i="65"/>
  <c r="AA68" i="105" s="1"/>
  <c r="AA103" i="65"/>
  <c r="AA59" i="105" s="1"/>
  <c r="AA50" i="105"/>
  <c r="AA87" i="105" s="1"/>
  <c r="T50" i="105"/>
  <c r="T87" i="105" s="1"/>
  <c r="T103" i="65"/>
  <c r="T59" i="105" s="1"/>
  <c r="T112" i="65"/>
  <c r="T68" i="105" s="1"/>
  <c r="X112" i="65"/>
  <c r="X68" i="105" s="1"/>
  <c r="X50" i="105"/>
  <c r="X87" i="105" s="1"/>
  <c r="X103" i="65"/>
  <c r="X59" i="105" s="1"/>
  <c r="L112" i="65"/>
  <c r="L68" i="105" s="1"/>
  <c r="L107" i="105" s="1"/>
  <c r="L103" i="65"/>
  <c r="L59" i="105" s="1"/>
  <c r="L97" i="105" s="1"/>
  <c r="L50" i="105"/>
  <c r="L87" i="105" s="1"/>
  <c r="Y49" i="41"/>
  <c r="Y148" i="41"/>
  <c r="Y24" i="65"/>
  <c r="Y82" i="65" s="1"/>
  <c r="Y93" i="65" s="1"/>
  <c r="AE54" i="105"/>
  <c r="AK51" i="105"/>
  <c r="AK88" i="105" s="1"/>
  <c r="AK113" i="65"/>
  <c r="AK69" i="105" s="1"/>
  <c r="AM179" i="105"/>
  <c r="AM104" i="105"/>
  <c r="AI63" i="105"/>
  <c r="M98" i="105"/>
  <c r="AE51" i="105"/>
  <c r="AE88" i="105" s="1"/>
  <c r="AE113" i="65"/>
  <c r="AE69" i="105" s="1"/>
  <c r="AE104" i="65"/>
  <c r="AE60" i="105" s="1"/>
  <c r="M108" i="105"/>
  <c r="M183" i="105"/>
  <c r="R49" i="41"/>
  <c r="R148" i="41"/>
  <c r="R24" i="65"/>
  <c r="R82" i="65" s="1"/>
  <c r="R93" i="65" s="1"/>
  <c r="R49" i="105" s="1"/>
  <c r="R86" i="105" s="1"/>
  <c r="AD51" i="105"/>
  <c r="AD88" i="105" s="1"/>
  <c r="AD113" i="65"/>
  <c r="AD69" i="105" s="1"/>
  <c r="AD108" i="105" s="1"/>
  <c r="AI104" i="105"/>
  <c r="AI179" i="105"/>
  <c r="M49" i="41"/>
  <c r="M148" i="41"/>
  <c r="M24" i="65"/>
  <c r="M82" i="65" s="1"/>
  <c r="M93" i="65" s="1"/>
  <c r="AG54" i="105"/>
  <c r="J103" i="65"/>
  <c r="J59" i="105" s="1"/>
  <c r="J112" i="65"/>
  <c r="J68" i="105" s="1"/>
  <c r="J50" i="105"/>
  <c r="J87" i="105" s="1"/>
  <c r="V112" i="65"/>
  <c r="V68" i="105" s="1"/>
  <c r="V50" i="105"/>
  <c r="V87" i="105" s="1"/>
  <c r="S172" i="105"/>
  <c r="S98" i="105"/>
  <c r="AO63" i="105"/>
  <c r="AI113" i="65"/>
  <c r="AI69" i="105" s="1"/>
  <c r="AI51" i="105"/>
  <c r="AI88" i="105" s="1"/>
  <c r="AB108" i="105"/>
  <c r="AB183" i="105"/>
  <c r="X24" i="65"/>
  <c r="X82" i="65" s="1"/>
  <c r="X93" i="65" s="1"/>
  <c r="X148" i="41"/>
  <c r="X49" i="41"/>
  <c r="N112" i="65"/>
  <c r="N68" i="105" s="1"/>
  <c r="N50" i="105"/>
  <c r="N87" i="105" s="1"/>
  <c r="N103" i="65"/>
  <c r="N59" i="105" s="1"/>
  <c r="AC113" i="65"/>
  <c r="AC69" i="105" s="1"/>
  <c r="AC108" i="105" s="1"/>
  <c r="AC104" i="65"/>
  <c r="AC60" i="105" s="1"/>
  <c r="AC98" i="105" s="1"/>
  <c r="AC51" i="105"/>
  <c r="AC88" i="105" s="1"/>
  <c r="R147" i="41"/>
  <c r="R23" i="65"/>
  <c r="R81" i="65" s="1"/>
  <c r="R92" i="65" s="1"/>
  <c r="R48" i="105" s="1"/>
  <c r="R85" i="105" s="1"/>
  <c r="R48" i="41"/>
  <c r="AK161" i="74"/>
  <c r="AK23" i="41" s="1"/>
  <c r="AB161" i="74"/>
  <c r="AB23" i="41" s="1"/>
  <c r="AG161" i="74"/>
  <c r="AG23" i="41" s="1"/>
  <c r="Y161" i="74"/>
  <c r="Y23" i="41" s="1"/>
  <c r="V161" i="74"/>
  <c r="V23" i="41" s="1"/>
  <c r="AM161" i="74"/>
  <c r="AM23" i="41" s="1"/>
  <c r="V49" i="105"/>
  <c r="V86" i="105" s="1"/>
  <c r="V111" i="65"/>
  <c r="V67" i="105" s="1"/>
  <c r="AG168" i="105"/>
  <c r="AG94" i="105"/>
  <c r="W183" i="105"/>
  <c r="W108" i="105"/>
  <c r="CS103" i="41"/>
  <c r="CE103" i="41"/>
  <c r="AM113" i="65"/>
  <c r="AM69" i="105" s="1"/>
  <c r="AM51" i="105"/>
  <c r="AM88" i="105" s="1"/>
  <c r="U103" i="41"/>
  <c r="V103" i="41"/>
  <c r="Z148" i="41"/>
  <c r="Z49" i="41"/>
  <c r="Z24" i="65"/>
  <c r="Z82" i="65" s="1"/>
  <c r="Z93" i="65" s="1"/>
  <c r="U112" i="65"/>
  <c r="U68" i="105" s="1"/>
  <c r="U103" i="65"/>
  <c r="U59" i="105" s="1"/>
  <c r="U50" i="105"/>
  <c r="U87" i="105" s="1"/>
  <c r="AX103" i="41"/>
  <c r="BH103" i="41"/>
  <c r="L24" i="65"/>
  <c r="L82" i="65" s="1"/>
  <c r="L93" i="65" s="1"/>
  <c r="L49" i="41"/>
  <c r="L148" i="41"/>
  <c r="AI103" i="41"/>
  <c r="N172" i="105"/>
  <c r="N98" i="105"/>
  <c r="AB50" i="105"/>
  <c r="AB87" i="105" s="1"/>
  <c r="AB103" i="65"/>
  <c r="AB59" i="105" s="1"/>
  <c r="AB112" i="65"/>
  <c r="AB68" i="105" s="1"/>
  <c r="K172" i="105"/>
  <c r="K98" i="105"/>
  <c r="CY103" i="41"/>
  <c r="M167" i="105"/>
  <c r="M93" i="105"/>
  <c r="CG103" i="41"/>
  <c r="AW103" i="41"/>
  <c r="Q103" i="41"/>
  <c r="W50" i="105"/>
  <c r="W87" i="105" s="1"/>
  <c r="W112" i="65"/>
  <c r="W68" i="105" s="1"/>
  <c r="AN161" i="74"/>
  <c r="AN23" i="41" s="1"/>
  <c r="AI161" i="74"/>
  <c r="AI23" i="41" s="1"/>
  <c r="AF161" i="74"/>
  <c r="AF23" i="41" s="1"/>
  <c r="AG104" i="105"/>
  <c r="AG179" i="105"/>
  <c r="H291" i="73" a="1"/>
  <c r="H291" i="73" s="1"/>
  <c r="H295" i="73" s="1"/>
  <c r="J103" i="105"/>
  <c r="J178" i="105"/>
  <c r="M103" i="65"/>
  <c r="M59" i="105" s="1"/>
  <c r="M50" i="105"/>
  <c r="M87" i="105" s="1"/>
  <c r="M112" i="65"/>
  <c r="M68" i="105" s="1"/>
  <c r="H50" i="41"/>
  <c r="S183" i="105"/>
  <c r="S108" i="105"/>
  <c r="J108" i="105"/>
  <c r="J183" i="105"/>
  <c r="AB98" i="105"/>
  <c r="K49" i="41"/>
  <c r="K148" i="41"/>
  <c r="K24" i="65"/>
  <c r="K82" i="65" s="1"/>
  <c r="K93" i="65" s="1"/>
  <c r="H45" i="41"/>
  <c r="U161" i="74"/>
  <c r="U23" i="41" s="1"/>
  <c r="AC161" i="74"/>
  <c r="AC23" i="41" s="1"/>
  <c r="X161" i="74"/>
  <c r="X23" i="41" s="1"/>
  <c r="AE161" i="74"/>
  <c r="AE23" i="41" s="1"/>
  <c r="AD161" i="74"/>
  <c r="AD23" i="41" s="1"/>
  <c r="AP161" i="74"/>
  <c r="AP23" i="41" s="1"/>
  <c r="P179" i="105"/>
  <c r="P104" i="105"/>
  <c r="DD103" i="41"/>
  <c r="BP103" i="41"/>
  <c r="BT103" i="41"/>
  <c r="K103" i="41"/>
  <c r="AH103" i="41"/>
  <c r="CH103" i="41"/>
  <c r="M103" i="41"/>
  <c r="AD103" i="41"/>
  <c r="S148" i="41"/>
  <c r="S24" i="65"/>
  <c r="S82" i="65" s="1"/>
  <c r="S93" i="65" s="1"/>
  <c r="S49" i="41"/>
  <c r="AB49" i="41"/>
  <c r="AB148" i="41"/>
  <c r="AB24" i="65"/>
  <c r="AB82" i="65" s="1"/>
  <c r="AB93" i="65" s="1"/>
  <c r="Z103" i="41"/>
  <c r="AG113" i="65"/>
  <c r="AG69" i="105" s="1"/>
  <c r="AG51" i="105"/>
  <c r="AG88" i="105" s="1"/>
  <c r="AG104" i="65"/>
  <c r="AG60" i="105" s="1"/>
  <c r="CM103" i="41"/>
  <c r="CR103" i="41"/>
  <c r="Q148" i="41"/>
  <c r="Q49" i="41"/>
  <c r="Q24" i="65"/>
  <c r="Q82" i="65" s="1"/>
  <c r="Q93" i="65" s="1"/>
  <c r="Q49" i="105" s="1"/>
  <c r="Q86" i="105" s="1"/>
  <c r="AM103" i="41"/>
  <c r="BG103" i="41"/>
  <c r="N183" i="105"/>
  <c r="N108" i="105"/>
  <c r="Z112" i="65"/>
  <c r="Z68" i="105" s="1"/>
  <c r="Z50" i="105"/>
  <c r="Z87" i="105" s="1"/>
  <c r="Z103" i="65"/>
  <c r="Z59" i="105" s="1"/>
  <c r="AI103" i="105"/>
  <c r="AI178" i="105"/>
  <c r="AE102" i="105"/>
  <c r="AE177" i="105"/>
  <c r="DC103" i="41"/>
  <c r="L103" i="41"/>
  <c r="AJ103" i="41"/>
  <c r="M114" i="74"/>
  <c r="M146" i="74" s="1"/>
  <c r="M161" i="74" s="1"/>
  <c r="M23" i="41" s="1"/>
  <c r="S114" i="74"/>
  <c r="S146" i="74" s="1"/>
  <c r="S161" i="74" s="1"/>
  <c r="S23" i="41" s="1"/>
  <c r="J114" i="74"/>
  <c r="T114" i="74"/>
  <c r="T146" i="74" s="1"/>
  <c r="T161" i="74" s="1"/>
  <c r="T23" i="41" s="1"/>
  <c r="N114" i="74"/>
  <c r="N146" i="74" s="1"/>
  <c r="N161" i="74" s="1"/>
  <c r="N23" i="41" s="1"/>
  <c r="K114" i="74"/>
  <c r="K146" i="74" s="1"/>
  <c r="K161" i="74" s="1"/>
  <c r="K23" i="41" s="1"/>
  <c r="Y168" i="105" l="1"/>
  <c r="X97" i="105"/>
  <c r="X171" i="105"/>
  <c r="AA107" i="105"/>
  <c r="AA182" i="105"/>
  <c r="Z107" i="105"/>
  <c r="Z182" i="105"/>
  <c r="Y107" i="105"/>
  <c r="Y182" i="105"/>
  <c r="AA104" i="105"/>
  <c r="AA179" i="105"/>
  <c r="X107" i="105"/>
  <c r="X182" i="105"/>
  <c r="Y97" i="105"/>
  <c r="Y171" i="105"/>
  <c r="X104" i="105"/>
  <c r="X179" i="105"/>
  <c r="Z108" i="105"/>
  <c r="Z183" i="105"/>
  <c r="Z97" i="105"/>
  <c r="Z171" i="105"/>
  <c r="AA97" i="105"/>
  <c r="AA171" i="105"/>
  <c r="Y93" i="105"/>
  <c r="Y167" i="105"/>
  <c r="X93" i="105"/>
  <c r="X167" i="105"/>
  <c r="T183" i="105"/>
  <c r="K168" i="105"/>
  <c r="AK104" i="105"/>
  <c r="AG167" i="105"/>
  <c r="P102" i="65"/>
  <c r="P58" i="105" s="1"/>
  <c r="P96" i="105" s="1"/>
  <c r="AE168" i="105"/>
  <c r="N49" i="105"/>
  <c r="N86" i="105" s="1"/>
  <c r="J167" i="105"/>
  <c r="J168" i="105"/>
  <c r="U98" i="105"/>
  <c r="N111" i="65"/>
  <c r="N67" i="105" s="1"/>
  <c r="N106" i="105" s="1"/>
  <c r="J172" i="105"/>
  <c r="AG178" i="105"/>
  <c r="N94" i="105"/>
  <c r="K108" i="105"/>
  <c r="M178" i="105"/>
  <c r="P49" i="105"/>
  <c r="P86" i="105" s="1"/>
  <c r="AK178" i="105"/>
  <c r="H294" i="83"/>
  <c r="A4" i="83" s="1"/>
  <c r="J179" i="105"/>
  <c r="T98" i="105"/>
  <c r="AO147" i="41"/>
  <c r="AO23" i="65"/>
  <c r="AO81" i="65" s="1"/>
  <c r="AO92" i="65" s="1"/>
  <c r="AO110" i="65" s="1"/>
  <c r="P183" i="105"/>
  <c r="R52" i="41"/>
  <c r="L104" i="41"/>
  <c r="AR104" i="41"/>
  <c r="BJ104" i="41"/>
  <c r="H88" i="105"/>
  <c r="DD104" i="41"/>
  <c r="AL104" i="41"/>
  <c r="T23" i="65"/>
  <c r="T81" i="65" s="1"/>
  <c r="T92" i="65" s="1"/>
  <c r="T147" i="41"/>
  <c r="T48" i="41"/>
  <c r="T52" i="41" s="1"/>
  <c r="AJ104" i="41"/>
  <c r="AG98" i="105"/>
  <c r="AG172" i="105"/>
  <c r="AB102" i="65"/>
  <c r="AB58" i="105" s="1"/>
  <c r="AB111" i="65"/>
  <c r="AB67" i="105" s="1"/>
  <c r="AB49" i="105"/>
  <c r="AB86" i="105" s="1"/>
  <c r="S49" i="105"/>
  <c r="S86" i="105" s="1"/>
  <c r="S111" i="65"/>
  <c r="S67" i="105" s="1"/>
  <c r="S102" i="65"/>
  <c r="S58" i="105" s="1"/>
  <c r="CH104" i="41"/>
  <c r="BP104" i="41"/>
  <c r="AP23" i="65"/>
  <c r="AP81" i="65" s="1"/>
  <c r="AP92" i="65" s="1"/>
  <c r="AP48" i="105" s="1"/>
  <c r="AP85" i="105" s="1"/>
  <c r="AP89" i="105" s="1"/>
  <c r="AP158" i="105" s="1"/>
  <c r="AP147" i="41"/>
  <c r="AP48" i="41"/>
  <c r="AP52" i="41" s="1"/>
  <c r="AC147" i="41"/>
  <c r="AC48" i="41"/>
  <c r="AC52" i="41" s="1"/>
  <c r="AC23" i="65"/>
  <c r="AC81" i="65" s="1"/>
  <c r="AC92" i="65" s="1"/>
  <c r="BC104" i="41"/>
  <c r="CD104" i="41"/>
  <c r="M107" i="105"/>
  <c r="M182" i="105"/>
  <c r="AF147" i="41"/>
  <c r="AF23" i="65"/>
  <c r="AF81" i="65" s="1"/>
  <c r="AF92" i="65" s="1"/>
  <c r="AF48" i="105" s="1"/>
  <c r="AF85" i="105" s="1"/>
  <c r="AF89" i="105" s="1"/>
  <c r="AF158" i="105" s="1"/>
  <c r="AF48" i="41"/>
  <c r="AF52" i="41" s="1"/>
  <c r="CL104" i="41"/>
  <c r="BM104" i="41"/>
  <c r="X104" i="41"/>
  <c r="CG104" i="41"/>
  <c r="CY104" i="41"/>
  <c r="AB171" i="105"/>
  <c r="AB97" i="105"/>
  <c r="AI104" i="41"/>
  <c r="BH104" i="41"/>
  <c r="U107" i="105"/>
  <c r="U182" i="105"/>
  <c r="V104" i="41"/>
  <c r="CE104" i="41"/>
  <c r="AO104" i="41"/>
  <c r="V48" i="41"/>
  <c r="V52" i="41" s="1"/>
  <c r="V147" i="41"/>
  <c r="V23" i="65"/>
  <c r="V81" i="65" s="1"/>
  <c r="V92" i="65" s="1"/>
  <c r="AK147" i="41"/>
  <c r="AK48" i="41"/>
  <c r="AK52" i="41" s="1"/>
  <c r="AK23" i="65"/>
  <c r="AK81" i="65" s="1"/>
  <c r="AK92" i="65" s="1"/>
  <c r="BI104" i="41"/>
  <c r="X102" i="65"/>
  <c r="X58" i="105" s="1"/>
  <c r="X49" i="105"/>
  <c r="X86" i="105" s="1"/>
  <c r="X111" i="65"/>
  <c r="X67" i="105" s="1"/>
  <c r="V107" i="105"/>
  <c r="V182" i="105"/>
  <c r="BE104" i="41"/>
  <c r="BB104" i="41"/>
  <c r="CW104" i="41"/>
  <c r="AE166" i="105"/>
  <c r="AE92" i="105"/>
  <c r="BR104" i="41"/>
  <c r="AY104" i="41"/>
  <c r="AF104" i="41"/>
  <c r="P106" i="105"/>
  <c r="P181" i="105"/>
  <c r="O104" i="41"/>
  <c r="U111" i="65"/>
  <c r="U67" i="105" s="1"/>
  <c r="U102" i="65"/>
  <c r="U58" i="105" s="1"/>
  <c r="U49" i="105"/>
  <c r="U86" i="105" s="1"/>
  <c r="O23" i="65"/>
  <c r="O81" i="65" s="1"/>
  <c r="O92" i="65" s="1"/>
  <c r="O147" i="41"/>
  <c r="O48" i="41"/>
  <c r="O52" i="41" s="1"/>
  <c r="DB104" i="41"/>
  <c r="BV104" i="41"/>
  <c r="H49" i="41"/>
  <c r="O102" i="65"/>
  <c r="O58" i="105" s="1"/>
  <c r="O96" i="105" s="1"/>
  <c r="O49" i="105"/>
  <c r="O86" i="105" s="1"/>
  <c r="O111" i="65"/>
  <c r="O67" i="105" s="1"/>
  <c r="O106" i="105" s="1"/>
  <c r="CO104" i="41"/>
  <c r="AA147" i="41"/>
  <c r="AA48" i="41"/>
  <c r="AA52" i="41" s="1"/>
  <c r="AA23" i="65"/>
  <c r="AA81" i="65" s="1"/>
  <c r="AA92" i="65" s="1"/>
  <c r="AL23" i="65"/>
  <c r="AL81" i="65" s="1"/>
  <c r="AL92" i="65" s="1"/>
  <c r="AL48" i="105" s="1"/>
  <c r="AL85" i="105" s="1"/>
  <c r="AL89" i="105" s="1"/>
  <c r="AL158" i="105" s="1"/>
  <c r="AL147" i="41"/>
  <c r="AL48" i="41"/>
  <c r="AL52" i="41" s="1"/>
  <c r="AM177" i="105"/>
  <c r="AM102" i="105"/>
  <c r="CF104" i="41"/>
  <c r="CZ104" i="41"/>
  <c r="BD104" i="41"/>
  <c r="CV104" i="41"/>
  <c r="S182" i="105"/>
  <c r="S107" i="105"/>
  <c r="J50" i="55"/>
  <c r="A4" i="73"/>
  <c r="AI23" i="65"/>
  <c r="AI81" i="65" s="1"/>
  <c r="AI92" i="65" s="1"/>
  <c r="AI147" i="41"/>
  <c r="AI48" i="41"/>
  <c r="AI52" i="41" s="1"/>
  <c r="CC104" i="41"/>
  <c r="CI104" i="41"/>
  <c r="BX104" i="41"/>
  <c r="AX104" i="41"/>
  <c r="Z49" i="105"/>
  <c r="Z86" i="105" s="1"/>
  <c r="Z111" i="65"/>
  <c r="Z67" i="105" s="1"/>
  <c r="Z102" i="65"/>
  <c r="Z58" i="105" s="1"/>
  <c r="U104" i="41"/>
  <c r="CS104" i="41"/>
  <c r="V106" i="105"/>
  <c r="V181" i="105"/>
  <c r="Y48" i="41"/>
  <c r="Y52" i="41" s="1"/>
  <c r="Y147" i="41"/>
  <c r="Y23" i="65"/>
  <c r="Y81" i="65" s="1"/>
  <c r="Y92" i="65" s="1"/>
  <c r="BO104" i="41"/>
  <c r="N182" i="105"/>
  <c r="N107" i="105"/>
  <c r="AI183" i="105"/>
  <c r="AI108" i="105"/>
  <c r="CU104" i="41"/>
  <c r="H87" i="105"/>
  <c r="AT104" i="41"/>
  <c r="S104" i="41"/>
  <c r="AE98" i="105"/>
  <c r="AE172" i="105"/>
  <c r="AK183" i="105"/>
  <c r="AK108" i="105"/>
  <c r="BK104" i="41"/>
  <c r="CP104" i="41"/>
  <c r="Y111" i="65"/>
  <c r="Y67" i="105" s="1"/>
  <c r="Y102" i="65"/>
  <c r="Y58" i="105" s="1"/>
  <c r="Y49" i="105"/>
  <c r="Y86" i="105" s="1"/>
  <c r="AS104" i="41"/>
  <c r="AU104" i="41"/>
  <c r="Q52" i="41"/>
  <c r="AB104" i="41"/>
  <c r="P48" i="105"/>
  <c r="P85" i="105" s="1"/>
  <c r="P110" i="65"/>
  <c r="P66" i="105" s="1"/>
  <c r="P101" i="65"/>
  <c r="P57" i="105" s="1"/>
  <c r="BQ104" i="41"/>
  <c r="BL104" i="41"/>
  <c r="CB104" i="41"/>
  <c r="L48" i="41"/>
  <c r="L52" i="41" s="1"/>
  <c r="L23" i="65"/>
  <c r="L81" i="65" s="1"/>
  <c r="L92" i="65" s="1"/>
  <c r="L147" i="41"/>
  <c r="J104" i="41"/>
  <c r="AA111" i="65"/>
  <c r="AA67" i="105" s="1"/>
  <c r="AA49" i="105"/>
  <c r="AA86" i="105" s="1"/>
  <c r="AA102" i="65"/>
  <c r="AA58" i="105" s="1"/>
  <c r="AN104" i="41"/>
  <c r="AV104" i="41"/>
  <c r="BN104" i="41"/>
  <c r="S171" i="105"/>
  <c r="S97" i="105"/>
  <c r="T111" i="65"/>
  <c r="T67" i="105" s="1"/>
  <c r="T102" i="65"/>
  <c r="T58" i="105" s="1"/>
  <c r="T49" i="105"/>
  <c r="T86" i="105" s="1"/>
  <c r="BG104" i="41"/>
  <c r="AD23" i="65"/>
  <c r="AD81" i="65" s="1"/>
  <c r="AD92" i="65" s="1"/>
  <c r="AD147" i="41"/>
  <c r="AD48" i="41"/>
  <c r="AD52" i="41" s="1"/>
  <c r="AZ104" i="41"/>
  <c r="K23" i="65"/>
  <c r="K81" i="65" s="1"/>
  <c r="K92" i="65" s="1"/>
  <c r="K147" i="41"/>
  <c r="K48" i="41"/>
  <c r="K52" i="41" s="1"/>
  <c r="S147" i="41"/>
  <c r="S48" i="41"/>
  <c r="S52" i="41" s="1"/>
  <c r="S23" i="65"/>
  <c r="S81" i="65" s="1"/>
  <c r="S92" i="65" s="1"/>
  <c r="DC104" i="41"/>
  <c r="AM104" i="41"/>
  <c r="CR104" i="41"/>
  <c r="AG108" i="105"/>
  <c r="AG183" i="105"/>
  <c r="AD104" i="41"/>
  <c r="K104" i="41"/>
  <c r="AE147" i="41"/>
  <c r="AE48" i="41"/>
  <c r="AE52" i="41" s="1"/>
  <c r="AE23" i="65"/>
  <c r="AE81" i="65" s="1"/>
  <c r="AE92" i="65" s="1"/>
  <c r="K49" i="105"/>
  <c r="K86" i="105" s="1"/>
  <c r="K102" i="65"/>
  <c r="K58" i="105" s="1"/>
  <c r="K111" i="65"/>
  <c r="K67" i="105" s="1"/>
  <c r="AA104" i="41"/>
  <c r="M97" i="105"/>
  <c r="M171" i="105"/>
  <c r="CT104" i="41"/>
  <c r="AN48" i="41"/>
  <c r="AN52" i="41" s="1"/>
  <c r="AN23" i="65"/>
  <c r="AN81" i="65" s="1"/>
  <c r="AN92" i="65" s="1"/>
  <c r="AN48" i="105" s="1"/>
  <c r="AN85" i="105" s="1"/>
  <c r="AN89" i="105" s="1"/>
  <c r="AN158" i="105" s="1"/>
  <c r="AN147" i="41"/>
  <c r="W107" i="105"/>
  <c r="W182" i="105"/>
  <c r="Q104" i="41"/>
  <c r="AC104" i="41"/>
  <c r="AG147" i="41"/>
  <c r="AG23" i="65"/>
  <c r="AG81" i="65" s="1"/>
  <c r="AG92" i="65" s="1"/>
  <c r="AG48" i="41"/>
  <c r="AG52" i="41" s="1"/>
  <c r="AO177" i="105"/>
  <c r="AO102" i="105"/>
  <c r="Y104" i="41"/>
  <c r="J182" i="105"/>
  <c r="J107" i="105"/>
  <c r="AG166" i="105"/>
  <c r="AG92" i="105"/>
  <c r="AK104" i="41"/>
  <c r="AE183" i="105"/>
  <c r="AE108" i="105"/>
  <c r="AI177" i="105"/>
  <c r="AI102" i="105"/>
  <c r="CK104" i="41"/>
  <c r="P104" i="41"/>
  <c r="CX104" i="41"/>
  <c r="T107" i="105"/>
  <c r="T182" i="105"/>
  <c r="AO108" i="105"/>
  <c r="AO183" i="105"/>
  <c r="P171" i="105"/>
  <c r="P97" i="105"/>
  <c r="BY104" i="41"/>
  <c r="BS104" i="41"/>
  <c r="CJ104" i="41"/>
  <c r="AP104" i="41"/>
  <c r="AH23" i="65"/>
  <c r="AH81" i="65" s="1"/>
  <c r="AH92" i="65" s="1"/>
  <c r="AH48" i="105" s="1"/>
  <c r="AH85" i="105" s="1"/>
  <c r="AH89" i="105" s="1"/>
  <c r="AH158" i="105" s="1"/>
  <c r="AH48" i="41"/>
  <c r="AH52" i="41" s="1"/>
  <c r="AH147" i="41"/>
  <c r="T104" i="41"/>
  <c r="AG104" i="41"/>
  <c r="K182" i="105"/>
  <c r="K107" i="105"/>
  <c r="J146" i="74"/>
  <c r="J161" i="74" s="1"/>
  <c r="J23" i="41" s="1"/>
  <c r="AH104" i="41"/>
  <c r="U23" i="65"/>
  <c r="U81" i="65" s="1"/>
  <c r="U92" i="65" s="1"/>
  <c r="U48" i="41"/>
  <c r="U52" i="41" s="1"/>
  <c r="U147" i="41"/>
  <c r="N147" i="41"/>
  <c r="N23" i="65"/>
  <c r="N81" i="65" s="1"/>
  <c r="N92" i="65" s="1"/>
  <c r="N48" i="41"/>
  <c r="N52" i="41" s="1"/>
  <c r="M23" i="65"/>
  <c r="M81" i="65" s="1"/>
  <c r="M92" i="65" s="1"/>
  <c r="M147" i="41"/>
  <c r="M48" i="41"/>
  <c r="M52" i="41" s="1"/>
  <c r="CM104" i="41"/>
  <c r="Z104" i="41"/>
  <c r="M104" i="41"/>
  <c r="BT104" i="41"/>
  <c r="X23" i="65"/>
  <c r="X81" i="65" s="1"/>
  <c r="X92" i="65" s="1"/>
  <c r="X48" i="41"/>
  <c r="X52" i="41" s="1"/>
  <c r="X147" i="41"/>
  <c r="BF104" i="41"/>
  <c r="AE104" i="41"/>
  <c r="CA104" i="41"/>
  <c r="BA104" i="41"/>
  <c r="CN104" i="41"/>
  <c r="AW104" i="41"/>
  <c r="AB182" i="105"/>
  <c r="AB107" i="105"/>
  <c r="L111" i="65"/>
  <c r="L67" i="105" s="1"/>
  <c r="L106" i="105" s="1"/>
  <c r="L102" i="65"/>
  <c r="L58" i="105" s="1"/>
  <c r="L96" i="105" s="1"/>
  <c r="L49" i="105"/>
  <c r="L86" i="105" s="1"/>
  <c r="U171" i="105"/>
  <c r="U97" i="105"/>
  <c r="AM183" i="105"/>
  <c r="AM108" i="105"/>
  <c r="DA104" i="41"/>
  <c r="AM147" i="41"/>
  <c r="AM23" i="65"/>
  <c r="AM81" i="65" s="1"/>
  <c r="AM92" i="65" s="1"/>
  <c r="AM48" i="41"/>
  <c r="AM52" i="41" s="1"/>
  <c r="AB48" i="41"/>
  <c r="AB52" i="41" s="1"/>
  <c r="AB23" i="65"/>
  <c r="AB81" i="65" s="1"/>
  <c r="AB92" i="65" s="1"/>
  <c r="AB147" i="41"/>
  <c r="N171" i="105"/>
  <c r="N97" i="105"/>
  <c r="J171" i="105"/>
  <c r="J97" i="105"/>
  <c r="M111" i="65"/>
  <c r="M67" i="105" s="1"/>
  <c r="M102" i="65"/>
  <c r="M58" i="105" s="1"/>
  <c r="M49" i="105"/>
  <c r="M86" i="105" s="1"/>
  <c r="BZ104" i="41"/>
  <c r="AQ104" i="41"/>
  <c r="T97" i="105"/>
  <c r="T171" i="105"/>
  <c r="N170" i="105"/>
  <c r="N96" i="105"/>
  <c r="Z23" i="65"/>
  <c r="Z81" i="65" s="1"/>
  <c r="Z92" i="65" s="1"/>
  <c r="Z48" i="41"/>
  <c r="Z52" i="41" s="1"/>
  <c r="Z147" i="41"/>
  <c r="N104" i="41"/>
  <c r="W104" i="41"/>
  <c r="P107" i="105"/>
  <c r="P182" i="105"/>
  <c r="AG102" i="105"/>
  <c r="AG177" i="105"/>
  <c r="W106" i="105"/>
  <c r="W181" i="105"/>
  <c r="AK177" i="105"/>
  <c r="AK102" i="105"/>
  <c r="BW104" i="41"/>
  <c r="J49" i="105"/>
  <c r="J86" i="105" s="1"/>
  <c r="J102" i="65"/>
  <c r="J58" i="105" s="1"/>
  <c r="J111" i="65"/>
  <c r="J67" i="105" s="1"/>
  <c r="CQ104" i="41"/>
  <c r="AJ147" i="41"/>
  <c r="AJ48" i="41"/>
  <c r="AJ52" i="41" s="1"/>
  <c r="AJ23" i="65"/>
  <c r="AJ81" i="65" s="1"/>
  <c r="AJ92" i="65" s="1"/>
  <c r="AJ48" i="105" s="1"/>
  <c r="AJ85" i="105" s="1"/>
  <c r="AJ89" i="105" s="1"/>
  <c r="AJ158" i="105" s="1"/>
  <c r="W48" i="41"/>
  <c r="W52" i="41" s="1"/>
  <c r="W23" i="65"/>
  <c r="W81" i="65" s="1"/>
  <c r="W92" i="65" s="1"/>
  <c r="W147" i="41"/>
  <c r="R104" i="41"/>
  <c r="BU104" i="41"/>
  <c r="K97" i="105"/>
  <c r="K171" i="105"/>
  <c r="AA106" i="105" l="1"/>
  <c r="AA181" i="105"/>
  <c r="Y96" i="105"/>
  <c r="Y170" i="105"/>
  <c r="Z96" i="105"/>
  <c r="Z170" i="105"/>
  <c r="X106" i="105"/>
  <c r="X181" i="105"/>
  <c r="Y106" i="105"/>
  <c r="Y181" i="105"/>
  <c r="Z106" i="105"/>
  <c r="Z181" i="105"/>
  <c r="AA96" i="105"/>
  <c r="AA170" i="105"/>
  <c r="X96" i="105"/>
  <c r="X170" i="105"/>
  <c r="N181" i="105"/>
  <c r="P170" i="105"/>
  <c r="J46" i="55"/>
  <c r="AO48" i="105"/>
  <c r="AO85" i="105" s="1"/>
  <c r="AO89" i="105" s="1"/>
  <c r="AO130" i="105" s="1"/>
  <c r="AJ58" i="82" s="1"/>
  <c r="H98" i="105"/>
  <c r="H165" i="74" a="1"/>
  <c r="H165" i="74" s="1"/>
  <c r="J51" i="55" s="1"/>
  <c r="H86" i="105"/>
  <c r="H97" i="105"/>
  <c r="L105" i="41"/>
  <c r="BU105" i="41"/>
  <c r="H108" i="105"/>
  <c r="W48" i="105"/>
  <c r="W85" i="105" s="1"/>
  <c r="W110" i="65"/>
  <c r="W66" i="105" s="1"/>
  <c r="AW105" i="41"/>
  <c r="CM105" i="41"/>
  <c r="R105" i="41"/>
  <c r="J181" i="105"/>
  <c r="J106" i="105"/>
  <c r="W105" i="41"/>
  <c r="Z48" i="105"/>
  <c r="Z85" i="105" s="1"/>
  <c r="Z101" i="65"/>
  <c r="Z57" i="105" s="1"/>
  <c r="Z110" i="65"/>
  <c r="Z66" i="105" s="1"/>
  <c r="M96" i="105"/>
  <c r="M170" i="105"/>
  <c r="DA105" i="41"/>
  <c r="BA105" i="41"/>
  <c r="M105" i="41"/>
  <c r="N48" i="105"/>
  <c r="N85" i="105" s="1"/>
  <c r="N101" i="65"/>
  <c r="N57" i="105" s="1"/>
  <c r="N110" i="65"/>
  <c r="N66" i="105" s="1"/>
  <c r="U101" i="65"/>
  <c r="U57" i="105" s="1"/>
  <c r="U110" i="65"/>
  <c r="U66" i="105" s="1"/>
  <c r="U48" i="105"/>
  <c r="U85" i="105" s="1"/>
  <c r="CJ105" i="41"/>
  <c r="P105" i="41"/>
  <c r="Y105" i="41"/>
  <c r="AG101" i="65"/>
  <c r="AG110" i="65"/>
  <c r="AG48" i="105"/>
  <c r="AG85" i="105" s="1"/>
  <c r="AG89" i="105" s="1"/>
  <c r="AG156" i="105" s="1"/>
  <c r="AF59" i="82" s="1"/>
  <c r="K96" i="105"/>
  <c r="K170" i="105"/>
  <c r="S101" i="65"/>
  <c r="S57" i="105" s="1"/>
  <c r="S110" i="65"/>
  <c r="S66" i="105" s="1"/>
  <c r="S48" i="105"/>
  <c r="S85" i="105" s="1"/>
  <c r="T96" i="105"/>
  <c r="T170" i="105"/>
  <c r="BN105" i="41"/>
  <c r="L110" i="65"/>
  <c r="L66" i="105" s="1"/>
  <c r="L105" i="105" s="1"/>
  <c r="L101" i="65"/>
  <c r="L57" i="105" s="1"/>
  <c r="L95" i="105" s="1"/>
  <c r="L48" i="105"/>
  <c r="L85" i="105" s="1"/>
  <c r="BQ105" i="41"/>
  <c r="AB105" i="41"/>
  <c r="BK105" i="41"/>
  <c r="CU105" i="41"/>
  <c r="U105" i="41"/>
  <c r="AX105" i="41"/>
  <c r="BD105" i="41"/>
  <c r="AA110" i="65"/>
  <c r="AA66" i="105" s="1"/>
  <c r="AA48" i="105"/>
  <c r="AA85" i="105" s="1"/>
  <c r="AA101" i="65"/>
  <c r="AA57" i="105" s="1"/>
  <c r="BV105" i="41"/>
  <c r="O101" i="65"/>
  <c r="O57" i="105" s="1"/>
  <c r="O95" i="105" s="1"/>
  <c r="O48" i="105"/>
  <c r="O85" i="105" s="1"/>
  <c r="O110" i="65"/>
  <c r="O66" i="105" s="1"/>
  <c r="O105" i="105" s="1"/>
  <c r="O105" i="41"/>
  <c r="AY105" i="41"/>
  <c r="CW105" i="41"/>
  <c r="BI105" i="41"/>
  <c r="V48" i="105"/>
  <c r="V85" i="105" s="1"/>
  <c r="V110" i="65"/>
  <c r="V66" i="105" s="1"/>
  <c r="CE105" i="41"/>
  <c r="BH105" i="41"/>
  <c r="CY105" i="41"/>
  <c r="BM105" i="41"/>
  <c r="CD105" i="41"/>
  <c r="BP105" i="41"/>
  <c r="DD105" i="41"/>
  <c r="BZ105" i="41"/>
  <c r="AM48" i="105"/>
  <c r="AM85" i="105" s="1"/>
  <c r="AM89" i="105" s="1"/>
  <c r="AM156" i="105" s="1"/>
  <c r="AI59" i="82" s="1"/>
  <c r="AM110" i="65"/>
  <c r="AE105" i="41"/>
  <c r="X48" i="105"/>
  <c r="X85" i="105" s="1"/>
  <c r="X110" i="65"/>
  <c r="X66" i="105" s="1"/>
  <c r="X101" i="65"/>
  <c r="X57" i="105" s="1"/>
  <c r="M101" i="65"/>
  <c r="M57" i="105" s="1"/>
  <c r="M110" i="65"/>
  <c r="M66" i="105" s="1"/>
  <c r="M48" i="105"/>
  <c r="M85" i="105" s="1"/>
  <c r="J96" i="105"/>
  <c r="J170" i="105"/>
  <c r="N105" i="41"/>
  <c r="AQ105" i="41"/>
  <c r="M106" i="105"/>
  <c r="M181" i="105"/>
  <c r="CA105" i="41"/>
  <c r="Z105" i="41"/>
  <c r="AH105" i="41"/>
  <c r="BS105" i="41"/>
  <c r="CK105" i="41"/>
  <c r="AA105" i="41"/>
  <c r="K105" i="41"/>
  <c r="CR105" i="41"/>
  <c r="K48" i="105"/>
  <c r="K85" i="105" s="1"/>
  <c r="K110" i="65"/>
  <c r="K66" i="105" s="1"/>
  <c r="K101" i="65"/>
  <c r="K57" i="105" s="1"/>
  <c r="AD48" i="105"/>
  <c r="AD85" i="105" s="1"/>
  <c r="AD89" i="105" s="1"/>
  <c r="AD158" i="105" s="1"/>
  <c r="AD60" i="82" s="1"/>
  <c r="AD110" i="65"/>
  <c r="AD66" i="105" s="1"/>
  <c r="AD105" i="105" s="1"/>
  <c r="AD109" i="105" s="1"/>
  <c r="T106" i="105"/>
  <c r="T181" i="105"/>
  <c r="AV105" i="41"/>
  <c r="P95" i="105"/>
  <c r="P169" i="105"/>
  <c r="S105" i="41"/>
  <c r="BO105" i="41"/>
  <c r="BX105" i="41"/>
  <c r="CZ105" i="41"/>
  <c r="DB105" i="41"/>
  <c r="BR105" i="41"/>
  <c r="BB105" i="41"/>
  <c r="AK48" i="105"/>
  <c r="AK85" i="105" s="1"/>
  <c r="AK89" i="105" s="1"/>
  <c r="AK156" i="105" s="1"/>
  <c r="AH59" i="82" s="1"/>
  <c r="AK110" i="65"/>
  <c r="V105" i="41"/>
  <c r="AI105" i="41"/>
  <c r="CG105" i="41"/>
  <c r="CL105" i="41"/>
  <c r="BC105" i="41"/>
  <c r="CH105" i="41"/>
  <c r="AG105" i="41"/>
  <c r="BY105" i="41"/>
  <c r="AK105" i="41"/>
  <c r="H107" i="105"/>
  <c r="AC105" i="41"/>
  <c r="CT105" i="41"/>
  <c r="AE101" i="65"/>
  <c r="AE48" i="105"/>
  <c r="AE85" i="105" s="1"/>
  <c r="AE89" i="105" s="1"/>
  <c r="AE156" i="105" s="1"/>
  <c r="AE59" i="82" s="1"/>
  <c r="AE110" i="65"/>
  <c r="AE66" i="105" s="1"/>
  <c r="AD105" i="41"/>
  <c r="AM105" i="41"/>
  <c r="AZ105" i="41"/>
  <c r="BG105" i="41"/>
  <c r="AN105" i="41"/>
  <c r="J105" i="41"/>
  <c r="CB105" i="41"/>
  <c r="P105" i="105"/>
  <c r="P180" i="105"/>
  <c r="AU105" i="41"/>
  <c r="AT105" i="41"/>
  <c r="Y110" i="65"/>
  <c r="Y66" i="105" s="1"/>
  <c r="Y101" i="65"/>
  <c r="Y57" i="105" s="1"/>
  <c r="Y48" i="105"/>
  <c r="Y85" i="105" s="1"/>
  <c r="CI105" i="41"/>
  <c r="AI110" i="65"/>
  <c r="AI48" i="105"/>
  <c r="AI85" i="105" s="1"/>
  <c r="AI89" i="105" s="1"/>
  <c r="AI156" i="105" s="1"/>
  <c r="AG59" i="82" s="1"/>
  <c r="CF105" i="41"/>
  <c r="U170" i="105"/>
  <c r="U96" i="105"/>
  <c r="BE105" i="41"/>
  <c r="X105" i="41"/>
  <c r="AC48" i="105"/>
  <c r="AC85" i="105" s="1"/>
  <c r="AC89" i="105" s="1"/>
  <c r="AC156" i="105" s="1"/>
  <c r="AC59" i="82" s="1"/>
  <c r="AC110" i="65"/>
  <c r="AC66" i="105" s="1"/>
  <c r="AC105" i="105" s="1"/>
  <c r="AC109" i="105" s="1"/>
  <c r="AC101" i="65"/>
  <c r="AC57" i="105" s="1"/>
  <c r="AC95" i="105" s="1"/>
  <c r="AC99" i="105" s="1"/>
  <c r="AC131" i="105" s="1"/>
  <c r="S170" i="105"/>
  <c r="S96" i="105"/>
  <c r="AB106" i="105"/>
  <c r="AB181" i="105"/>
  <c r="T101" i="65"/>
  <c r="T57" i="105" s="1"/>
  <c r="T110" i="65"/>
  <c r="T66" i="105" s="1"/>
  <c r="T48" i="105"/>
  <c r="T85" i="105" s="1"/>
  <c r="BJ105" i="41"/>
  <c r="CQ105" i="41"/>
  <c r="BW105" i="41"/>
  <c r="AB101" i="65"/>
  <c r="AB57" i="105" s="1"/>
  <c r="AB48" i="105"/>
  <c r="AB85" i="105" s="1"/>
  <c r="AB110" i="65"/>
  <c r="AB66" i="105" s="1"/>
  <c r="CN105" i="41"/>
  <c r="BF105" i="41"/>
  <c r="BT105" i="41"/>
  <c r="J23" i="65"/>
  <c r="J81" i="65" s="1"/>
  <c r="J92" i="65" s="1"/>
  <c r="J48" i="41"/>
  <c r="J147" i="41"/>
  <c r="T105" i="41"/>
  <c r="AP105" i="41"/>
  <c r="CX105" i="41"/>
  <c r="Q105" i="41"/>
  <c r="K181" i="105"/>
  <c r="K106" i="105"/>
  <c r="DC105" i="41"/>
  <c r="BL105" i="41"/>
  <c r="AO66" i="105"/>
  <c r="J117" i="106" a="1"/>
  <c r="AS105" i="41"/>
  <c r="CP105" i="41"/>
  <c r="CS105" i="41"/>
  <c r="CC105" i="41"/>
  <c r="CV105" i="41"/>
  <c r="CO105" i="41"/>
  <c r="U181" i="105"/>
  <c r="U106" i="105"/>
  <c r="AF105" i="41"/>
  <c r="AO105" i="41"/>
  <c r="S181" i="105"/>
  <c r="S106" i="105"/>
  <c r="AB96" i="105"/>
  <c r="AB170" i="105"/>
  <c r="AJ105" i="41"/>
  <c r="AL105" i="41"/>
  <c r="AR105" i="41"/>
  <c r="Z105" i="105" l="1"/>
  <c r="Z180" i="105"/>
  <c r="Y95" i="105"/>
  <c r="Y169" i="105"/>
  <c r="X95" i="105"/>
  <c r="X169" i="105"/>
  <c r="AA95" i="105"/>
  <c r="AA169" i="105"/>
  <c r="Y105" i="105"/>
  <c r="Y180" i="105"/>
  <c r="X105" i="105"/>
  <c r="X180" i="105"/>
  <c r="AA105" i="105"/>
  <c r="AA180" i="105"/>
  <c r="Z95" i="105"/>
  <c r="Z169" i="105"/>
  <c r="AO124" i="105"/>
  <c r="AO156" i="105"/>
  <c r="AJ59" i="82" s="1"/>
  <c r="AO158" i="105"/>
  <c r="AJ60" i="82" s="1"/>
  <c r="A4" i="74"/>
  <c r="AB169" i="105"/>
  <c r="AB95" i="105"/>
  <c r="AI124" i="105"/>
  <c r="AI158" i="105"/>
  <c r="AG60" i="82" s="1"/>
  <c r="AI130" i="105"/>
  <c r="AG58" i="82" s="1"/>
  <c r="AE105" i="105"/>
  <c r="AE109" i="105" s="1"/>
  <c r="AE180" i="105"/>
  <c r="AE184" i="105" s="1"/>
  <c r="AK158" i="105"/>
  <c r="AH60" i="82" s="1"/>
  <c r="AK124" i="105"/>
  <c r="AK130" i="105"/>
  <c r="AH58" i="82" s="1"/>
  <c r="K105" i="105"/>
  <c r="K180" i="105"/>
  <c r="AM158" i="105"/>
  <c r="AI60" i="82" s="1"/>
  <c r="AM130" i="105"/>
  <c r="AI58" i="82" s="1"/>
  <c r="AM124" i="105"/>
  <c r="N169" i="105"/>
  <c r="N95" i="105"/>
  <c r="M117" i="106"/>
  <c r="O117" i="106"/>
  <c r="K117" i="106"/>
  <c r="N117" i="106"/>
  <c r="L117" i="106"/>
  <c r="P117" i="106"/>
  <c r="J117" i="106"/>
  <c r="AV113" i="41"/>
  <c r="CC113" i="41"/>
  <c r="AB113" i="41"/>
  <c r="BP113" i="41"/>
  <c r="AT113" i="41"/>
  <c r="DA113" i="41"/>
  <c r="K113" i="41"/>
  <c r="BK113" i="41"/>
  <c r="BF113" i="41"/>
  <c r="BE113" i="41"/>
  <c r="CT113" i="41"/>
  <c r="AJ113" i="41"/>
  <c r="CP113" i="41"/>
  <c r="U113" i="41"/>
  <c r="CG113" i="41"/>
  <c r="CS113" i="41"/>
  <c r="BC113" i="41"/>
  <c r="CL113" i="41"/>
  <c r="AA113" i="41"/>
  <c r="AG113" i="41"/>
  <c r="CF113" i="41"/>
  <c r="DC113" i="41"/>
  <c r="BQ113" i="41"/>
  <c r="DB113" i="41"/>
  <c r="AZ113" i="41"/>
  <c r="AI113" i="41"/>
  <c r="BV113" i="41"/>
  <c r="AX113" i="41"/>
  <c r="BG113" i="41"/>
  <c r="BT113" i="41"/>
  <c r="AH113" i="41"/>
  <c r="O113" i="41"/>
  <c r="P113" i="41"/>
  <c r="S113" i="41"/>
  <c r="AN113" i="41"/>
  <c r="CH113" i="41"/>
  <c r="BN113" i="41"/>
  <c r="BM113" i="41"/>
  <c r="CX113" i="41"/>
  <c r="BI113" i="41"/>
  <c r="BB113" i="41"/>
  <c r="AW113" i="41"/>
  <c r="BD113" i="41"/>
  <c r="AP113" i="41"/>
  <c r="CA113" i="41"/>
  <c r="BO113" i="41"/>
  <c r="AL113" i="41"/>
  <c r="BU113" i="41"/>
  <c r="CR113" i="41"/>
  <c r="AF113" i="41"/>
  <c r="AE113" i="41"/>
  <c r="CB113" i="41"/>
  <c r="CD113" i="41"/>
  <c r="CE113" i="41"/>
  <c r="Q113" i="41"/>
  <c r="AU113" i="41"/>
  <c r="BJ113" i="41"/>
  <c r="BA113" i="41"/>
  <c r="DD113" i="41"/>
  <c r="CV113" i="41"/>
  <c r="M113" i="41"/>
  <c r="BR113" i="41"/>
  <c r="BH113" i="41"/>
  <c r="BZ113" i="41"/>
  <c r="T113" i="41"/>
  <c r="CM113" i="41"/>
  <c r="CN113" i="41"/>
  <c r="AR113" i="41"/>
  <c r="AK113" i="41"/>
  <c r="AQ113" i="41"/>
  <c r="AC113" i="41"/>
  <c r="J113" i="41"/>
  <c r="J115" i="41" s="1"/>
  <c r="AO113" i="41"/>
  <c r="CW113" i="41"/>
  <c r="AD113" i="41"/>
  <c r="X113" i="41"/>
  <c r="Y113" i="41"/>
  <c r="AY113" i="41"/>
  <c r="Z113" i="41"/>
  <c r="CU113" i="41"/>
  <c r="H48" i="41"/>
  <c r="CI113" i="41"/>
  <c r="CQ113" i="41"/>
  <c r="CY113" i="41"/>
  <c r="BY113" i="41"/>
  <c r="CO113" i="41"/>
  <c r="R113" i="41"/>
  <c r="CK113" i="41"/>
  <c r="AM113" i="41"/>
  <c r="BX113" i="41"/>
  <c r="BL113" i="41"/>
  <c r="N113" i="41"/>
  <c r="CZ113" i="41"/>
  <c r="AS113" i="41"/>
  <c r="W113" i="41"/>
  <c r="BW113" i="41"/>
  <c r="L113" i="41"/>
  <c r="CJ113" i="41"/>
  <c r="V113" i="41"/>
  <c r="BS113" i="41"/>
  <c r="J52" i="41"/>
  <c r="H52" i="41" s="1"/>
  <c r="T180" i="105"/>
  <c r="T105" i="105"/>
  <c r="AC158" i="105"/>
  <c r="AC60" i="82" s="1"/>
  <c r="AC130" i="105"/>
  <c r="AC58" i="82" s="1"/>
  <c r="AI66" i="105"/>
  <c r="J111" i="106" a="1"/>
  <c r="AE124" i="105"/>
  <c r="AE130" i="105"/>
  <c r="AE58" i="82" s="1"/>
  <c r="AE158" i="105"/>
  <c r="AE60" i="82" s="1"/>
  <c r="M180" i="105"/>
  <c r="M105" i="105"/>
  <c r="V180" i="105"/>
  <c r="V105" i="105"/>
  <c r="S180" i="105"/>
  <c r="S105" i="105"/>
  <c r="AG124" i="105"/>
  <c r="AG158" i="105"/>
  <c r="AF60" i="82" s="1"/>
  <c r="AG130" i="105"/>
  <c r="AF58" i="82" s="1"/>
  <c r="U180" i="105"/>
  <c r="U105" i="105"/>
  <c r="H106" i="105"/>
  <c r="AO105" i="105"/>
  <c r="AO109" i="105" s="1"/>
  <c r="AO180" i="105"/>
  <c r="AO184" i="105" s="1"/>
  <c r="AO191" i="105" s="1"/>
  <c r="AJ69" i="82" s="1"/>
  <c r="J48" i="105"/>
  <c r="J85" i="105" s="1"/>
  <c r="H85" i="105" s="1"/>
  <c r="J101" i="65"/>
  <c r="J57" i="105" s="1"/>
  <c r="J110" i="65"/>
  <c r="J66" i="105" s="1"/>
  <c r="AB105" i="105"/>
  <c r="AB180" i="105"/>
  <c r="T95" i="105"/>
  <c r="T169" i="105"/>
  <c r="AO190" i="105"/>
  <c r="AJ57" i="82"/>
  <c r="T111" i="41"/>
  <c r="BB111" i="41"/>
  <c r="BE111" i="41"/>
  <c r="CL111" i="41"/>
  <c r="AO111" i="41"/>
  <c r="AR111" i="41"/>
  <c r="N111" i="41"/>
  <c r="CI111" i="41"/>
  <c r="CB111" i="41"/>
  <c r="U111" i="41"/>
  <c r="CR111" i="41"/>
  <c r="AJ111" i="41"/>
  <c r="W111" i="41"/>
  <c r="BO111" i="41"/>
  <c r="BV111" i="41"/>
  <c r="BU111" i="41"/>
  <c r="AI111" i="41"/>
  <c r="AZ111" i="41"/>
  <c r="AH111" i="41"/>
  <c r="BA111" i="41"/>
  <c r="AF111" i="41"/>
  <c r="BQ111" i="41"/>
  <c r="CE111" i="41"/>
  <c r="AG111" i="41"/>
  <c r="AC111" i="41"/>
  <c r="BH111" i="41"/>
  <c r="CD111" i="41"/>
  <c r="CN111" i="41"/>
  <c r="AS111" i="41"/>
  <c r="P111" i="41"/>
  <c r="AD111" i="41"/>
  <c r="J111" i="41"/>
  <c r="AN111" i="41"/>
  <c r="J112" i="41"/>
  <c r="Q111" i="41"/>
  <c r="DD111" i="41"/>
  <c r="CO111" i="41"/>
  <c r="AK111" i="41"/>
  <c r="BM111" i="41"/>
  <c r="CJ111" i="41"/>
  <c r="S111" i="41"/>
  <c r="BT111" i="41"/>
  <c r="BY111" i="41"/>
  <c r="AY111" i="41"/>
  <c r="BF111" i="41"/>
  <c r="AP111" i="41"/>
  <c r="CQ111" i="41"/>
  <c r="CF111" i="41"/>
  <c r="CH111" i="41"/>
  <c r="DA111" i="41"/>
  <c r="BX111" i="41"/>
  <c r="BR111" i="41"/>
  <c r="AT111" i="41"/>
  <c r="AU111" i="41"/>
  <c r="BJ111" i="41"/>
  <c r="CK111" i="41"/>
  <c r="DB111" i="41"/>
  <c r="CA111" i="41"/>
  <c r="CT111" i="41"/>
  <c r="R111" i="41"/>
  <c r="CS111" i="41"/>
  <c r="CC111" i="41"/>
  <c r="BK111" i="41"/>
  <c r="X111" i="41"/>
  <c r="BI111" i="41"/>
  <c r="CM111" i="41"/>
  <c r="CZ111" i="41"/>
  <c r="CX111" i="41"/>
  <c r="L111" i="41"/>
  <c r="CU111" i="41"/>
  <c r="BP111" i="41"/>
  <c r="DC111" i="41"/>
  <c r="BL111" i="41"/>
  <c r="Y111" i="41"/>
  <c r="M111" i="41"/>
  <c r="AQ111" i="41"/>
  <c r="CG111" i="41"/>
  <c r="BZ111" i="41"/>
  <c r="AV111" i="41"/>
  <c r="CY111" i="41"/>
  <c r="CP111" i="41"/>
  <c r="BG111" i="41"/>
  <c r="BC111" i="41"/>
  <c r="V111" i="41"/>
  <c r="K111" i="41"/>
  <c r="AE111" i="41"/>
  <c r="AL111" i="41"/>
  <c r="AA111" i="41"/>
  <c r="Z111" i="41"/>
  <c r="CV111" i="41"/>
  <c r="AX111" i="41"/>
  <c r="BN111" i="41"/>
  <c r="O111" i="41"/>
  <c r="AW111" i="41"/>
  <c r="CW111" i="41"/>
  <c r="BD111" i="41"/>
  <c r="BS111" i="41"/>
  <c r="AM111" i="41"/>
  <c r="BW111" i="41"/>
  <c r="AB111" i="41"/>
  <c r="AE57" i="105"/>
  <c r="J72" i="106" a="1"/>
  <c r="M169" i="105"/>
  <c r="M95" i="105"/>
  <c r="S95" i="105"/>
  <c r="S169" i="105"/>
  <c r="AG66" i="105"/>
  <c r="J109" i="106" a="1"/>
  <c r="U169" i="105"/>
  <c r="U95" i="105"/>
  <c r="W105" i="105"/>
  <c r="W180" i="105"/>
  <c r="AK66" i="105"/>
  <c r="J113" i="106" a="1"/>
  <c r="K95" i="105"/>
  <c r="K169" i="105"/>
  <c r="H96" i="105"/>
  <c r="AM66" i="105"/>
  <c r="J115" i="106" a="1"/>
  <c r="AG57" i="105"/>
  <c r="J74" i="106" a="1"/>
  <c r="N180" i="105"/>
  <c r="N105" i="105"/>
  <c r="H74" i="105" l="1"/>
  <c r="H114" i="105" s="1"/>
  <c r="AM105" i="105"/>
  <c r="AM109" i="105" s="1"/>
  <c r="AM180" i="105"/>
  <c r="AM184" i="105" s="1"/>
  <c r="AM191" i="105" s="1"/>
  <c r="AI69" i="82" s="1"/>
  <c r="N113" i="106"/>
  <c r="O113" i="106"/>
  <c r="M113" i="106"/>
  <c r="L113" i="106"/>
  <c r="P113" i="106"/>
  <c r="J113" i="106"/>
  <c r="K113" i="106"/>
  <c r="L72" i="106"/>
  <c r="M72" i="106"/>
  <c r="P72" i="106"/>
  <c r="K72" i="106"/>
  <c r="N72" i="106"/>
  <c r="J72" i="106"/>
  <c r="O72" i="106"/>
  <c r="K114" i="41"/>
  <c r="K112" i="41"/>
  <c r="L112" i="41" s="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s="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AE57" i="82"/>
  <c r="AE191" i="105"/>
  <c r="AE69" i="82" s="1"/>
  <c r="AF57" i="82"/>
  <c r="N74" i="106"/>
  <c r="J74" i="106"/>
  <c r="P74" i="106"/>
  <c r="M74" i="106"/>
  <c r="K74" i="106"/>
  <c r="O74" i="106"/>
  <c r="L74" i="106"/>
  <c r="AK180" i="105"/>
  <c r="AK184" i="105" s="1"/>
  <c r="AK191" i="105" s="1"/>
  <c r="AH69" i="82" s="1"/>
  <c r="AK105" i="105"/>
  <c r="AK109" i="105" s="1"/>
  <c r="AE95" i="105"/>
  <c r="AE99" i="105" s="1"/>
  <c r="AE169" i="105"/>
  <c r="AE173" i="105" s="1"/>
  <c r="AE190" i="105" s="1"/>
  <c r="AE68" i="82" s="1"/>
  <c r="J105" i="105"/>
  <c r="J180" i="105"/>
  <c r="N111" i="106"/>
  <c r="M111" i="106"/>
  <c r="O111" i="106"/>
  <c r="K111" i="106"/>
  <c r="L111" i="106"/>
  <c r="J111" i="106"/>
  <c r="P111" i="106"/>
  <c r="AI57" i="82"/>
  <c r="AM190" i="105"/>
  <c r="AI190" i="105"/>
  <c r="AG57" i="82"/>
  <c r="P115" i="106"/>
  <c r="L115" i="106"/>
  <c r="O115" i="106"/>
  <c r="J115" i="106"/>
  <c r="N115" i="106"/>
  <c r="M115" i="106"/>
  <c r="K115" i="106"/>
  <c r="AG180" i="105"/>
  <c r="AG184" i="105" s="1"/>
  <c r="AG191" i="105" s="1"/>
  <c r="AF69" i="82" s="1"/>
  <c r="AG105" i="105"/>
  <c r="AG109" i="105" s="1"/>
  <c r="AG95" i="105"/>
  <c r="AG99" i="105" s="1"/>
  <c r="AG169" i="105"/>
  <c r="AG173" i="105" s="1"/>
  <c r="AG190" i="105" s="1"/>
  <c r="AF68" i="82" s="1"/>
  <c r="P109" i="106"/>
  <c r="N109" i="106"/>
  <c r="M109" i="106"/>
  <c r="O109" i="106"/>
  <c r="K109" i="106"/>
  <c r="L109" i="106"/>
  <c r="J109" i="106"/>
  <c r="J95" i="105"/>
  <c r="J169" i="105"/>
  <c r="AI105" i="105"/>
  <c r="AI109" i="105" s="1"/>
  <c r="AI180" i="105"/>
  <c r="AI184" i="105" s="1"/>
  <c r="AI191" i="105" s="1"/>
  <c r="AG69" i="82" s="1"/>
  <c r="AE132" i="105"/>
  <c r="AE126" i="105"/>
  <c r="AK190" i="105"/>
  <c r="AH57" i="82"/>
  <c r="H95" i="105" l="1"/>
  <c r="L114" i="41"/>
  <c r="M114" i="41" s="1"/>
  <c r="K115" i="41"/>
  <c r="H105" i="105"/>
  <c r="AM126" i="105"/>
  <c r="AM132" i="105"/>
  <c r="L115" i="41" l="1"/>
  <c r="N114" i="41"/>
  <c r="M115" i="41"/>
  <c r="O114" i="41" l="1"/>
  <c r="N115" i="41"/>
  <c r="P114" i="41" l="1"/>
  <c r="O115" i="41"/>
  <c r="Q114" i="41" l="1"/>
  <c r="P115" i="41"/>
  <c r="R114" i="41" l="1"/>
  <c r="Q115" i="41"/>
  <c r="S114" i="41" l="1"/>
  <c r="R115" i="41"/>
  <c r="T114" i="41" l="1"/>
  <c r="S115" i="41"/>
  <c r="U114" i="41" l="1"/>
  <c r="T115" i="41"/>
  <c r="V114" i="41" l="1"/>
  <c r="U115" i="41"/>
  <c r="W114" i="41" l="1"/>
  <c r="V115" i="41"/>
  <c r="X114" i="41" l="1"/>
  <c r="W115" i="41"/>
  <c r="Y114" i="41" l="1"/>
  <c r="X115" i="41"/>
  <c r="Y115" i="41" l="1"/>
  <c r="Z114" i="41"/>
  <c r="AA114" i="41" l="1"/>
  <c r="Z115" i="41"/>
  <c r="AA115" i="41" l="1"/>
  <c r="AB114" i="41"/>
  <c r="AB115" i="41" l="1"/>
  <c r="AC114" i="41"/>
  <c r="AC115" i="41" l="1"/>
  <c r="AD114" i="41"/>
  <c r="AE114" i="41" l="1"/>
  <c r="AD115" i="41"/>
  <c r="AF114" i="41" l="1"/>
  <c r="AE115" i="41"/>
  <c r="AG114" i="41" l="1"/>
  <c r="AF115" i="41"/>
  <c r="AH114" i="41" l="1"/>
  <c r="AG115" i="41"/>
  <c r="AI114" i="41" l="1"/>
  <c r="AH115" i="41"/>
  <c r="AJ114" i="41" l="1"/>
  <c r="AI115" i="41"/>
  <c r="AK114" i="41" l="1"/>
  <c r="AJ115" i="41"/>
  <c r="AL114" i="41" l="1"/>
  <c r="AK115" i="41"/>
  <c r="AL115" i="41" l="1"/>
  <c r="AM114" i="41"/>
  <c r="AN114" i="41" l="1"/>
  <c r="AM115" i="41"/>
  <c r="AO114" i="41" l="1"/>
  <c r="AN115" i="41"/>
  <c r="AP114" i="41" l="1"/>
  <c r="AO115" i="41"/>
  <c r="AQ114" i="41" l="1"/>
  <c r="AP115" i="41"/>
  <c r="AR114" i="41" l="1"/>
  <c r="AQ115" i="41"/>
  <c r="AS114" i="41" l="1"/>
  <c r="AR115" i="41"/>
  <c r="AT114" i="41" l="1"/>
  <c r="AS115" i="41"/>
  <c r="AU114" i="41" l="1"/>
  <c r="AT115" i="41"/>
  <c r="AV114" i="41" l="1"/>
  <c r="AU115" i="41"/>
  <c r="AW114" i="41" l="1"/>
  <c r="AV115" i="41"/>
  <c r="AX114" i="41" l="1"/>
  <c r="AW115" i="41"/>
  <c r="AY114" i="41" l="1"/>
  <c r="AX115" i="41"/>
  <c r="AZ114" i="41" l="1"/>
  <c r="AY115" i="41"/>
  <c r="BA114" i="41" l="1"/>
  <c r="AZ115" i="41"/>
  <c r="BB114" i="41" l="1"/>
  <c r="BA115" i="41"/>
  <c r="BC114" i="41" l="1"/>
  <c r="BB115" i="41"/>
  <c r="BD114" i="41" l="1"/>
  <c r="BC115" i="41"/>
  <c r="BE114" i="41" l="1"/>
  <c r="BD115" i="41"/>
  <c r="BF114" i="41" l="1"/>
  <c r="BE115" i="41"/>
  <c r="BG114" i="41" l="1"/>
  <c r="BF115" i="41"/>
  <c r="BH114" i="41" l="1"/>
  <c r="BG115" i="41"/>
  <c r="BI114" i="41" l="1"/>
  <c r="BH115" i="41"/>
  <c r="BJ114" i="41" l="1"/>
  <c r="BI115" i="41"/>
  <c r="BK114" i="41" l="1"/>
  <c r="BJ115" i="41"/>
  <c r="BL114" i="41" l="1"/>
  <c r="BK115" i="41"/>
  <c r="BM114" i="41" l="1"/>
  <c r="BL115" i="41"/>
  <c r="BN114" i="41" l="1"/>
  <c r="BM115" i="41"/>
  <c r="BO114" i="41" l="1"/>
  <c r="BN115" i="41"/>
  <c r="BP114" i="41" l="1"/>
  <c r="BO115" i="41"/>
  <c r="BQ114" i="41" l="1"/>
  <c r="BP115" i="41"/>
  <c r="BR114" i="41" l="1"/>
  <c r="BQ115" i="41"/>
  <c r="BS114" i="41" l="1"/>
  <c r="BR115" i="41"/>
  <c r="BT114" i="41" l="1"/>
  <c r="BS115" i="41"/>
  <c r="BU114" i="41" l="1"/>
  <c r="BT115" i="41"/>
  <c r="BV114" i="41" l="1"/>
  <c r="BU115" i="41"/>
  <c r="BW114" i="41" l="1"/>
  <c r="BV115" i="41"/>
  <c r="BX114" i="41" l="1"/>
  <c r="BW115" i="41"/>
  <c r="BY114" i="41" l="1"/>
  <c r="BX115" i="41"/>
  <c r="BZ114" i="41" l="1"/>
  <c r="BY115" i="41"/>
  <c r="CA114" i="41" l="1"/>
  <c r="BZ115" i="41"/>
  <c r="CB114" i="41" l="1"/>
  <c r="CA115" i="41"/>
  <c r="CC114" i="41" l="1"/>
  <c r="CB115" i="41"/>
  <c r="CD114" i="41" l="1"/>
  <c r="CC115" i="41"/>
  <c r="CE114" i="41" l="1"/>
  <c r="CD115" i="41"/>
  <c r="CF114" i="41" l="1"/>
  <c r="CE115" i="41"/>
  <c r="CG114" i="41" l="1"/>
  <c r="CF115" i="41"/>
  <c r="CH114" i="41" l="1"/>
  <c r="CG115" i="41"/>
  <c r="CI114" i="41" l="1"/>
  <c r="CH115" i="41"/>
  <c r="CJ114" i="41" l="1"/>
  <c r="CI115" i="41"/>
  <c r="CK114" i="41" l="1"/>
  <c r="CJ115" i="41"/>
  <c r="CL114" i="41" l="1"/>
  <c r="CK115" i="41"/>
  <c r="CM114" i="41" l="1"/>
  <c r="CL115" i="41"/>
  <c r="CN114" i="41" l="1"/>
  <c r="CM115" i="41"/>
  <c r="CO114" i="41" l="1"/>
  <c r="CN115" i="41"/>
  <c r="CP114" i="41" l="1"/>
  <c r="CO115" i="41"/>
  <c r="CQ114" i="41" l="1"/>
  <c r="CP115" i="41"/>
  <c r="CR114" i="41" l="1"/>
  <c r="CQ115" i="41"/>
  <c r="CS114" i="41" l="1"/>
  <c r="CR115" i="41"/>
  <c r="CT114" i="41" l="1"/>
  <c r="CS115" i="41"/>
  <c r="CU114" i="41" l="1"/>
  <c r="CT115" i="41"/>
  <c r="CV114" i="41" l="1"/>
  <c r="CU115" i="41"/>
  <c r="CW114" i="41" l="1"/>
  <c r="CV115" i="41"/>
  <c r="CX114" i="41" l="1"/>
  <c r="CW115" i="41"/>
  <c r="CY114" i="41" l="1"/>
  <c r="CX115" i="41"/>
  <c r="CZ114" i="41" l="1"/>
  <c r="CY115" i="41"/>
  <c r="DA114" i="41" l="1"/>
  <c r="CZ115" i="41"/>
  <c r="DB114" i="41" l="1"/>
  <c r="DA115" i="41"/>
  <c r="DC114" i="41" l="1"/>
  <c r="DB115" i="41"/>
  <c r="DD114" i="41" l="1"/>
  <c r="DD115" i="41" s="1"/>
  <c r="DC115" i="41"/>
  <c r="H84" i="89" l="1"/>
  <c r="H85" i="89" s="1"/>
  <c r="H106" i="89" a="1"/>
  <c r="H106" i="89" s="1"/>
  <c r="H112" i="89" s="1"/>
  <c r="A4" i="89" l="1"/>
  <c r="J37" i="55"/>
  <c r="H37" i="41"/>
  <c r="H73" i="105"/>
  <c r="H113" i="105" s="1"/>
  <c r="AC116" i="41" l="1"/>
  <c r="AC117" i="41" s="1"/>
  <c r="BF116" i="41"/>
  <c r="BF117" i="41" s="1"/>
  <c r="CI116" i="41"/>
  <c r="CI117" i="41" s="1"/>
  <c r="Q116" i="41"/>
  <c r="Q117" i="41" s="1"/>
  <c r="AT116" i="41"/>
  <c r="AT117" i="41" s="1"/>
  <c r="BW116" i="41"/>
  <c r="BW117" i="41" s="1"/>
  <c r="CZ116" i="41"/>
  <c r="CZ117" i="41" s="1"/>
  <c r="AP116" i="41"/>
  <c r="AP117" i="41" s="1"/>
  <c r="P116" i="41"/>
  <c r="P117" i="41" s="1"/>
  <c r="BM116" i="41"/>
  <c r="BM117" i="41" s="1"/>
  <c r="AI116" i="41"/>
  <c r="AI117" i="41" s="1"/>
  <c r="DD116" i="41"/>
  <c r="DD117" i="41" s="1"/>
  <c r="BJ116" i="41"/>
  <c r="BJ117" i="41" s="1"/>
  <c r="AF116" i="41"/>
  <c r="AF117" i="41" s="1"/>
  <c r="V116" i="41"/>
  <c r="V117" i="41" s="1"/>
  <c r="CQ116" i="41"/>
  <c r="CQ117" i="41" s="1"/>
  <c r="BR116" i="41"/>
  <c r="BR117" i="41" s="1"/>
  <c r="BV116" i="41"/>
  <c r="BV117" i="41" s="1"/>
  <c r="J116" i="41"/>
  <c r="AS116" i="41"/>
  <c r="AS117" i="41" s="1"/>
  <c r="CN116" i="41"/>
  <c r="CN117" i="41" s="1"/>
  <c r="BO116" i="41"/>
  <c r="BO117" i="41" s="1"/>
  <c r="AB116" i="41"/>
  <c r="AB117" i="41" s="1"/>
  <c r="CU116" i="41"/>
  <c r="CU117" i="41" s="1"/>
  <c r="BA116" i="41"/>
  <c r="BA117" i="41" s="1"/>
  <c r="BI116" i="41"/>
  <c r="BI117" i="41" s="1"/>
  <c r="CL116" i="41"/>
  <c r="CL117" i="41" s="1"/>
  <c r="T116" i="41"/>
  <c r="T117" i="41" s="1"/>
  <c r="AW116" i="41"/>
  <c r="AW117" i="41" s="1"/>
  <c r="BZ116" i="41"/>
  <c r="BZ117" i="41" s="1"/>
  <c r="DC116" i="41"/>
  <c r="DC117" i="41" s="1"/>
  <c r="M116" i="41"/>
  <c r="M117" i="41" s="1"/>
  <c r="CH116" i="41"/>
  <c r="CH117" i="41" s="1"/>
  <c r="BH116" i="41"/>
  <c r="BH117" i="41" s="1"/>
  <c r="DA116" i="41"/>
  <c r="DA117" i="41" s="1"/>
  <c r="CA116" i="41"/>
  <c r="CA117" i="41" s="1"/>
  <c r="AG116" i="41"/>
  <c r="AG117" i="41" s="1"/>
  <c r="CX116" i="41"/>
  <c r="CX117" i="41" s="1"/>
  <c r="BX116" i="41"/>
  <c r="BX117" i="41" s="1"/>
  <c r="BN116" i="41"/>
  <c r="BN117" i="41" s="1"/>
  <c r="AJ116" i="41"/>
  <c r="AJ117" i="41" s="1"/>
  <c r="BG116" i="41"/>
  <c r="BG117" i="41" s="1"/>
  <c r="BK116" i="41"/>
  <c r="BK117" i="41" s="1"/>
  <c r="CT116" i="41"/>
  <c r="CT117" i="41" s="1"/>
  <c r="AH116" i="41"/>
  <c r="AH117" i="41" s="1"/>
  <c r="BQ116" i="41"/>
  <c r="BQ117" i="41" s="1"/>
  <c r="AL116" i="41"/>
  <c r="AL117" i="41" s="1"/>
  <c r="CD116" i="41"/>
  <c r="CD117" i="41" s="1"/>
  <c r="BD116" i="41"/>
  <c r="BD117" i="41" s="1"/>
  <c r="CJ116" i="41"/>
  <c r="CJ117" i="41" s="1"/>
  <c r="CO116" i="41"/>
  <c r="CO117" i="41" s="1"/>
  <c r="W116" i="41"/>
  <c r="W117" i="41" s="1"/>
  <c r="AZ116" i="41"/>
  <c r="AZ117" i="41" s="1"/>
  <c r="CC116" i="41"/>
  <c r="CC117" i="41" s="1"/>
  <c r="K116" i="41"/>
  <c r="K117" i="41" s="1"/>
  <c r="AN116" i="41"/>
  <c r="AN117" i="41" s="1"/>
  <c r="BE116" i="41"/>
  <c r="BE117" i="41" s="1"/>
  <c r="AE116" i="41"/>
  <c r="AE117" i="41" s="1"/>
  <c r="CV116" i="41"/>
  <c r="CV117" i="41" s="1"/>
  <c r="AX116" i="41"/>
  <c r="AX117" i="41" s="1"/>
  <c r="X116" i="41"/>
  <c r="X117" i="41" s="1"/>
  <c r="BU116" i="41"/>
  <c r="BU117" i="41" s="1"/>
  <c r="AU116" i="41"/>
  <c r="AU117" i="41" s="1"/>
  <c r="AK116" i="41"/>
  <c r="AK117" i="41" s="1"/>
  <c r="DB116" i="41"/>
  <c r="DB117" i="41" s="1"/>
  <c r="CB116" i="41"/>
  <c r="CB117" i="41" s="1"/>
  <c r="AR116" i="41"/>
  <c r="AR117" i="41" s="1"/>
  <c r="AV116" i="41"/>
  <c r="AV117" i="41" s="1"/>
  <c r="CE116" i="41"/>
  <c r="CE117" i="41" s="1"/>
  <c r="S116" i="41"/>
  <c r="S117" i="41" s="1"/>
  <c r="AM116" i="41"/>
  <c r="AM117" i="41" s="1"/>
  <c r="L116" i="41"/>
  <c r="L117" i="41" s="1"/>
  <c r="O116" i="41"/>
  <c r="O117" i="41" s="1"/>
  <c r="AD116" i="41"/>
  <c r="AD117" i="41" s="1"/>
  <c r="CR116" i="41"/>
  <c r="CR117" i="41" s="1"/>
  <c r="Z116" i="41"/>
  <c r="Z117" i="41" s="1"/>
  <c r="BC116" i="41"/>
  <c r="BC117" i="41" s="1"/>
  <c r="CF116" i="41"/>
  <c r="CF117" i="41" s="1"/>
  <c r="N116" i="41"/>
  <c r="N117" i="41" s="1"/>
  <c r="AQ116" i="41"/>
  <c r="AQ117" i="41" s="1"/>
  <c r="BT116" i="41"/>
  <c r="BT117" i="41" s="1"/>
  <c r="CW116" i="41"/>
  <c r="CW117" i="41" s="1"/>
  <c r="BS116" i="41"/>
  <c r="BS117" i="41" s="1"/>
  <c r="U116" i="41"/>
  <c r="U117" i="41" s="1"/>
  <c r="CP116" i="41"/>
  <c r="CP117" i="41" s="1"/>
  <c r="BL116" i="41"/>
  <c r="BL117" i="41" s="1"/>
  <c r="R116" i="41"/>
  <c r="R117" i="41" s="1"/>
  <c r="CM116" i="41"/>
  <c r="CM117" i="41" s="1"/>
  <c r="BY116" i="41"/>
  <c r="BY117" i="41" s="1"/>
  <c r="AY116" i="41"/>
  <c r="AY117" i="41" s="1"/>
  <c r="CG116" i="41"/>
  <c r="CG117" i="41" s="1"/>
  <c r="CK116" i="41"/>
  <c r="CK117" i="41" s="1"/>
  <c r="Y116" i="41"/>
  <c r="Y117" i="41" s="1"/>
  <c r="BP116" i="41"/>
  <c r="BP117" i="41" s="1"/>
  <c r="CY116" i="41"/>
  <c r="CY117" i="41" s="1"/>
  <c r="CS116" i="41"/>
  <c r="CS117" i="41" s="1"/>
  <c r="BB116" i="41"/>
  <c r="BB117" i="41" s="1"/>
  <c r="AA116" i="41"/>
  <c r="AA117" i="41" s="1"/>
  <c r="AO116" i="41"/>
  <c r="AO117" i="41" s="1"/>
  <c r="H54" i="41"/>
  <c r="J117" i="41" l="1"/>
  <c r="H139" i="41"/>
  <c r="H84" i="41"/>
  <c r="H117" i="41"/>
  <c r="H123" i="41" s="1"/>
  <c r="R134" i="41" l="1"/>
  <c r="T135" i="41"/>
  <c r="K134" i="41"/>
  <c r="O133" i="41"/>
  <c r="J133" i="41"/>
  <c r="AB133" i="41"/>
  <c r="W135" i="41"/>
  <c r="T134" i="41"/>
  <c r="M133" i="41"/>
  <c r="Y133" i="41"/>
  <c r="N134" i="41"/>
  <c r="AB135" i="41"/>
  <c r="S135" i="41"/>
  <c r="R133" i="41"/>
  <c r="X133" i="41"/>
  <c r="V133" i="41"/>
  <c r="U133" i="41"/>
  <c r="S133" i="41"/>
  <c r="T133" i="41"/>
  <c r="U135" i="41"/>
  <c r="P133" i="41"/>
  <c r="AA133" i="41"/>
  <c r="N133" i="41"/>
  <c r="Q134" i="41"/>
  <c r="Z133" i="41"/>
  <c r="W133" i="41"/>
  <c r="AB134" i="41"/>
  <c r="V134" i="41"/>
  <c r="Q133" i="41"/>
  <c r="W134" i="41"/>
  <c r="S134" i="41"/>
  <c r="L133" i="41"/>
  <c r="V135" i="41"/>
  <c r="U134" i="41"/>
  <c r="K133" i="41"/>
  <c r="H141" i="41" s="1" a="1"/>
  <c r="H141" i="41" s="1"/>
  <c r="P134" i="41"/>
  <c r="P145" i="41" l="1"/>
  <c r="P33" i="65"/>
  <c r="P79" i="65" s="1"/>
  <c r="P90" i="65" s="1"/>
  <c r="L32" i="65"/>
  <c r="L78" i="65" s="1"/>
  <c r="L89" i="65" s="1"/>
  <c r="L144" i="41"/>
  <c r="Q145" i="41"/>
  <c r="Q33" i="65"/>
  <c r="Q79" i="65" s="1"/>
  <c r="Q90" i="65" s="1"/>
  <c r="Q46" i="105" s="1"/>
  <c r="Q83" i="105" s="1"/>
  <c r="V144" i="41"/>
  <c r="V32" i="65"/>
  <c r="V78" i="65" s="1"/>
  <c r="V89" i="65" s="1"/>
  <c r="T33" i="65"/>
  <c r="T79" i="65" s="1"/>
  <c r="T90" i="65" s="1"/>
  <c r="T145" i="41"/>
  <c r="K144" i="41"/>
  <c r="K32" i="65"/>
  <c r="K78" i="65" s="1"/>
  <c r="K89" i="65" s="1"/>
  <c r="AB145" i="41"/>
  <c r="AB33" i="65"/>
  <c r="AB79" i="65" s="1"/>
  <c r="AB90" i="65" s="1"/>
  <c r="N32" i="65"/>
  <c r="N78" i="65" s="1"/>
  <c r="N89" i="65" s="1"/>
  <c r="N144" i="41"/>
  <c r="T32" i="65"/>
  <c r="T78" i="65" s="1"/>
  <c r="T89" i="65" s="1"/>
  <c r="T144" i="41"/>
  <c r="X32" i="65"/>
  <c r="X78" i="65" s="1"/>
  <c r="X89" i="65" s="1"/>
  <c r="X144" i="41"/>
  <c r="N145" i="41"/>
  <c r="N33" i="65"/>
  <c r="N79" i="65" s="1"/>
  <c r="N90" i="65" s="1"/>
  <c r="W146" i="41"/>
  <c r="W34" i="65"/>
  <c r="W80" i="65" s="1"/>
  <c r="W91" i="65" s="1"/>
  <c r="K145" i="41"/>
  <c r="K33" i="65"/>
  <c r="K79" i="65" s="1"/>
  <c r="K90" i="65" s="1"/>
  <c r="V145" i="41"/>
  <c r="V33" i="65"/>
  <c r="V79" i="65" s="1"/>
  <c r="V90" i="65" s="1"/>
  <c r="U34" i="65"/>
  <c r="U80" i="65" s="1"/>
  <c r="U91" i="65" s="1"/>
  <c r="U146" i="41"/>
  <c r="AB146" i="41"/>
  <c r="AB34" i="65"/>
  <c r="AB80" i="65" s="1"/>
  <c r="AB91" i="65" s="1"/>
  <c r="O144" i="41"/>
  <c r="O32" i="65"/>
  <c r="O78" i="65" s="1"/>
  <c r="O89" i="65" s="1"/>
  <c r="S145" i="41"/>
  <c r="S33" i="65"/>
  <c r="S79" i="65" s="1"/>
  <c r="S90" i="65" s="1"/>
  <c r="U145" i="41"/>
  <c r="U33" i="65"/>
  <c r="U79" i="65" s="1"/>
  <c r="U90" i="65" s="1"/>
  <c r="W145" i="41"/>
  <c r="W33" i="65"/>
  <c r="W79" i="65" s="1"/>
  <c r="W90" i="65" s="1"/>
  <c r="W32" i="65"/>
  <c r="W78" i="65" s="1"/>
  <c r="W89" i="65" s="1"/>
  <c r="W144" i="41"/>
  <c r="AA144" i="41"/>
  <c r="AA32" i="65"/>
  <c r="AA78" i="65" s="1"/>
  <c r="AA89" i="65" s="1"/>
  <c r="S32" i="65"/>
  <c r="S78" i="65" s="1"/>
  <c r="S89" i="65" s="1"/>
  <c r="S144" i="41"/>
  <c r="R144" i="41"/>
  <c r="R32" i="65"/>
  <c r="R78" i="65" s="1"/>
  <c r="R89" i="65" s="1"/>
  <c r="R45" i="105" s="1"/>
  <c r="R82" i="105" s="1"/>
  <c r="Y144" i="41"/>
  <c r="Y32" i="65"/>
  <c r="Y78" i="65" s="1"/>
  <c r="Y89" i="65" s="1"/>
  <c r="AB144" i="41"/>
  <c r="AB32" i="65"/>
  <c r="AB78" i="65" s="1"/>
  <c r="AB89" i="65" s="1"/>
  <c r="T146" i="41"/>
  <c r="T34" i="65"/>
  <c r="T80" i="65" s="1"/>
  <c r="T91" i="65" s="1"/>
  <c r="V146" i="41"/>
  <c r="V34" i="65"/>
  <c r="V80" i="65" s="1"/>
  <c r="V91" i="65" s="1"/>
  <c r="Q32" i="65"/>
  <c r="Q78" i="65" s="1"/>
  <c r="Q89" i="65" s="1"/>
  <c r="Q45" i="105" s="1"/>
  <c r="Q82" i="105" s="1"/>
  <c r="Q144" i="41"/>
  <c r="Z32" i="65"/>
  <c r="Z78" i="65" s="1"/>
  <c r="Z89" i="65" s="1"/>
  <c r="Z144" i="41"/>
  <c r="P32" i="65"/>
  <c r="P78" i="65" s="1"/>
  <c r="P89" i="65" s="1"/>
  <c r="P144" i="41"/>
  <c r="U144" i="41"/>
  <c r="U32" i="65"/>
  <c r="U78" i="65" s="1"/>
  <c r="U89" i="65" s="1"/>
  <c r="S146" i="41"/>
  <c r="S34" i="65"/>
  <c r="S80" i="65" s="1"/>
  <c r="S91" i="65" s="1"/>
  <c r="M32" i="65"/>
  <c r="M78" i="65" s="1"/>
  <c r="M89" i="65" s="1"/>
  <c r="M144" i="41"/>
  <c r="J32" i="65"/>
  <c r="J144" i="41"/>
  <c r="R33" i="65"/>
  <c r="R79" i="65" s="1"/>
  <c r="R90" i="65" s="1"/>
  <c r="R46" i="105" s="1"/>
  <c r="R83" i="105" s="1"/>
  <c r="R145" i="41"/>
  <c r="Q89" i="105" l="1"/>
  <c r="R89" i="105"/>
  <c r="U107" i="65"/>
  <c r="U63" i="105" s="1"/>
  <c r="U98" i="65"/>
  <c r="U54" i="105" s="1"/>
  <c r="U45" i="105"/>
  <c r="U82" i="105" s="1"/>
  <c r="V47" i="105"/>
  <c r="V84" i="105" s="1"/>
  <c r="V109" i="65"/>
  <c r="V65" i="105" s="1"/>
  <c r="AA107" i="65"/>
  <c r="AA63" i="105" s="1"/>
  <c r="AA45" i="105"/>
  <c r="AA82" i="105" s="1"/>
  <c r="AA89" i="105" s="1"/>
  <c r="AA98" i="65"/>
  <c r="AA54" i="105" s="1"/>
  <c r="S108" i="65"/>
  <c r="S64" i="105" s="1"/>
  <c r="S99" i="65"/>
  <c r="S55" i="105" s="1"/>
  <c r="S46" i="105"/>
  <c r="S83" i="105" s="1"/>
  <c r="V108" i="65"/>
  <c r="V64" i="105" s="1"/>
  <c r="V46" i="105"/>
  <c r="V83" i="105" s="1"/>
  <c r="K45" i="105"/>
  <c r="K82" i="105" s="1"/>
  <c r="K107" i="65"/>
  <c r="K63" i="105" s="1"/>
  <c r="K98" i="65"/>
  <c r="K54" i="105" s="1"/>
  <c r="V107" i="65"/>
  <c r="V63" i="105" s="1"/>
  <c r="V45" i="105"/>
  <c r="V82" i="105" s="1"/>
  <c r="M98" i="65"/>
  <c r="M54" i="105" s="1"/>
  <c r="M107" i="65"/>
  <c r="M63" i="105" s="1"/>
  <c r="M45" i="105"/>
  <c r="M82" i="105" s="1"/>
  <c r="M89" i="105" s="1"/>
  <c r="M156" i="105" s="1"/>
  <c r="M59" i="82" s="1"/>
  <c r="Z107" i="65"/>
  <c r="Z63" i="105" s="1"/>
  <c r="Z98" i="65"/>
  <c r="Z54" i="105" s="1"/>
  <c r="Z45" i="105"/>
  <c r="Z82" i="105" s="1"/>
  <c r="Z89" i="105" s="1"/>
  <c r="X107" i="65"/>
  <c r="X63" i="105" s="1"/>
  <c r="X45" i="105"/>
  <c r="X82" i="105" s="1"/>
  <c r="X89" i="105" s="1"/>
  <c r="X98" i="65"/>
  <c r="N45" i="105"/>
  <c r="N82" i="105" s="1"/>
  <c r="N107" i="65"/>
  <c r="N63" i="105" s="1"/>
  <c r="N98" i="65"/>
  <c r="N54" i="105" s="1"/>
  <c r="L45" i="105"/>
  <c r="L82" i="105" s="1"/>
  <c r="L89" i="105" s="1"/>
  <c r="L156" i="105" s="1"/>
  <c r="L59" i="82" s="1"/>
  <c r="L107" i="65"/>
  <c r="L63" i="105" s="1"/>
  <c r="L102" i="105" s="1"/>
  <c r="L109" i="105" s="1"/>
  <c r="L98" i="65"/>
  <c r="L54" i="105" s="1"/>
  <c r="L92" i="105" s="1"/>
  <c r="L99" i="105" s="1"/>
  <c r="AB109" i="65"/>
  <c r="AB65" i="105" s="1"/>
  <c r="AB100" i="65"/>
  <c r="AB56" i="105" s="1"/>
  <c r="AB47" i="105"/>
  <c r="AB84" i="105" s="1"/>
  <c r="H152" i="41"/>
  <c r="T109" i="65"/>
  <c r="T65" i="105" s="1"/>
  <c r="T100" i="65"/>
  <c r="T56" i="105" s="1"/>
  <c r="T47" i="105"/>
  <c r="T84" i="105" s="1"/>
  <c r="Y107" i="65"/>
  <c r="Y63" i="105" s="1"/>
  <c r="Y98" i="65"/>
  <c r="Y54" i="105" s="1"/>
  <c r="Y45" i="105"/>
  <c r="Y82" i="105" s="1"/>
  <c r="Y89" i="105" s="1"/>
  <c r="U46" i="105"/>
  <c r="U83" i="105" s="1"/>
  <c r="U99" i="65"/>
  <c r="U55" i="105" s="1"/>
  <c r="U108" i="65"/>
  <c r="U64" i="105" s="1"/>
  <c r="O107" i="65"/>
  <c r="O63" i="105" s="1"/>
  <c r="O102" i="105" s="1"/>
  <c r="O109" i="105" s="1"/>
  <c r="O98" i="65"/>
  <c r="O54" i="105" s="1"/>
  <c r="O92" i="105" s="1"/>
  <c r="O99" i="105" s="1"/>
  <c r="O45" i="105"/>
  <c r="O82" i="105" s="1"/>
  <c r="O89" i="105" s="1"/>
  <c r="O156" i="105" s="1"/>
  <c r="O59" i="82" s="1"/>
  <c r="K99" i="65"/>
  <c r="K55" i="105" s="1"/>
  <c r="K108" i="65"/>
  <c r="K64" i="105" s="1"/>
  <c r="K46" i="105"/>
  <c r="K83" i="105" s="1"/>
  <c r="N108" i="65"/>
  <c r="N64" i="105" s="1"/>
  <c r="N46" i="105"/>
  <c r="N83" i="105" s="1"/>
  <c r="N99" i="65"/>
  <c r="N55" i="105" s="1"/>
  <c r="AB99" i="65"/>
  <c r="AB55" i="105" s="1"/>
  <c r="AB108" i="65"/>
  <c r="AB64" i="105" s="1"/>
  <c r="AB46" i="105"/>
  <c r="AB83" i="105" s="1"/>
  <c r="P46" i="105"/>
  <c r="P83" i="105" s="1"/>
  <c r="P108" i="65"/>
  <c r="P64" i="105" s="1"/>
  <c r="P99" i="65"/>
  <c r="P55" i="105" s="1"/>
  <c r="AB107" i="65"/>
  <c r="AB63" i="105" s="1"/>
  <c r="AB45" i="105"/>
  <c r="AB82" i="105" s="1"/>
  <c r="AB98" i="65"/>
  <c r="AB54" i="105" s="1"/>
  <c r="W46" i="105"/>
  <c r="W83" i="105" s="1"/>
  <c r="W108" i="65"/>
  <c r="W64" i="105" s="1"/>
  <c r="W109" i="65"/>
  <c r="W65" i="105" s="1"/>
  <c r="W47" i="105"/>
  <c r="W84" i="105" s="1"/>
  <c r="S100" i="65"/>
  <c r="S56" i="105" s="1"/>
  <c r="S109" i="65"/>
  <c r="S65" i="105" s="1"/>
  <c r="S47" i="105"/>
  <c r="S84" i="105" s="1"/>
  <c r="J78" i="65"/>
  <c r="J89" i="65" s="1"/>
  <c r="P107" i="65"/>
  <c r="P63" i="105" s="1"/>
  <c r="P45" i="105"/>
  <c r="P82" i="105" s="1"/>
  <c r="P98" i="65"/>
  <c r="P54" i="105" s="1"/>
  <c r="Q130" i="105"/>
  <c r="Q58" i="82" s="1"/>
  <c r="Q124" i="105"/>
  <c r="S98" i="65"/>
  <c r="S107" i="65"/>
  <c r="S45" i="105"/>
  <c r="S82" i="105" s="1"/>
  <c r="W107" i="65"/>
  <c r="W63" i="105" s="1"/>
  <c r="W45" i="105"/>
  <c r="W82" i="105" s="1"/>
  <c r="U100" i="65"/>
  <c r="U56" i="105" s="1"/>
  <c r="U109" i="65"/>
  <c r="U65" i="105" s="1"/>
  <c r="U47" i="105"/>
  <c r="U84" i="105" s="1"/>
  <c r="T45" i="105"/>
  <c r="T82" i="105" s="1"/>
  <c r="T98" i="65"/>
  <c r="T54" i="105" s="1"/>
  <c r="T107" i="65"/>
  <c r="T63" i="105" s="1"/>
  <c r="T99" i="65"/>
  <c r="T55" i="105" s="1"/>
  <c r="T108" i="65"/>
  <c r="T64" i="105" s="1"/>
  <c r="T46" i="105"/>
  <c r="T83" i="105" s="1"/>
  <c r="X156" i="105" l="1"/>
  <c r="X59" i="82" s="1"/>
  <c r="X124" i="105"/>
  <c r="AA102" i="105"/>
  <c r="AA109" i="105" s="1"/>
  <c r="AA177" i="105"/>
  <c r="AA184" i="105" s="1"/>
  <c r="Y102" i="105"/>
  <c r="Y109" i="105" s="1"/>
  <c r="Y132" i="105" s="1"/>
  <c r="Y177" i="105"/>
  <c r="Y184" i="105" s="1"/>
  <c r="X102" i="105"/>
  <c r="X109" i="105" s="1"/>
  <c r="X132" i="105" s="1"/>
  <c r="X177" i="105"/>
  <c r="X184" i="105" s="1"/>
  <c r="Y92" i="105"/>
  <c r="Y99" i="105" s="1"/>
  <c r="Y131" i="105" s="1"/>
  <c r="Y166" i="105"/>
  <c r="Y173" i="105" s="1"/>
  <c r="Z156" i="105"/>
  <c r="Z59" i="82" s="1"/>
  <c r="Z124" i="105"/>
  <c r="AA92" i="105"/>
  <c r="AA99" i="105" s="1"/>
  <c r="AA131" i="105" s="1"/>
  <c r="AA166" i="105"/>
  <c r="AA173" i="105" s="1"/>
  <c r="Z102" i="105"/>
  <c r="Z109" i="105" s="1"/>
  <c r="Z132" i="105" s="1"/>
  <c r="Z177" i="105"/>
  <c r="Z184" i="105" s="1"/>
  <c r="Y156" i="105"/>
  <c r="Y59" i="82" s="1"/>
  <c r="Y124" i="105"/>
  <c r="Z92" i="105"/>
  <c r="Z99" i="105" s="1"/>
  <c r="Z166" i="105"/>
  <c r="Z173" i="105" s="1"/>
  <c r="AA156" i="105"/>
  <c r="AA59" i="82" s="1"/>
  <c r="AA124" i="105"/>
  <c r="R124" i="105"/>
  <c r="R191" i="105" s="1"/>
  <c r="R156" i="105"/>
  <c r="R59" i="82" s="1"/>
  <c r="Q158" i="105"/>
  <c r="Q60" i="82" s="1"/>
  <c r="Q156" i="105"/>
  <c r="Q59" i="82" s="1"/>
  <c r="R130" i="105"/>
  <c r="R58" i="82" s="1"/>
  <c r="R158" i="105"/>
  <c r="R60" i="82" s="1"/>
  <c r="V89" i="105"/>
  <c r="AB89" i="105"/>
  <c r="P89" i="105"/>
  <c r="P158" i="105" s="1"/>
  <c r="P60" i="82" s="1"/>
  <c r="K89" i="105"/>
  <c r="N89" i="105"/>
  <c r="T166" i="105"/>
  <c r="T92" i="105"/>
  <c r="H154" i="41"/>
  <c r="H156" i="41" s="1"/>
  <c r="H75" i="105"/>
  <c r="H115" i="105" s="1"/>
  <c r="Z130" i="105"/>
  <c r="Z58" i="82" s="1"/>
  <c r="Z158" i="105"/>
  <c r="Z60" i="82" s="1"/>
  <c r="M102" i="105"/>
  <c r="M109" i="105" s="1"/>
  <c r="M177" i="105"/>
  <c r="M184" i="105" s="1"/>
  <c r="K166" i="105"/>
  <c r="K92" i="105"/>
  <c r="V178" i="105"/>
  <c r="V103" i="105"/>
  <c r="T178" i="105"/>
  <c r="T103" i="105"/>
  <c r="T89" i="105"/>
  <c r="T156" i="105" s="1"/>
  <c r="T59" i="82" s="1"/>
  <c r="W89" i="105"/>
  <c r="W156" i="105" s="1"/>
  <c r="W59" i="82" s="1"/>
  <c r="J60" i="106" a="1"/>
  <c r="S54" i="105"/>
  <c r="P92" i="105"/>
  <c r="P166" i="105"/>
  <c r="J16" i="106" a="1"/>
  <c r="J45" i="105"/>
  <c r="J82" i="105" s="1"/>
  <c r="J107" i="65"/>
  <c r="J98" i="65"/>
  <c r="AB166" i="105"/>
  <c r="AB92" i="105"/>
  <c r="P178" i="105"/>
  <c r="P103" i="105"/>
  <c r="AB167" i="105"/>
  <c r="AB93" i="105"/>
  <c r="H83" i="105"/>
  <c r="R57" i="82"/>
  <c r="L130" i="105"/>
  <c r="L58" i="82" s="1"/>
  <c r="L158" i="105"/>
  <c r="L60" i="82" s="1"/>
  <c r="X54" i="105"/>
  <c r="J65" i="106" a="1"/>
  <c r="M92" i="105"/>
  <c r="M99" i="105" s="1"/>
  <c r="M166" i="105"/>
  <c r="M173" i="105" s="1"/>
  <c r="K177" i="105"/>
  <c r="K102" i="105"/>
  <c r="AA158" i="105"/>
  <c r="AA60" i="82" s="1"/>
  <c r="AA130" i="105"/>
  <c r="AA58" i="82" s="1"/>
  <c r="U89" i="105"/>
  <c r="U156" i="105" s="1"/>
  <c r="U59" i="82" s="1"/>
  <c r="U94" i="105"/>
  <c r="U168" i="105"/>
  <c r="J95" i="106" a="1"/>
  <c r="S63" i="105"/>
  <c r="S168" i="105"/>
  <c r="S94" i="105"/>
  <c r="AB178" i="105"/>
  <c r="AB103" i="105"/>
  <c r="O158" i="105"/>
  <c r="O60" i="82" s="1"/>
  <c r="O130" i="105"/>
  <c r="O58" i="82" s="1"/>
  <c r="W177" i="105"/>
  <c r="W102" i="105"/>
  <c r="N93" i="105"/>
  <c r="N167" i="105"/>
  <c r="T168" i="105"/>
  <c r="T94" i="105"/>
  <c r="AB94" i="105"/>
  <c r="AB168" i="105"/>
  <c r="N92" i="105"/>
  <c r="N166" i="105"/>
  <c r="X130" i="105"/>
  <c r="X58" i="82" s="1"/>
  <c r="X158" i="105"/>
  <c r="X60" i="82" s="1"/>
  <c r="U166" i="105"/>
  <c r="U92" i="105"/>
  <c r="P93" i="105"/>
  <c r="P167" i="105"/>
  <c r="N103" i="105"/>
  <c r="N178" i="105"/>
  <c r="U93" i="105"/>
  <c r="U167" i="105"/>
  <c r="T167" i="105"/>
  <c r="T93" i="105"/>
  <c r="H84" i="105"/>
  <c r="W179" i="105"/>
  <c r="W104" i="105"/>
  <c r="K103" i="105"/>
  <c r="K178" i="105"/>
  <c r="Y130" i="105"/>
  <c r="Y58" i="82" s="1"/>
  <c r="Y158" i="105"/>
  <c r="Y60" i="82" s="1"/>
  <c r="S93" i="105"/>
  <c r="S167" i="105"/>
  <c r="T102" i="105"/>
  <c r="T177" i="105"/>
  <c r="U104" i="105"/>
  <c r="U179" i="105"/>
  <c r="S89" i="105"/>
  <c r="S156" i="105" s="1"/>
  <c r="S59" i="82" s="1"/>
  <c r="Q191" i="105"/>
  <c r="Q57" i="82"/>
  <c r="Q190" i="105"/>
  <c r="P177" i="105"/>
  <c r="P102" i="105"/>
  <c r="S179" i="105"/>
  <c r="S104" i="105"/>
  <c r="W178" i="105"/>
  <c r="W103" i="105"/>
  <c r="AB177" i="105"/>
  <c r="AB102" i="105"/>
  <c r="K93" i="105"/>
  <c r="K167" i="105"/>
  <c r="U103" i="105"/>
  <c r="U178" i="105"/>
  <c r="T104" i="105"/>
  <c r="T179" i="105"/>
  <c r="AB179" i="105"/>
  <c r="AB104" i="105"/>
  <c r="N102" i="105"/>
  <c r="N177" i="105"/>
  <c r="M130" i="105"/>
  <c r="M58" i="82" s="1"/>
  <c r="M158" i="105"/>
  <c r="M60" i="82" s="1"/>
  <c r="M124" i="105"/>
  <c r="V102" i="105"/>
  <c r="V177" i="105"/>
  <c r="S178" i="105"/>
  <c r="S103" i="105"/>
  <c r="V104" i="105"/>
  <c r="V179" i="105"/>
  <c r="U102" i="105"/>
  <c r="U177" i="105"/>
  <c r="X92" i="105" l="1"/>
  <c r="X99" i="105" s="1"/>
  <c r="X131" i="105" s="1"/>
  <c r="X166" i="105"/>
  <c r="X173" i="105" s="1"/>
  <c r="X190" i="105" s="1"/>
  <c r="X68" i="82" s="1"/>
  <c r="AA191" i="105"/>
  <c r="AA69" i="82" s="1"/>
  <c r="AA190" i="105"/>
  <c r="AA68" i="82" s="1"/>
  <c r="AA57" i="82"/>
  <c r="Y190" i="105"/>
  <c r="Y68" i="82" s="1"/>
  <c r="Y57" i="82"/>
  <c r="Y191" i="105"/>
  <c r="Y69" i="82" s="1"/>
  <c r="X191" i="105"/>
  <c r="X69" i="82" s="1"/>
  <c r="X57" i="82"/>
  <c r="Z57" i="82"/>
  <c r="Z191" i="105"/>
  <c r="Z69" i="82" s="1"/>
  <c r="Z190" i="105"/>
  <c r="Z68" i="82" s="1"/>
  <c r="R190" i="105"/>
  <c r="AB130" i="105"/>
  <c r="AB58" i="82" s="1"/>
  <c r="AB156" i="105"/>
  <c r="AB59" i="82" s="1"/>
  <c r="N130" i="105"/>
  <c r="N58" i="82" s="1"/>
  <c r="N156" i="105"/>
  <c r="N59" i="82" s="1"/>
  <c r="V130" i="105"/>
  <c r="V58" i="82" s="1"/>
  <c r="V156" i="105"/>
  <c r="V59" i="82" s="1"/>
  <c r="K124" i="105"/>
  <c r="K57" i="82" s="1"/>
  <c r="K156" i="105"/>
  <c r="K59" i="82" s="1"/>
  <c r="P130" i="105"/>
  <c r="P58" i="82" s="1"/>
  <c r="P156" i="105"/>
  <c r="P59" i="82" s="1"/>
  <c r="AB124" i="105"/>
  <c r="AB158" i="105"/>
  <c r="AB60" i="82" s="1"/>
  <c r="V158" i="105"/>
  <c r="V60" i="82" s="1"/>
  <c r="V124" i="105"/>
  <c r="V57" i="82" s="1"/>
  <c r="P109" i="105"/>
  <c r="P132" i="105" s="1"/>
  <c r="P124" i="105"/>
  <c r="P57" i="82" s="1"/>
  <c r="P184" i="105"/>
  <c r="K158" i="105"/>
  <c r="K60" i="82" s="1"/>
  <c r="K130" i="105"/>
  <c r="K58" i="82" s="1"/>
  <c r="K184" i="105"/>
  <c r="N158" i="105"/>
  <c r="N60" i="82" s="1"/>
  <c r="U99" i="105"/>
  <c r="U125" i="105" s="1"/>
  <c r="N184" i="105"/>
  <c r="N124" i="105"/>
  <c r="N57" i="82" s="1"/>
  <c r="V109" i="105"/>
  <c r="V184" i="105"/>
  <c r="V191" i="105" s="1"/>
  <c r="V69" i="82" s="1"/>
  <c r="AB184" i="105"/>
  <c r="U173" i="105"/>
  <c r="W109" i="105"/>
  <c r="S177" i="105"/>
  <c r="S184" i="105" s="1"/>
  <c r="S102" i="105"/>
  <c r="S109" i="105" s="1"/>
  <c r="U124" i="105"/>
  <c r="U158" i="105"/>
  <c r="U60" i="82" s="1"/>
  <c r="U130" i="105"/>
  <c r="U58" i="82" s="1"/>
  <c r="AB173" i="105"/>
  <c r="J32" i="106"/>
  <c r="K31" i="106"/>
  <c r="L45" i="106"/>
  <c r="K18" i="106"/>
  <c r="L33" i="82" s="1"/>
  <c r="P23" i="106"/>
  <c r="N20" i="106"/>
  <c r="O30" i="106"/>
  <c r="O36" i="106"/>
  <c r="O29" i="106"/>
  <c r="M38" i="106"/>
  <c r="J27" i="106"/>
  <c r="J45" i="106"/>
  <c r="L16" i="106"/>
  <c r="N25" i="106"/>
  <c r="O25" i="106"/>
  <c r="K20" i="106"/>
  <c r="K23" i="106"/>
  <c r="P31" i="106"/>
  <c r="L30" i="106"/>
  <c r="L24" i="106"/>
  <c r="M30" i="106"/>
  <c r="M48" i="106"/>
  <c r="J28" i="106"/>
  <c r="N29" i="106"/>
  <c r="N36" i="106"/>
  <c r="N34" i="106"/>
  <c r="O40" i="106"/>
  <c r="N45" i="106"/>
  <c r="P46" i="106"/>
  <c r="P29" i="106"/>
  <c r="N18" i="106"/>
  <c r="O27" i="106"/>
  <c r="L40" i="106"/>
  <c r="P24" i="106"/>
  <c r="L43" i="106"/>
  <c r="J42" i="106"/>
  <c r="L48" i="106"/>
  <c r="M21" i="106"/>
  <c r="K46" i="106"/>
  <c r="K37" i="106"/>
  <c r="M29" i="106"/>
  <c r="M16" i="106"/>
  <c r="N35" i="106"/>
  <c r="M31" i="106"/>
  <c r="N48" i="106"/>
  <c r="L39" i="106"/>
  <c r="P27" i="106"/>
  <c r="K43" i="106"/>
  <c r="O31" i="106"/>
  <c r="K40" i="106"/>
  <c r="N22" i="106"/>
  <c r="M41" i="106"/>
  <c r="N43" i="106"/>
  <c r="P34" i="106"/>
  <c r="K28" i="106"/>
  <c r="N33" i="106"/>
  <c r="J18" i="106"/>
  <c r="M36" i="106"/>
  <c r="P44" i="106"/>
  <c r="K38" i="106"/>
  <c r="O21" i="106"/>
  <c r="K41" i="106"/>
  <c r="P22" i="106"/>
  <c r="M45" i="106"/>
  <c r="O48" i="106"/>
  <c r="O24" i="106"/>
  <c r="L31" i="106"/>
  <c r="J37" i="106"/>
  <c r="O37" i="106"/>
  <c r="N32" i="106"/>
  <c r="O26" i="106"/>
  <c r="J29" i="106"/>
  <c r="J44" i="106"/>
  <c r="P42" i="106"/>
  <c r="N41" i="106"/>
  <c r="J33" i="106"/>
  <c r="N37" i="106"/>
  <c r="N31" i="106"/>
  <c r="K36" i="106"/>
  <c r="J34" i="106"/>
  <c r="K44" i="106"/>
  <c r="K34" i="106"/>
  <c r="L18" i="106"/>
  <c r="L34" i="82" s="1"/>
  <c r="N17" i="106"/>
  <c r="O28" i="106"/>
  <c r="M39" i="106"/>
  <c r="J40" i="106"/>
  <c r="K35" i="106"/>
  <c r="K19" i="106"/>
  <c r="K26" i="106"/>
  <c r="N16" i="106"/>
  <c r="O44" i="106"/>
  <c r="M37" i="106"/>
  <c r="M24" i="106"/>
  <c r="J20" i="106"/>
  <c r="J26" i="106"/>
  <c r="L34" i="106"/>
  <c r="K17" i="106"/>
  <c r="N23" i="106"/>
  <c r="P28" i="106"/>
  <c r="P40" i="106"/>
  <c r="K21" i="106"/>
  <c r="O33" i="82" s="1"/>
  <c r="N21" i="106"/>
  <c r="M28" i="106"/>
  <c r="M27" i="106"/>
  <c r="M22" i="106"/>
  <c r="K48" i="106"/>
  <c r="N30" i="106"/>
  <c r="J19" i="106"/>
  <c r="L46" i="106"/>
  <c r="P47" i="106"/>
  <c r="M26" i="106"/>
  <c r="M19" i="106"/>
  <c r="J35" i="106"/>
  <c r="O38" i="106"/>
  <c r="O43" i="106"/>
  <c r="M43" i="106"/>
  <c r="M40" i="106"/>
  <c r="K47" i="106"/>
  <c r="L38" i="106"/>
  <c r="P26" i="106"/>
  <c r="K29" i="106"/>
  <c r="O34" i="106"/>
  <c r="K24" i="106"/>
  <c r="N38" i="106"/>
  <c r="K42" i="106"/>
  <c r="O33" i="106"/>
  <c r="L35" i="106"/>
  <c r="K25" i="106"/>
  <c r="K30" i="106"/>
  <c r="L23" i="106"/>
  <c r="L33" i="106"/>
  <c r="O20" i="106"/>
  <c r="M46" i="106"/>
  <c r="O32" i="106"/>
  <c r="J16" i="106"/>
  <c r="L17" i="106"/>
  <c r="P32" i="106"/>
  <c r="J24" i="106"/>
  <c r="P16" i="106"/>
  <c r="J43" i="106"/>
  <c r="M18" i="106"/>
  <c r="K32" i="106"/>
  <c r="O42" i="106"/>
  <c r="J38" i="106"/>
  <c r="O41" i="106"/>
  <c r="O45" i="106"/>
  <c r="N40" i="106"/>
  <c r="J23" i="106"/>
  <c r="P41" i="106"/>
  <c r="O22" i="106"/>
  <c r="M35" i="106"/>
  <c r="P43" i="106"/>
  <c r="J41" i="106"/>
  <c r="O16" i="106"/>
  <c r="O17" i="106"/>
  <c r="O23" i="106"/>
  <c r="N47" i="106"/>
  <c r="L28" i="106"/>
  <c r="L20" i="106"/>
  <c r="K33" i="106"/>
  <c r="K27" i="106"/>
  <c r="O39" i="106"/>
  <c r="P25" i="106"/>
  <c r="P21" i="106"/>
  <c r="L22" i="106"/>
  <c r="L32" i="106"/>
  <c r="N26" i="106"/>
  <c r="N19" i="106"/>
  <c r="M20" i="106"/>
  <c r="J39" i="106"/>
  <c r="P38" i="106"/>
  <c r="J48" i="106"/>
  <c r="N27" i="106"/>
  <c r="P37" i="106"/>
  <c r="P45" i="106"/>
  <c r="J31" i="106"/>
  <c r="O18" i="106"/>
  <c r="M44" i="106"/>
  <c r="L21" i="106"/>
  <c r="O34" i="82" s="1"/>
  <c r="L36" i="106"/>
  <c r="P20" i="106"/>
  <c r="K22" i="106"/>
  <c r="J25" i="106"/>
  <c r="P19" i="106"/>
  <c r="O47" i="106"/>
  <c r="P33" i="106"/>
  <c r="J30" i="106"/>
  <c r="K39" i="106"/>
  <c r="N42" i="106"/>
  <c r="N46" i="106"/>
  <c r="O19" i="106"/>
  <c r="L29" i="106"/>
  <c r="M34" i="106"/>
  <c r="J46" i="106"/>
  <c r="M33" i="106"/>
  <c r="L42" i="106"/>
  <c r="P18" i="106"/>
  <c r="O35" i="106"/>
  <c r="J22" i="106"/>
  <c r="M32" i="106"/>
  <c r="J47" i="106"/>
  <c r="M23" i="106"/>
  <c r="P39" i="106"/>
  <c r="P35" i="106"/>
  <c r="L37" i="106"/>
  <c r="P36" i="106"/>
  <c r="M25" i="106"/>
  <c r="L25" i="106"/>
  <c r="M17" i="106"/>
  <c r="J36" i="106"/>
  <c r="P48" i="106"/>
  <c r="N44" i="106"/>
  <c r="P17" i="106"/>
  <c r="N28" i="106"/>
  <c r="O46" i="106"/>
  <c r="M42" i="106"/>
  <c r="K45" i="106"/>
  <c r="K16" i="106"/>
  <c r="M47" i="106"/>
  <c r="L41" i="106"/>
  <c r="L26" i="106"/>
  <c r="J17" i="106"/>
  <c r="N39" i="106"/>
  <c r="N24" i="106"/>
  <c r="L47" i="106"/>
  <c r="L19" i="106"/>
  <c r="J21" i="106"/>
  <c r="L44" i="106"/>
  <c r="L27" i="106"/>
  <c r="P30" i="106"/>
  <c r="M60" i="106"/>
  <c r="J62" i="106"/>
  <c r="L61" i="106"/>
  <c r="K61" i="106"/>
  <c r="P62" i="106"/>
  <c r="N62" i="106"/>
  <c r="J60" i="106"/>
  <c r="N61" i="106"/>
  <c r="L60" i="106"/>
  <c r="N60" i="106"/>
  <c r="J61" i="106"/>
  <c r="M62" i="106"/>
  <c r="O60" i="106"/>
  <c r="P61" i="106"/>
  <c r="L62" i="106"/>
  <c r="M61" i="106"/>
  <c r="K60" i="106"/>
  <c r="O62" i="106"/>
  <c r="P60" i="106"/>
  <c r="O61" i="106"/>
  <c r="K62" i="106"/>
  <c r="K173" i="105"/>
  <c r="W184" i="105"/>
  <c r="P173" i="105"/>
  <c r="A4" i="41"/>
  <c r="J52" i="55"/>
  <c r="U184" i="105"/>
  <c r="M57" i="82"/>
  <c r="M190" i="105"/>
  <c r="M68" i="82" s="1"/>
  <c r="M191" i="105"/>
  <c r="M69" i="82" s="1"/>
  <c r="N109" i="105"/>
  <c r="H93" i="105"/>
  <c r="S124" i="105"/>
  <c r="S57" i="82" s="1"/>
  <c r="S130" i="105"/>
  <c r="S58" i="82" s="1"/>
  <c r="S158" i="105"/>
  <c r="S60" i="82" s="1"/>
  <c r="T109" i="105"/>
  <c r="N173" i="105"/>
  <c r="H94" i="105"/>
  <c r="M125" i="105"/>
  <c r="M131" i="105"/>
  <c r="J86" i="106" a="1"/>
  <c r="J63" i="105"/>
  <c r="P99" i="105"/>
  <c r="T130" i="105"/>
  <c r="T58" i="82" s="1"/>
  <c r="T158" i="105"/>
  <c r="T60" i="82" s="1"/>
  <c r="T124" i="105"/>
  <c r="M132" i="105"/>
  <c r="M126" i="105"/>
  <c r="T99" i="105"/>
  <c r="T184" i="105"/>
  <c r="J105" i="106"/>
  <c r="O100" i="106"/>
  <c r="M105" i="106"/>
  <c r="K96" i="106"/>
  <c r="J104" i="106"/>
  <c r="K100" i="106"/>
  <c r="L105" i="106"/>
  <c r="J95" i="106"/>
  <c r="L106" i="106"/>
  <c r="J100" i="106"/>
  <c r="K97" i="106"/>
  <c r="O106" i="106"/>
  <c r="O98" i="106"/>
  <c r="P99" i="106"/>
  <c r="L104" i="106"/>
  <c r="J97" i="106"/>
  <c r="N107" i="106"/>
  <c r="L96" i="106"/>
  <c r="M99" i="106"/>
  <c r="N103" i="106"/>
  <c r="K103" i="106"/>
  <c r="M101" i="106"/>
  <c r="M97" i="106"/>
  <c r="O95" i="106"/>
  <c r="M96" i="106"/>
  <c r="N100" i="106"/>
  <c r="P101" i="106"/>
  <c r="O105" i="106"/>
  <c r="O96" i="106"/>
  <c r="N106" i="106"/>
  <c r="K107" i="106"/>
  <c r="M106" i="106"/>
  <c r="O107" i="106"/>
  <c r="O103" i="106"/>
  <c r="M98" i="106"/>
  <c r="N101" i="106"/>
  <c r="P100" i="106"/>
  <c r="P106" i="106"/>
  <c r="N97" i="106"/>
  <c r="K95" i="106"/>
  <c r="L95" i="106"/>
  <c r="L107" i="106"/>
  <c r="L101" i="106"/>
  <c r="M102" i="106"/>
  <c r="K105" i="106"/>
  <c r="K98" i="106"/>
  <c r="J107" i="106"/>
  <c r="M95" i="106"/>
  <c r="L102" i="106"/>
  <c r="J103" i="106"/>
  <c r="N99" i="106"/>
  <c r="N104" i="106"/>
  <c r="P103" i="106"/>
  <c r="P102" i="106"/>
  <c r="O104" i="106"/>
  <c r="N95" i="106"/>
  <c r="M107" i="106"/>
  <c r="K102" i="106"/>
  <c r="P105" i="106"/>
  <c r="N96" i="106"/>
  <c r="P107" i="106"/>
  <c r="M104" i="106"/>
  <c r="K101" i="106"/>
  <c r="P98" i="106"/>
  <c r="N98" i="106"/>
  <c r="N105" i="106"/>
  <c r="J106" i="106"/>
  <c r="J96" i="106"/>
  <c r="J98" i="106"/>
  <c r="K106" i="106"/>
  <c r="K99" i="106"/>
  <c r="L103" i="106"/>
  <c r="L97" i="106"/>
  <c r="M103" i="106"/>
  <c r="K104" i="106"/>
  <c r="N102" i="106"/>
  <c r="M100" i="106"/>
  <c r="O101" i="106"/>
  <c r="P97" i="106"/>
  <c r="O97" i="106"/>
  <c r="J101" i="106"/>
  <c r="J102" i="106"/>
  <c r="L100" i="106"/>
  <c r="J99" i="106"/>
  <c r="L98" i="106"/>
  <c r="O102" i="106"/>
  <c r="P104" i="106"/>
  <c r="L99" i="106"/>
  <c r="P96" i="106"/>
  <c r="O99" i="106"/>
  <c r="P95" i="106"/>
  <c r="J51" i="106" a="1"/>
  <c r="J54" i="105"/>
  <c r="H117" i="65" a="1"/>
  <c r="H117" i="65" s="1"/>
  <c r="W130" i="105"/>
  <c r="W58" i="82" s="1"/>
  <c r="W158" i="105"/>
  <c r="W60" i="82" s="1"/>
  <c r="W124" i="105"/>
  <c r="U109" i="105"/>
  <c r="AB109" i="105"/>
  <c r="H104" i="105"/>
  <c r="H103" i="105"/>
  <c r="N99" i="105"/>
  <c r="K109" i="105"/>
  <c r="J66" i="106"/>
  <c r="K67" i="106"/>
  <c r="L69" i="106"/>
  <c r="K68" i="106"/>
  <c r="M67" i="106"/>
  <c r="M70" i="106"/>
  <c r="O65" i="106"/>
  <c r="P66" i="106"/>
  <c r="N65" i="106"/>
  <c r="O70" i="106"/>
  <c r="O68" i="106"/>
  <c r="K69" i="106"/>
  <c r="J69" i="106"/>
  <c r="J67" i="106"/>
  <c r="L66" i="106"/>
  <c r="N69" i="106"/>
  <c r="P69" i="106"/>
  <c r="L65" i="106"/>
  <c r="L67" i="106"/>
  <c r="O67" i="106"/>
  <c r="N70" i="106"/>
  <c r="P65" i="106"/>
  <c r="N68" i="106"/>
  <c r="K66" i="106"/>
  <c r="K65" i="106"/>
  <c r="O66" i="106"/>
  <c r="M65" i="106"/>
  <c r="J70" i="106"/>
  <c r="L70" i="106"/>
  <c r="N66" i="106"/>
  <c r="J68" i="106"/>
  <c r="P67" i="106"/>
  <c r="M66" i="106"/>
  <c r="L68" i="106"/>
  <c r="K70" i="106"/>
  <c r="O69" i="106"/>
  <c r="J65" i="106"/>
  <c r="P70" i="106"/>
  <c r="N67" i="106"/>
  <c r="M69" i="106"/>
  <c r="P68" i="106"/>
  <c r="M68" i="106"/>
  <c r="AB99" i="105"/>
  <c r="J89" i="105"/>
  <c r="J156" i="105" s="1"/>
  <c r="J59" i="82" s="1"/>
  <c r="H82" i="105"/>
  <c r="H89" i="105" s="1"/>
  <c r="S166" i="105"/>
  <c r="S173" i="105" s="1"/>
  <c r="S92" i="105"/>
  <c r="S99" i="105" s="1"/>
  <c r="K99" i="105"/>
  <c r="T173" i="105"/>
  <c r="AB191" i="105" l="1"/>
  <c r="AB69" i="82" s="1"/>
  <c r="AB57" i="82"/>
  <c r="K190" i="105"/>
  <c r="K68" i="82" s="1"/>
  <c r="K191" i="105"/>
  <c r="K69" i="82" s="1"/>
  <c r="R36" i="82"/>
  <c r="AG34" i="82"/>
  <c r="S34" i="82"/>
  <c r="AC38" i="82"/>
  <c r="Z35" i="82"/>
  <c r="W34" i="82"/>
  <c r="AF33" i="82"/>
  <c r="M38" i="82"/>
  <c r="AD34" i="82"/>
  <c r="Y32" i="82"/>
  <c r="M36" i="82"/>
  <c r="O38" i="82"/>
  <c r="AA33" i="82"/>
  <c r="Q37" i="82"/>
  <c r="AH38" i="82"/>
  <c r="Q32" i="82"/>
  <c r="AH32" i="82"/>
  <c r="K34" i="82"/>
  <c r="N37" i="82"/>
  <c r="S33" i="82"/>
  <c r="T38" i="82"/>
  <c r="AH35" i="82"/>
  <c r="M35" i="82"/>
  <c r="M32" i="82"/>
  <c r="U35" i="82"/>
  <c r="AB34" i="82"/>
  <c r="AE35" i="82"/>
  <c r="M33" i="82"/>
  <c r="V37" i="82"/>
  <c r="AE36" i="82"/>
  <c r="AE37" i="82"/>
  <c r="O37" i="82"/>
  <c r="L32" i="82"/>
  <c r="AH36" i="82"/>
  <c r="Y37" i="82"/>
  <c r="W35" i="82"/>
  <c r="AD36" i="82"/>
  <c r="X35" i="82"/>
  <c r="Q33" i="82"/>
  <c r="J34" i="82"/>
  <c r="W37" i="82"/>
  <c r="Q38" i="82"/>
  <c r="Z32" i="82"/>
  <c r="O32" i="82"/>
  <c r="AF36" i="82"/>
  <c r="AJ35" i="82"/>
  <c r="S35" i="82"/>
  <c r="AF38" i="82"/>
  <c r="P32" i="82"/>
  <c r="AA35" i="82"/>
  <c r="M37" i="82"/>
  <c r="X32" i="82"/>
  <c r="S32" i="82"/>
  <c r="AI38" i="82"/>
  <c r="T36" i="82"/>
  <c r="S38" i="82"/>
  <c r="N34" i="82"/>
  <c r="K37" i="82"/>
  <c r="AC35" i="82"/>
  <c r="J38" i="82"/>
  <c r="AA34" i="82"/>
  <c r="AC34" i="82"/>
  <c r="R33" i="82"/>
  <c r="AH37" i="82"/>
  <c r="T35" i="82"/>
  <c r="X36" i="82"/>
  <c r="V35" i="82"/>
  <c r="V38" i="82"/>
  <c r="T32" i="82"/>
  <c r="AC33" i="82"/>
  <c r="K36" i="82"/>
  <c r="AB32" i="82"/>
  <c r="AA32" i="82"/>
  <c r="W32" i="82"/>
  <c r="AE32" i="82"/>
  <c r="AI35" i="82"/>
  <c r="AA36" i="82"/>
  <c r="AG35" i="82"/>
  <c r="AH33" i="82"/>
  <c r="Y35" i="82"/>
  <c r="AE33" i="82"/>
  <c r="U37" i="82"/>
  <c r="AI36" i="82"/>
  <c r="W36" i="82"/>
  <c r="R34" i="82"/>
  <c r="N33" i="82"/>
  <c r="AI32" i="82"/>
  <c r="AD37" i="82"/>
  <c r="X38" i="82"/>
  <c r="M34" i="82"/>
  <c r="K32" i="82"/>
  <c r="J33" i="82"/>
  <c r="V36" i="82"/>
  <c r="AD32" i="82"/>
  <c r="AD38" i="82"/>
  <c r="Q35" i="82"/>
  <c r="AC37" i="82"/>
  <c r="AA38" i="82"/>
  <c r="P33" i="82"/>
  <c r="AE38" i="82"/>
  <c r="AF32" i="82"/>
  <c r="Z34" i="82"/>
  <c r="AF37" i="82"/>
  <c r="V34" i="82"/>
  <c r="J37" i="82"/>
  <c r="P37" i="82"/>
  <c r="AI37" i="82"/>
  <c r="Z33" i="82"/>
  <c r="R32" i="82"/>
  <c r="Z37" i="82"/>
  <c r="Q34" i="82"/>
  <c r="AA37" i="82"/>
  <c r="AB37" i="82"/>
  <c r="AJ33" i="82"/>
  <c r="AJ38" i="82"/>
  <c r="O36" i="82"/>
  <c r="Q36" i="82"/>
  <c r="N32" i="82"/>
  <c r="J36" i="82"/>
  <c r="AD33" i="82"/>
  <c r="AG36" i="82"/>
  <c r="T37" i="82"/>
  <c r="Y34" i="82"/>
  <c r="P38" i="82"/>
  <c r="V33" i="82"/>
  <c r="P36" i="82"/>
  <c r="U38" i="82"/>
  <c r="AC36" i="82"/>
  <c r="AH34" i="82"/>
  <c r="L36" i="82"/>
  <c r="V32" i="82"/>
  <c r="X34" i="82"/>
  <c r="S37" i="82"/>
  <c r="U32" i="82"/>
  <c r="X37" i="82"/>
  <c r="AI34" i="82"/>
  <c r="U34" i="82"/>
  <c r="AJ34" i="82"/>
  <c r="T34" i="82"/>
  <c r="AI33" i="82"/>
  <c r="K38" i="82"/>
  <c r="K35" i="82"/>
  <c r="AE34" i="82"/>
  <c r="AJ32" i="82"/>
  <c r="L38" i="82"/>
  <c r="AB35" i="82"/>
  <c r="AJ37" i="82"/>
  <c r="N38" i="82"/>
  <c r="L37" i="82"/>
  <c r="U36" i="82"/>
  <c r="N35" i="82"/>
  <c r="P34" i="82"/>
  <c r="U33" i="82"/>
  <c r="AJ36" i="82"/>
  <c r="AG32" i="82"/>
  <c r="AG38" i="82"/>
  <c r="AG37" i="82"/>
  <c r="L35" i="82"/>
  <c r="Z38" i="82"/>
  <c r="X33" i="82"/>
  <c r="W33" i="82"/>
  <c r="AC32" i="82"/>
  <c r="P35" i="82"/>
  <c r="K33" i="82"/>
  <c r="R35" i="82"/>
  <c r="T33" i="82"/>
  <c r="AF35" i="82"/>
  <c r="AB33" i="82"/>
  <c r="Y36" i="82"/>
  <c r="Z36" i="82"/>
  <c r="R37" i="82"/>
  <c r="AG33" i="82"/>
  <c r="AD35" i="82"/>
  <c r="AB38" i="82"/>
  <c r="AF34" i="82"/>
  <c r="J35" i="82"/>
  <c r="O35" i="82"/>
  <c r="R38" i="82"/>
  <c r="W38" i="82"/>
  <c r="AB36" i="82"/>
  <c r="Y38" i="82"/>
  <c r="S36" i="82"/>
  <c r="N36" i="82"/>
  <c r="Y33" i="82"/>
  <c r="AB190" i="105"/>
  <c r="AB68" i="82" s="1"/>
  <c r="P190" i="105"/>
  <c r="P68" i="82" s="1"/>
  <c r="U131" i="105"/>
  <c r="V190" i="105"/>
  <c r="P191" i="105"/>
  <c r="P69" i="82" s="1"/>
  <c r="P126" i="105"/>
  <c r="N190" i="105"/>
  <c r="N68" i="82" s="1"/>
  <c r="N191" i="105"/>
  <c r="N69" i="82" s="1"/>
  <c r="S190" i="105"/>
  <c r="S68" i="82" s="1"/>
  <c r="S191" i="105"/>
  <c r="S69" i="82" s="1"/>
  <c r="A4" i="65"/>
  <c r="J53" i="55"/>
  <c r="W126" i="105"/>
  <c r="W132" i="105"/>
  <c r="T131" i="105"/>
  <c r="T125" i="105"/>
  <c r="U132" i="105"/>
  <c r="U126" i="105"/>
  <c r="J158" i="105"/>
  <c r="J60" i="82" s="1"/>
  <c r="J130" i="105"/>
  <c r="J58" i="82" s="1"/>
  <c r="J124" i="105"/>
  <c r="K126" i="105"/>
  <c r="K132" i="105"/>
  <c r="W191" i="105"/>
  <c r="W69" i="82" s="1"/>
  <c r="W57" i="82"/>
  <c r="W190" i="105"/>
  <c r="J92" i="105"/>
  <c r="J166" i="105"/>
  <c r="J173" i="105" s="1"/>
  <c r="P125" i="105"/>
  <c r="P131" i="105"/>
  <c r="J32" i="82"/>
  <c r="U191" i="105"/>
  <c r="U69" i="82" s="1"/>
  <c r="U57" i="82"/>
  <c r="U190" i="105"/>
  <c r="U68" i="82" s="1"/>
  <c r="P90" i="106"/>
  <c r="M88" i="106"/>
  <c r="P87" i="106"/>
  <c r="K92" i="106"/>
  <c r="K87" i="106"/>
  <c r="L86" i="106"/>
  <c r="P89" i="106"/>
  <c r="M89" i="106"/>
  <c r="L87" i="106"/>
  <c r="L89" i="106"/>
  <c r="K91" i="106"/>
  <c r="L91" i="106"/>
  <c r="M90" i="106"/>
  <c r="N92" i="106"/>
  <c r="K90" i="106"/>
  <c r="M92" i="106"/>
  <c r="O89" i="106"/>
  <c r="N86" i="106"/>
  <c r="N91" i="106"/>
  <c r="L90" i="106"/>
  <c r="M86" i="106"/>
  <c r="M91" i="106"/>
  <c r="N89" i="106"/>
  <c r="J86" i="106"/>
  <c r="O87" i="106"/>
  <c r="M87" i="106"/>
  <c r="P88" i="106"/>
  <c r="O86" i="106"/>
  <c r="N88" i="106"/>
  <c r="K86" i="106"/>
  <c r="N90" i="106"/>
  <c r="J90" i="106"/>
  <c r="P92" i="106"/>
  <c r="P86" i="106"/>
  <c r="K89" i="106"/>
  <c r="O90" i="106"/>
  <c r="J89" i="106"/>
  <c r="K88" i="106"/>
  <c r="L92" i="106"/>
  <c r="L88" i="106"/>
  <c r="O88" i="106"/>
  <c r="O92" i="106"/>
  <c r="P91" i="106"/>
  <c r="J92" i="106"/>
  <c r="N87" i="106"/>
  <c r="J88" i="106"/>
  <c r="J91" i="106"/>
  <c r="O91" i="106"/>
  <c r="J87" i="106"/>
  <c r="N126" i="105"/>
  <c r="N132" i="105"/>
  <c r="K125" i="105"/>
  <c r="K131" i="105"/>
  <c r="S125" i="105"/>
  <c r="S131" i="105"/>
  <c r="N125" i="105"/>
  <c r="N131" i="105"/>
  <c r="K57" i="106"/>
  <c r="J51" i="106"/>
  <c r="P56" i="106"/>
  <c r="J57" i="106"/>
  <c r="P51" i="106"/>
  <c r="N52" i="106"/>
  <c r="P53" i="106"/>
  <c r="N56" i="106"/>
  <c r="P52" i="106"/>
  <c r="M53" i="106"/>
  <c r="J54" i="106"/>
  <c r="O51" i="106"/>
  <c r="J55" i="106"/>
  <c r="L54" i="106"/>
  <c r="O57" i="106"/>
  <c r="L56" i="106"/>
  <c r="O55" i="106"/>
  <c r="J52" i="106"/>
  <c r="O53" i="106"/>
  <c r="O56" i="106"/>
  <c r="N54" i="106"/>
  <c r="N57" i="106"/>
  <c r="L57" i="106"/>
  <c r="K53" i="106"/>
  <c r="M52" i="106"/>
  <c r="M57" i="106"/>
  <c r="J56" i="106"/>
  <c r="J53" i="106"/>
  <c r="P57" i="106"/>
  <c r="M55" i="106"/>
  <c r="M56" i="106"/>
  <c r="M51" i="106"/>
  <c r="K52" i="106"/>
  <c r="P55" i="106"/>
  <c r="L51" i="106"/>
  <c r="K55" i="106"/>
  <c r="N51" i="106"/>
  <c r="K51" i="106"/>
  <c r="L52" i="106"/>
  <c r="O52" i="106"/>
  <c r="L53" i="106"/>
  <c r="M54" i="106"/>
  <c r="N53" i="106"/>
  <c r="L55" i="106"/>
  <c r="K54" i="106"/>
  <c r="P54" i="106"/>
  <c r="N55" i="106"/>
  <c r="K56" i="106"/>
  <c r="O54" i="106"/>
  <c r="T57" i="82"/>
  <c r="T190" i="105"/>
  <c r="T68" i="82" s="1"/>
  <c r="T191" i="105"/>
  <c r="T69" i="82" s="1"/>
  <c r="J177" i="105"/>
  <c r="J184" i="105" s="1"/>
  <c r="J102" i="105"/>
  <c r="T132" i="105"/>
  <c r="T126" i="105"/>
  <c r="S132" i="105"/>
  <c r="S126" i="105"/>
  <c r="V126" i="105"/>
  <c r="V132" i="105"/>
  <c r="H122" i="106" l="1" a="1"/>
  <c r="H122" i="106" s="1"/>
  <c r="A4" i="106" s="1"/>
  <c r="J99" i="105"/>
  <c r="H92" i="105"/>
  <c r="H99" i="105" s="1"/>
  <c r="J191" i="105"/>
  <c r="J69" i="82" s="1"/>
  <c r="J57" i="82"/>
  <c r="J190" i="105"/>
  <c r="J68" i="82" s="1"/>
  <c r="J109" i="105"/>
  <c r="H102" i="105"/>
  <c r="H109" i="105" s="1"/>
  <c r="H73" i="82" l="1" a="1"/>
  <c r="H73" i="82" s="1"/>
  <c r="J56" i="55" s="1"/>
  <c r="J55" i="55"/>
  <c r="J126" i="105"/>
  <c r="J132" i="105"/>
  <c r="J125" i="105"/>
  <c r="J131" i="105"/>
  <c r="H116" i="105"/>
  <c r="H117" i="105" s="1"/>
  <c r="A4" i="82" l="1"/>
  <c r="H119" i="105"/>
  <c r="H120" i="105"/>
  <c r="H195" i="105" l="1" a="1"/>
  <c r="H195" i="105" s="1"/>
  <c r="J54" i="55" s="1"/>
  <c r="J57" i="55" s="1"/>
  <c r="A4" i="55" s="1"/>
  <c r="A4" i="105" l="1"/>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<sst xmlns="http://schemas.openxmlformats.org/spreadsheetml/2006/main" count="7114" uniqueCount="1126">
  <si>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</si>
  <si>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</si>
  <si>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</si>
  <si>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</si>
  <si>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</si>
  <si>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</si>
  <si>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</si>
  <si>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</si>
  <si>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</si>
  <si>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</si>
  <si>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</si>
  <si>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</si>
  <si>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</si>
  <si>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</si>
  <si>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</si>
  <si>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</si>
  <si>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</si>
  <si>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</si>
  <si>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</si>
  <si>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</si>
  <si>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</si>
  <si>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</si>
  <si>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</si>
  <si>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</si>
  <si>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</si>
  <si>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</si>
  <si>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</si>
  <si>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</si>
  <si>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</si>
  <si>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</si>
  <si>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</si>
  <si>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</si>
  <si>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</si>
  <si>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</si>
  <si>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</si>
  <si>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</si>
  <si>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</si>
  <si>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</si>
  <si>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</si>
  <si>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</si>
  <si>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</si>
  <si>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</si>
  <si>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</si>
  <si>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</si>
  <si>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</si>
  <si>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</si>
  <si>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</si>
  <si>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</si>
  <si>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</si>
  <si>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</si>
  <si>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</si>
  <si>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</si>
  <si>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</si>
  <si>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</si>
  <si>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</si>
  <si>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</si>
  <si>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</si>
  <si>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</si>
  <si>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</si>
  <si>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</si>
  <si>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</si>
  <si>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</si>
  <si>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</si>
  <si>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</si>
  <si>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</si>
  <si>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</si>
  <si>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</si>
  <si>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</si>
  <si>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</si>
  <si>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</si>
  <si>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</si>
  <si>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</si>
  <si>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</si>
  <si>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</si>
  <si>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</si>
  <si>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</si>
  <si>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</si>
  <si>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</si>
  <si>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</si>
  <si>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</si>
  <si>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</si>
  <si>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</si>
  <si>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</si>
  <si>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</si>
  <si>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</si>
  <si>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</si>
  <si>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</si>
  <si>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</si>
  <si>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</si>
  <si>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</si>
  <si>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</si>
  <si>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</si>
  <si>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</si>
  <si>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</si>
  <si>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</si>
  <si>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</si>
  <si>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</si>
  <si>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</si>
  <si>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</si>
  <si>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</si>
  <si>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</si>
  <si>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</si>
  <si>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</si>
  <si>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</si>
  <si>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</si>
  <si>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</si>
  <si>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</si>
  <si>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</si>
  <si>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</si>
  <si>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</si>
  <si>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</si>
  <si>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</si>
  <si>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</si>
  <si>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</si>
  <si>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</si>
  <si>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</si>
  <si>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</si>
  <si>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</si>
  <si>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</si>
  <si>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</si>
  <si>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</si>
  <si>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</si>
  <si>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</si>
  <si>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</si>
  <si>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</si>
  <si>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</si>
  <si>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</si>
  <si>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</si>
  <si>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</si>
  <si>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</si>
  <si>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</si>
  <si>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</si>
  <si>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</si>
  <si>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</si>
  <si>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</si>
  <si>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</si>
  <si>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</si>
  <si>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</si>
  <si>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</si>
  <si>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</si>
  <si>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</si>
  <si>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</si>
  <si>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</si>
  <si>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</si>
  <si>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</si>
  <si>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</si>
  <si>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</si>
  <si>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</si>
  <si>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</si>
  <si>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</si>
  <si>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</si>
  <si>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</si>
  <si>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</si>
  <si>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</si>
  <si>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</si>
  <si>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</si>
  <si>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</si>
  <si>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</si>
  <si>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</si>
  <si>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</si>
  <si>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</si>
  <si>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</si>
  <si>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</si>
  <si>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</si>
  <si>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</si>
  <si>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</si>
  <si>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</si>
  <si>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</si>
  <si>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</si>
  <si>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</si>
  <si>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</si>
  <si>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</si>
  <si>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</si>
  <si>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</si>
  <si>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</si>
  <si>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</si>
  <si>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</si>
  <si>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</si>
  <si>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</si>
  <si>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</si>
  <si>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</si>
  <si>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</si>
  <si>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</si>
  <si>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</si>
  <si>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</si>
  <si>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</si>
  <si>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</si>
  <si>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</si>
  <si>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</si>
  <si>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</si>
  <si>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</si>
  <si>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</si>
  <si>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</si>
  <si>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</si>
  <si>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</si>
  <si>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</si>
  <si>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</si>
  <si>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</si>
  <si>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</si>
  <si>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</si>
  <si>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</si>
  <si>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</si>
  <si>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</si>
  <si>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</si>
  <si>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</si>
  <si>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</si>
  <si>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</si>
  <si>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</si>
  <si>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</si>
  <si>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</si>
  <si>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</si>
  <si>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</si>
  <si>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</si>
  <si>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</si>
  <si>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</si>
  <si>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</si>
  <si>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</si>
  <si>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</si>
  <si>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</si>
  <si>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</si>
  <si>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</si>
  <si>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</si>
  <si>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</si>
  <si>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</si>
  <si>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</si>
  <si>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</si>
  <si>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</si>
  <si>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</si>
  <si>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</si>
  <si>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</si>
  <si>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</si>
  <si>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</si>
  <si>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</si>
  <si>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</si>
  <si>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</si>
  <si>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</si>
  <si>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</si>
  <si>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</si>
  <si>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</si>
  <si>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</si>
  <si>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</si>
  <si>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</si>
  <si>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</si>
  <si>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</si>
  <si>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</si>
  <si>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</si>
  <si>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</si>
  <si>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</si>
  <si>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</si>
  <si>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</si>
  <si>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</si>
  <si>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</si>
  <si>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</si>
  <si>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</si>
  <si>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</si>
  <si>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</si>
  <si>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</si>
  <si>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</si>
  <si>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</si>
  <si>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</si>
  <si>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</si>
  <si>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</si>
  <si>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</si>
  <si>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</si>
  <si>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</si>
  <si>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</si>
  <si>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</si>
  <si>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</si>
  <si>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</si>
  <si>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</si>
  <si>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</si>
  <si>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</si>
  <si>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</si>
  <si>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</si>
  <si>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</si>
  <si>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</si>
  <si>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</si>
  <si>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</si>
  <si>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</si>
  <si>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</si>
  <si>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</si>
  <si>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</si>
  <si>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</si>
  <si>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</si>
  <si>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</si>
  <si>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</si>
  <si>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</si>
  <si>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</si>
  <si>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</si>
  <si>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</si>
  <si>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</si>
  <si>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</si>
  <si>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</si>
  <si>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</si>
  <si>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</si>
  <si>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</si>
  <si>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</si>
  <si>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</si>
  <si>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</si>
  <si>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</si>
  <si>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</si>
  <si>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</si>
  <si>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</si>
  <si>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</si>
  <si>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</si>
  <si>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</si>
  <si>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</si>
  <si>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</si>
  <si>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</si>
  <si>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</si>
  <si>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</si>
  <si>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</si>
  <si>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</si>
  <si>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</si>
  <si>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</si>
  <si>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</si>
  <si>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</si>
  <si>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</si>
  <si>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</si>
  <si>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</si>
  <si>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</si>
  <si>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</si>
  <si>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</si>
  <si>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</si>
  <si>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</si>
  <si>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</si>
  <si>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</si>
  <si>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</si>
  <si>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</si>
  <si>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</si>
  <si>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</si>
  <si>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</si>
  <si>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</si>
  <si>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</si>
  <si>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</si>
  <si>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</si>
  <si>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</si>
  <si>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</si>
  <si>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</si>
  <si>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</si>
  <si>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</si>
  <si>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</si>
  <si>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</si>
  <si>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</si>
  <si>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</si>
  <si>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</si>
  <si>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</si>
  <si>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</si>
  <si>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</si>
  <si>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</si>
  <si>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</si>
  <si>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</si>
  <si>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</si>
  <si>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</si>
  <si>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</si>
  <si>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</si>
  <si>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</si>
  <si>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</si>
  <si>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</si>
  <si>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</si>
  <si>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</si>
  <si>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</si>
  <si>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</si>
  <si>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</si>
  <si>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</si>
  <si>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</si>
  <si>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</si>
  <si>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</si>
  <si>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</si>
  <si>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</si>
  <si>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</si>
  <si>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</si>
  <si>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</si>
  <si>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</si>
  <si>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</si>
  <si>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</si>
  <si>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</si>
  <si>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</si>
  <si>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</si>
  <si>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</si>
  <si>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</si>
  <si>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</si>
  <si>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</si>
  <si>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</si>
  <si>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</si>
  <si>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</si>
  <si>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</si>
  <si>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</si>
  <si>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</si>
  <si>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</si>
  <si>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</si>
  <si>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</si>
  <si>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</si>
  <si>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</si>
  <si>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</si>
  <si>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</si>
  <si>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</si>
  <si>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</si>
  <si>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</si>
  <si>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</si>
  <si>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</si>
  <si>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</si>
  <si>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</si>
  <si>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</si>
  <si>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</si>
  <si>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</si>
  <si>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</si>
  <si>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</si>
  <si>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</si>
  <si>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</si>
  <si>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</si>
  <si>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</si>
  <si>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</si>
  <si>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</si>
  <si>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</si>
  <si>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</si>
  <si>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</si>
  <si>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</si>
  <si>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</si>
  <si>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</si>
  <si>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</si>
  <si>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</si>
  <si>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</si>
  <si>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</si>
  <si>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</si>
  <si>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</si>
  <si>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</si>
  <si>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</si>
  <si>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</si>
  <si>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</si>
  <si>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</si>
  <si>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</si>
  <si>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</si>
  <si>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</si>
  <si>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</si>
  <si>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</si>
  <si>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</si>
  <si>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</si>
  <si>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</si>
  <si>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</si>
  <si>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</si>
  <si>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</si>
  <si>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</si>
  <si>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</si>
  <si>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</si>
  <si>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</si>
  <si>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</si>
  <si>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</si>
  <si>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</si>
  <si>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</si>
  <si>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</si>
  <si>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</si>
  <si>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</si>
  <si>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</si>
  <si>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</si>
  <si>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</si>
  <si>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</si>
  <si>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</si>
  <si>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</si>
  <si>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</si>
  <si>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</si>
  <si>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</si>
  <si>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</si>
  <si>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</si>
  <si>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</si>
  <si>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</si>
  <si>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</si>
  <si>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</si>
  <si>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</si>
  <si>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</si>
  <si>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</si>
  <si>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</si>
  <si>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</si>
  <si>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</si>
  <si>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</si>
  <si>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</si>
  <si>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</si>
  <si>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</si>
  <si>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</si>
  <si>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</si>
  <si>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</si>
  <si>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</si>
  <si>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</si>
  <si>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</si>
  <si>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</si>
  <si>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</si>
  <si>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</si>
  <si>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</si>
  <si>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</si>
  <si>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</si>
  <si>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</si>
  <si>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</si>
  <si>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</si>
  <si>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</si>
  <si>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</si>
  <si>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</si>
  <si>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</si>
  <si>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</si>
  <si>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</si>
  <si>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</si>
  <si>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</si>
  <si>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</si>
  <si>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</si>
  <si>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</si>
  <si>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</si>
  <si>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</si>
  <si>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</si>
  <si>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</si>
  <si>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</si>
  <si>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</si>
  <si>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</si>
  <si>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</si>
  <si>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</si>
  <si>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</si>
  <si>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</si>
  <si>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</si>
  <si>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</si>
  <si>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</si>
  <si>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</si>
  <si>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</si>
  <si>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</si>
  <si>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</si>
  <si>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</si>
  <si>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</si>
  <si>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</si>
  <si>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</si>
  <si>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</si>
  <si>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</si>
  <si>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</si>
  <si>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</si>
  <si>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</si>
  <si>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</si>
  <si>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</si>
  <si>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</si>
  <si>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</si>
  <si>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</si>
  <si>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</si>
  <si>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</si>
  <si>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</si>
  <si>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</si>
  <si>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</si>
  <si>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</si>
  <si>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</si>
  <si>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</si>
  <si>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</si>
  <si>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</si>
  <si>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</si>
  <si>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</si>
  <si>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</si>
  <si>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</si>
  <si>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</si>
  <si>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</si>
  <si>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</si>
  <si>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</si>
  <si>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</si>
  <si>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</si>
  <si>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</si>
  <si>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</si>
  <si>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</si>
  <si>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</si>
  <si>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</si>
  <si>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</si>
  <si>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</si>
  <si>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</si>
  <si>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</si>
  <si>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</si>
  <si>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</si>
  <si>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</si>
  <si>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</si>
  <si>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</si>
  <si>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</si>
  <si>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</si>
  <si>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</si>
  <si>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</si>
  <si>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</si>
  <si>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</si>
  <si>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</si>
  <si>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</si>
  <si>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</si>
  <si>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</si>
  <si>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</si>
  <si>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</si>
  <si>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</si>
  <si>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</si>
  <si>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</si>
  <si>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</si>
  <si>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</si>
  <si>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</si>
  <si>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</si>
  <si>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</si>
  <si>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</si>
  <si>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</si>
  <si>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</si>
  <si>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</si>
  <si>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</si>
  <si>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</si>
  <si>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</si>
  <si>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</si>
  <si>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</si>
  <si>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</si>
  <si>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</si>
  <si>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</si>
  <si>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</si>
  <si>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</si>
  <si>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</si>
  <si>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</si>
  <si>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</si>
  <si>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</si>
  <si>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</si>
  <si>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</si>
  <si>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</si>
  <si>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</si>
  <si>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</si>
  <si>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</si>
  <si>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</si>
  <si>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</si>
  <si>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</si>
  <si>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</si>
  <si>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</si>
  <si>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</si>
  <si>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</si>
  <si>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</si>
  <si>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</si>
  <si>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</si>
  <si>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</si>
  <si>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</si>
  <si>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</si>
  <si>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</si>
  <si>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</si>
  <si>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</si>
  <si>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</si>
  <si>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</si>
  <si>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</si>
  <si>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</si>
  <si>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</si>
  <si>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</si>
  <si>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</si>
  <si>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</si>
  <si>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</si>
  <si>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</si>
  <si>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</si>
  <si>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</si>
  <si>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</si>
  <si>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</si>
  <si>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</si>
  <si>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</si>
  <si>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</si>
  <si>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</si>
  <si>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</si>
  <si>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</si>
  <si>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</si>
  <si>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</si>
  <si>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</si>
  <si>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</si>
  <si>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</si>
  <si>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</si>
  <si>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</si>
  <si>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</si>
  <si>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</si>
  <si>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</si>
  <si>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</si>
  <si>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</si>
  <si>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</si>
  <si>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</si>
  <si>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</si>
  <si>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</si>
  <si>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</si>
  <si>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</si>
  <si>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</si>
  <si>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</si>
  <si>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</si>
  <si>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</si>
  <si>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</si>
  <si>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</si>
  <si>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</si>
  <si>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</si>
  <si>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</si>
  <si>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</si>
  <si>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</si>
  <si>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</si>
  <si>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</si>
  <si>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</si>
  <si>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</si>
  <si>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</si>
  <si>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</si>
  <si>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</si>
  <si>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</si>
  <si>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</si>
  <si>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</si>
  <si>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</si>
  <si>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</si>
  <si>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</si>
  <si>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</si>
  <si>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</si>
  <si>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</si>
  <si>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</si>
  <si>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</si>
  <si>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</si>
  <si>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</si>
  <si>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</si>
  <si>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</si>
  <si>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</si>
  <si>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</si>
  <si>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</si>
  <si>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</si>
  <si>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</si>
  <si>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</si>
  <si>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</si>
  <si>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</si>
  <si>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</si>
  <si>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</si>
  <si>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</si>
  <si>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</si>
  <si>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</si>
  <si>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</si>
  <si>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</si>
  <si>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</si>
  <si>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</si>
  <si>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</si>
  <si>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</si>
  <si>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</si>
  <si>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</si>
  <si>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</si>
  <si>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</si>
  <si>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</si>
  <si>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</si>
  <si>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</si>
  <si>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</si>
  <si>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</si>
  <si>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</si>
  <si>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</si>
  <si>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</si>
  <si>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</si>
  <si>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</si>
  <si>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</si>
  <si>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</si>
  <si>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</si>
  <si>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</si>
  <si>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</si>
  <si>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</si>
  <si>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</si>
  <si>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</si>
  <si>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</si>
  <si>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</si>
  <si>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</si>
  <si>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</si>
  <si>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</si>
  <si>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</si>
  <si>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</si>
  <si>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</si>
  <si>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</si>
  <si>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</si>
  <si>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</si>
  <si>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</si>
  <si>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</si>
  <si>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</si>
  <si>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</si>
  <si>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</si>
  <si>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</si>
  <si>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</si>
  <si>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</si>
  <si>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</si>
  <si>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</si>
  <si>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</si>
  <si>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</si>
  <si>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</si>
  <si>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</si>
  <si>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</si>
  <si>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</si>
  <si>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</si>
  <si>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</si>
  <si>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</si>
  <si>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</si>
  <si>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</si>
  <si>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</si>
  <si>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</si>
  <si>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</si>
  <si>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</si>
  <si>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</si>
  <si>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</si>
  <si>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</si>
  <si>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</si>
  <si>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</si>
  <si>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</si>
  <si>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</si>
  <si>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</si>
  <si>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</si>
  <si>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</si>
  <si>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</si>
  <si>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</si>
  <si>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</si>
  <si>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</si>
  <si>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</si>
  <si>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</si>
  <si>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</si>
  <si>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</si>
  <si>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</si>
  <si>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</si>
  <si>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</si>
  <si>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</si>
  <si>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</si>
  <si>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</si>
  <si>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</si>
  <si>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</si>
  <si>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</si>
  <si>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</si>
  <si>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</si>
  <si>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</si>
  <si>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</si>
  <si>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</si>
  <si>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</si>
  <si>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</si>
  <si>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</si>
  <si>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</si>
  <si>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</si>
  <si>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</si>
  <si>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</si>
  <si>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</si>
  <si>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</si>
  <si>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</si>
  <si>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</si>
  <si>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</si>
  <si>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</si>
  <si>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</si>
  <si>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</si>
  <si>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</si>
  <si>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</si>
  <si>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</si>
  <si>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</si>
  <si>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</si>
  <si>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</si>
  <si>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</si>
  <si>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</si>
  <si>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</si>
  <si>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</si>
  <si>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</si>
  <si>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</si>
  <si>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</si>
  <si>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</si>
  <si>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</si>
  <si>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</si>
  <si>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</si>
  <si>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</si>
  <si>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</si>
  <si>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</si>
  <si>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</si>
  <si>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</si>
  <si>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</si>
  <si>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</si>
  <si>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</si>
  <si>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</si>
  <si>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</si>
  <si>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</si>
  <si>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</si>
  <si>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</si>
  <si>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</si>
  <si>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</si>
  <si>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</si>
  <si>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</si>
  <si>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</si>
  <si>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</si>
  <si>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</si>
  <si>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</si>
  <si>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</si>
  <si>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</si>
  <si>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</si>
  <si>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</si>
  <si>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</si>
  <si>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</si>
  <si>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</si>
  <si>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</si>
  <si>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</si>
  <si>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</si>
  <si>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</si>
  <si>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</si>
  <si>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</si>
  <si>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</si>
  <si>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</si>
  <si>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</si>
  <si>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</si>
  <si>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</si>
  <si>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</si>
  <si>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</si>
  <si>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</si>
  <si>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</si>
  <si>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</si>
  <si>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</si>
  <si>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</si>
  <si>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</si>
  <si>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</si>
  <si>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</si>
  <si>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</si>
  <si>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</si>
  <si>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</si>
  <si>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</si>
  <si>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</si>
  <si>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</si>
  <si>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</si>
  <si>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</si>
  <si>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</si>
  <si>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</si>
  <si>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</si>
  <si>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</si>
  <si>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</si>
  <si>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</si>
  <si>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</si>
  <si>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</si>
  <si>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</si>
  <si>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</si>
  <si>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</si>
  <si>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</si>
  <si>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</si>
  <si>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</si>
  <si>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</si>
  <si>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</si>
  <si>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</si>
  <si>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</si>
  <si>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</si>
  <si>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</si>
  <si>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</si>
  <si>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</si>
  <si>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</si>
  <si>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</si>
  <si>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</si>
  <si>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</si>
  <si>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</si>
  <si>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</si>
  <si>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</si>
  <si>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</si>
  <si>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</si>
  <si>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</si>
  <si>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</si>
  <si>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</si>
  <si>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</si>
  <si>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</si>
  <si>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</si>
  <si>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</si>
  <si>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</si>
  <si>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</si>
  <si>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</si>
  <si>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</si>
  <si>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</si>
  <si>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</si>
  <si>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</si>
  <si>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</si>
  <si>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</si>
  <si>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</si>
  <si>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</si>
  <si>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</si>
  <si>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</si>
  <si>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</si>
  <si>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</si>
  <si>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</si>
  <si>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</si>
  <si>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</si>
  <si>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</si>
  <si>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</si>
  <si>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</si>
  <si>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</si>
  <si>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</si>
  <si>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</si>
  <si>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</si>
  <si>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</si>
  <si>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</si>
  <si>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</si>
  <si>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</si>
  <si>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</si>
  <si>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</si>
  <si>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</si>
  <si>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</si>
  <si>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</si>
  <si>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</si>
  <si>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</si>
  <si>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</si>
  <si>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</si>
  <si>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</si>
  <si>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</si>
  <si>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</si>
  <si>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</si>
  <si>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</si>
  <si>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</si>
  <si>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</si>
  <si>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</si>
  <si>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</si>
  <si>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</si>
  <si>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</si>
  <si>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</si>
  <si>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</si>
  <si>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</si>
  <si>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</si>
  <si>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</si>
  <si>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</si>
  <si>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</si>
  <si>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</si>
  <si>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</si>
  <si>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</si>
  <si>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</si>
  <si>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</si>
  <si>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</si>
  <si>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</si>
  <si>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</si>
  <si>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</si>
  <si>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</si>
  <si>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</si>
  <si>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</si>
  <si>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</si>
  <si>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</si>
  <si>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</si>
  <si>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</si>
  <si>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</si>
  <si>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</si>
  <si>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</si>
  <si>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</si>
  <si>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</si>
  <si>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</si>
  <si>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</si>
  <si>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</si>
  <si>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</si>
  <si>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</si>
  <si>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</si>
  <si>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</si>
  <si>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</si>
  <si>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</si>
  <si>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</si>
  <si>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</si>
  <si>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</si>
  <si>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</si>
  <si>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</si>
  <si>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</si>
  <si>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</si>
  <si>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</si>
  <si>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</si>
  <si>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</si>
  <si>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</si>
  <si>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</si>
  <si>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</si>
  <si>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</si>
  <si>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</si>
  <si>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</si>
  <si>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</si>
  <si>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</si>
  <si>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</si>
  <si>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</si>
  <si>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</si>
  <si>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</si>
  <si>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</si>
  <si>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</si>
  <si>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</si>
  <si>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</si>
  <si>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</si>
  <si>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</si>
  <si>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</si>
  <si>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</si>
  <si>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</si>
  <si>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</si>
  <si>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</si>
  <si>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</si>
  <si>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</si>
  <si>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</si>
  <si>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</si>
  <si>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</si>
  <si>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</si>
  <si>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</si>
  <si>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</si>
  <si>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</si>
  <si>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</si>
  <si>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</si>
  <si>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</si>
  <si>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</si>
  <si>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</si>
  <si>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</si>
  <si>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</si>
  <si>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</si>
  <si>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</si>
  <si>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</si>
  <si>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</si>
  <si>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</si>
  <si>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</si>
  <si>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</si>
  <si>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</si>
  <si>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</si>
  <si>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</si>
  <si>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</si>
  <si>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</si>
  <si>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</si>
  <si>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</si>
  <si>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</si>
  <si>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</si>
  <si>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</si>
  <si>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</si>
  <si>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</si>
  <si>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</si>
  <si>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</si>
  <si>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</si>
  <si>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</si>
  <si>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</si>
  <si>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</si>
  <si>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</si>
  <si>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</si>
  <si>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</si>
  <si>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</si>
  <si>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</si>
  <si>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</si>
  <si>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</si>
  <si>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</si>
  <si>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</si>
  <si>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</si>
  <si>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</si>
  <si>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</si>
  <si>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</si>
  <si>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</si>
  <si>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</si>
  <si>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</si>
  <si>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</si>
  <si>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</si>
  <si>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</si>
  <si>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</si>
  <si>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</si>
  <si>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</si>
  <si>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</si>
  <si>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</si>
  <si>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</si>
  <si>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</si>
  <si>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</si>
  <si>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</si>
  <si>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WPD EMEB</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</si>
</sst>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00%"/>
    <numFmt numFmtId="178" formatCode="#,##0.000000000_ ;\-#,##0.000000000\ "/>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5">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177" fontId="0" fillId="0" borderId="0" xfId="0" applyNumberFormat="1"/>
    <xf numFmtId="178"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 xmlns:a16="http://schemas.microsoft.com/office/drawing/2014/main"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 xmlns:a16="http://schemas.microsoft.com/office/drawing/2014/main"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 xmlns:a16="http://schemas.microsoft.com/office/drawing/2014/main"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 xmlns:a16="http://schemas.microsoft.com/office/drawing/2014/main"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 xmlns:a16="http://schemas.microsoft.com/office/drawing/2014/main"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 xmlns:a16="http://schemas.microsoft.com/office/drawing/2014/main"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 xmlns:a16="http://schemas.microsoft.com/office/drawing/2014/main"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 xmlns:a16="http://schemas.microsoft.com/office/drawing/2014/main"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 xmlns:a16="http://schemas.microsoft.com/office/drawing/2014/main"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 xmlns:a16="http://schemas.microsoft.com/office/drawing/2014/main"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 xmlns:a16="http://schemas.microsoft.com/office/drawing/2014/main"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 xmlns:a16="http://schemas.microsoft.com/office/drawing/2014/main"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 xmlns:a16="http://schemas.microsoft.com/office/drawing/2014/main"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 xmlns:a16="http://schemas.microsoft.com/office/drawing/2014/main"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 xmlns:a16="http://schemas.microsoft.com/office/drawing/2014/main"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 xmlns:a16="http://schemas.microsoft.com/office/drawing/2014/main"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 xmlns:a16="http://schemas.microsoft.com/office/drawing/2014/main"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 xmlns:a16="http://schemas.microsoft.com/office/drawing/2014/main"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 xmlns:a16="http://schemas.microsoft.com/office/drawing/2014/main"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 xmlns:a16="http://schemas.microsoft.com/office/drawing/2014/main"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 xmlns:a16="http://schemas.microsoft.com/office/drawing/2014/main"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 xmlns:a16="http://schemas.microsoft.com/office/drawing/2014/main"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 xmlns:a16="http://schemas.microsoft.com/office/drawing/2014/main"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 xmlns:a16="http://schemas.microsoft.com/office/drawing/2014/main"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 xmlns:a16="http://schemas.microsoft.com/office/drawing/2014/main"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 xmlns:a16="http://schemas.microsoft.com/office/drawing/2014/main"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 xmlns:a16="http://schemas.microsoft.com/office/drawing/2014/main"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 xmlns:a16="http://schemas.microsoft.com/office/drawing/2014/main"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 xmlns:a16="http://schemas.microsoft.com/office/drawing/2014/main"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 xmlns:a16="http://schemas.microsoft.com/office/drawing/2014/main"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 xmlns:a16="http://schemas.microsoft.com/office/drawing/2014/main"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 xmlns:a16="http://schemas.microsoft.com/office/drawing/2014/main"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 xmlns:a16="http://schemas.microsoft.com/office/drawing/2014/main"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 xmlns:a16="http://schemas.microsoft.com/office/drawing/2014/main"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 xmlns:a16="http://schemas.microsoft.com/office/drawing/2014/main"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 xmlns:a16="http://schemas.microsoft.com/office/drawing/2014/main"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 xmlns:a16="http://schemas.microsoft.com/office/drawing/2014/main"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 xmlns:a16="http://schemas.microsoft.com/office/drawing/2014/main"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 xmlns:a16="http://schemas.microsoft.com/office/drawing/2014/main"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 xmlns:a16="http://schemas.microsoft.com/office/drawing/2014/main"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 xmlns:a16="http://schemas.microsoft.com/office/drawing/2014/main"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 xmlns:a16="http://schemas.microsoft.com/office/drawing/2014/main"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 xmlns:a16="http://schemas.microsoft.com/office/drawing/2014/main"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 xmlns:a16="http://schemas.microsoft.com/office/drawing/2014/main"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 xmlns:a16="http://schemas.microsoft.com/office/drawing/2014/main"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 xmlns:a16="http://schemas.microsoft.com/office/drawing/2014/main"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 xmlns:a16="http://schemas.microsoft.com/office/drawing/2014/main"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 xmlns:a16="http://schemas.microsoft.com/office/drawing/2014/main"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2" sqref="D22"/>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1119</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1120</v>
      </c>
    </row>
    <row r="21" spans="2:4" ht="15" customHeight="1" x14ac:dyDescent="0.25">
      <c r="B21" s="18" t="s">
        <v>5</v>
      </c>
      <c r="D21" s="276" t="s">
        <v>1125</v>
      </c>
    </row>
    <row r="23" spans="2:4" ht="15" customHeight="1" x14ac:dyDescent="0.25">
      <c r="B23" s="18" t="s">
        <v>6</v>
      </c>
      <c r="D23" s="276" t="s">
        <v>7</v>
      </c>
    </row>
    <row r="25" spans="2:4" ht="30" customHeight="1" x14ac:dyDescent="0.25">
      <c r="B25" s="18" t="s">
        <v>8</v>
      </c>
      <c r="D25" s="276" t="s">
        <v>9</v>
      </c>
    </row>
    <row r="26" spans="2:4" ht="15" customHeight="1" x14ac:dyDescent="0.25">
      <c r="B26" s="18"/>
    </row>
    <row r="27" spans="2:4" ht="15" customHeight="1" x14ac:dyDescent="0.25">
      <c r="B27" s="18" t="s">
        <v>10</v>
      </c>
    </row>
    <row r="28" spans="2:4" customFormat="1" ht="15" customHeight="1" x14ac:dyDescent="0.25">
      <c r="B28" s="21" t="s">
        <v>11</v>
      </c>
      <c r="C28" s="1"/>
      <c r="D28" s="1" t="s">
        <v>12</v>
      </c>
    </row>
    <row r="29" spans="2:4" customFormat="1" x14ac:dyDescent="0.25">
      <c r="B29" s="22"/>
      <c r="C29" s="23"/>
      <c r="D29" s="23" t="s">
        <v>13</v>
      </c>
    </row>
    <row r="30" spans="2:4" customFormat="1" x14ac:dyDescent="0.25">
      <c r="B30" s="277" t="s">
        <v>14</v>
      </c>
      <c r="D30" t="s">
        <v>15</v>
      </c>
    </row>
    <row r="31" spans="2:4" customFormat="1" x14ac:dyDescent="0.25">
      <c r="B31" s="278" t="s">
        <v>14</v>
      </c>
      <c r="D31" t="s">
        <v>16</v>
      </c>
    </row>
    <row r="32" spans="2:4" customFormat="1" x14ac:dyDescent="0.25">
      <c r="B32" s="279" t="s">
        <v>14</v>
      </c>
      <c r="D32" t="s">
        <v>17</v>
      </c>
    </row>
    <row r="33" spans="2:4" customFormat="1" x14ac:dyDescent="0.25">
      <c r="B33" s="24" t="s">
        <v>14</v>
      </c>
      <c r="D33" t="s">
        <v>18</v>
      </c>
    </row>
    <row r="34" spans="2:4" customFormat="1" x14ac:dyDescent="0.25">
      <c r="B34" s="25" t="s">
        <v>14</v>
      </c>
      <c r="D34" t="s">
        <v>19</v>
      </c>
    </row>
    <row r="35" spans="2:4" customFormat="1" x14ac:dyDescent="0.25">
      <c r="B35" s="26" t="s">
        <v>14</v>
      </c>
      <c r="D35" t="s">
        <v>20</v>
      </c>
    </row>
    <row r="36" spans="2:4" customFormat="1" x14ac:dyDescent="0.25">
      <c r="B36" s="27" t="s">
        <v>14</v>
      </c>
      <c r="D36" t="s">
        <v>21</v>
      </c>
    </row>
    <row r="37" spans="2:4" customFormat="1" x14ac:dyDescent="0.25">
      <c r="B37" s="28" t="s">
        <v>22</v>
      </c>
      <c r="D37" t="s">
        <v>23</v>
      </c>
    </row>
    <row r="38" spans="2:4" customFormat="1" ht="15" customHeight="1" x14ac:dyDescent="0.25">
      <c r="B38" s="29" t="s">
        <v>22</v>
      </c>
      <c r="D38" t="s">
        <v>24</v>
      </c>
    </row>
    <row r="39" spans="2:4" customFormat="1" ht="15" customHeight="1" x14ac:dyDescent="0.25">
      <c r="B39" s="1" t="s">
        <v>22</v>
      </c>
      <c r="D39" t="s">
        <v>25</v>
      </c>
    </row>
    <row r="40" spans="2:4" customFormat="1" ht="15" customHeight="1" x14ac:dyDescent="0.25">
      <c r="B40" s="30" t="s">
        <v>22</v>
      </c>
      <c r="D40" t="s">
        <v>26</v>
      </c>
    </row>
    <row r="41" spans="2:4" customFormat="1" ht="15" customHeight="1" x14ac:dyDescent="0.25">
      <c r="B41" s="31" t="s">
        <v>22</v>
      </c>
      <c r="D41" t="s">
        <v>27</v>
      </c>
    </row>
    <row r="42" spans="2:4" customFormat="1" ht="15" customHeight="1" x14ac:dyDescent="0.25">
      <c r="B42" s="32" t="s">
        <v>22</v>
      </c>
      <c r="D42" t="s">
        <v>28</v>
      </c>
    </row>
    <row r="43" spans="2:4" customFormat="1" ht="15" customHeight="1" x14ac:dyDescent="0.25">
      <c r="B43" s="33" t="s">
        <v>29</v>
      </c>
      <c r="D43" t="s">
        <v>30</v>
      </c>
    </row>
    <row r="44" spans="2:4" customFormat="1" ht="15" customHeight="1" x14ac:dyDescent="0.25">
      <c r="B44" s="34" t="s">
        <v>29</v>
      </c>
      <c r="D44" t="s">
        <v>31</v>
      </c>
    </row>
    <row r="45" spans="2:4" customFormat="1" ht="15" customHeight="1" x14ac:dyDescent="0.25">
      <c r="B45" s="35" t="s">
        <v>29</v>
      </c>
      <c r="D45" t="s">
        <v>32</v>
      </c>
    </row>
    <row r="46" spans="2:4" customFormat="1" ht="15" customHeight="1" x14ac:dyDescent="0.25">
      <c r="B46" s="36" t="s">
        <v>29</v>
      </c>
      <c r="C46" s="37"/>
      <c r="D46" s="37" t="s">
        <v>33</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107" t="s">
        <v>12</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427</v>
      </c>
      <c r="E9"/>
    </row>
    <row r="10" spans="1:44" x14ac:dyDescent="0.25">
      <c r="C10" s="29" t="s">
        <v>428</v>
      </c>
      <c r="E10"/>
    </row>
    <row r="11" spans="1:44" x14ac:dyDescent="0.25">
      <c r="C11" s="29" t="s">
        <v>429</v>
      </c>
      <c r="E11"/>
    </row>
    <row r="12" spans="1:44" x14ac:dyDescent="0.25">
      <c r="C12" s="29" t="s">
        <v>430</v>
      </c>
      <c r="E12"/>
    </row>
    <row r="13" spans="1:44" x14ac:dyDescent="0.25">
      <c r="C13" s="29"/>
      <c r="E13"/>
    </row>
    <row r="14" spans="1:44" x14ac:dyDescent="0.25">
      <c r="C14" s="29" t="s">
        <v>431</v>
      </c>
      <c r="E14"/>
    </row>
    <row r="15" spans="1:44" x14ac:dyDescent="0.25">
      <c r="C15" s="29" t="s">
        <v>432</v>
      </c>
      <c r="E15"/>
    </row>
    <row r="17" spans="2:44" x14ac:dyDescent="0.25">
      <c r="B17" s="107" t="s">
        <v>433</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434</v>
      </c>
      <c r="F21" s="2"/>
    </row>
    <row r="22" spans="2:44" x14ac:dyDescent="0.25">
      <c r="D22" s="91"/>
      <c r="F22" s="2"/>
    </row>
    <row r="23" spans="2:44" x14ac:dyDescent="0.25">
      <c r="D23"/>
      <c r="E23" s="32" t="s">
        <v>435</v>
      </c>
      <c r="F23" s="32"/>
      <c r="I23" t="s">
        <v>191</v>
      </c>
      <c r="AR23" t="s">
        <v>240</v>
      </c>
    </row>
    <row r="24" spans="2:44" x14ac:dyDescent="0.25">
      <c r="D24"/>
      <c r="E24" s="29" t="s">
        <v>436</v>
      </c>
    </row>
    <row r="25" spans="2:44" x14ac:dyDescent="0.25">
      <c r="D25" s="91"/>
      <c r="F25" s="23" t="s">
        <v>226</v>
      </c>
      <c r="G25" s="23" t="s">
        <v>204</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228</v>
      </c>
      <c r="G26" t="s">
        <v>204</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229</v>
      </c>
      <c r="G27" t="s">
        <v>204</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230</v>
      </c>
      <c r="G28" t="s">
        <v>204</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231</v>
      </c>
      <c r="G29" t="s">
        <v>204</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232</v>
      </c>
      <c r="G30" t="s">
        <v>204</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233</v>
      </c>
      <c r="G31" t="s">
        <v>204</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234</v>
      </c>
      <c r="G32" t="s">
        <v>204</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235</v>
      </c>
      <c r="G33" t="s">
        <v>204</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236</v>
      </c>
      <c r="G34" t="s">
        <v>204</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437</v>
      </c>
      <c r="G35" t="s">
        <v>204</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438</v>
      </c>
      <c r="G36" s="37" t="s">
        <v>204</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341</v>
      </c>
      <c r="F38" s="2"/>
    </row>
    <row r="39" spans="4:44" x14ac:dyDescent="0.25">
      <c r="D39" s="91"/>
      <c r="E39"/>
      <c r="F39" s="28" t="s">
        <v>341</v>
      </c>
      <c r="G39" s="28" t="s">
        <v>204</v>
      </c>
      <c r="H39" s="25">
        <f>'Inputs by network level'!P17</f>
        <v>7.5044342711319545E-2</v>
      </c>
    </row>
    <row r="40" spans="4:44" x14ac:dyDescent="0.25">
      <c r="D40" s="91"/>
      <c r="F40" s="2"/>
    </row>
    <row r="41" spans="4:44" x14ac:dyDescent="0.25">
      <c r="D41"/>
      <c r="E41" s="32" t="s">
        <v>439</v>
      </c>
      <c r="F41" s="32"/>
    </row>
    <row r="42" spans="4:44" x14ac:dyDescent="0.25">
      <c r="D42"/>
      <c r="E42" s="29" t="s">
        <v>440</v>
      </c>
    </row>
    <row r="43" spans="4:44" x14ac:dyDescent="0.25">
      <c r="D43" s="91"/>
      <c r="F43" s="23" t="s">
        <v>226</v>
      </c>
      <c r="G43" s="23" t="s">
        <v>204</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228</v>
      </c>
      <c r="G44" t="s">
        <v>204</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229</v>
      </c>
      <c r="G45" s="111" t="s">
        <v>204</v>
      </c>
      <c r="H45" s="111"/>
      <c r="I45" s="111" t="s">
        <v>191</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1.5008868542263909E-2</v>
      </c>
      <c r="S45" s="112">
        <f t="shared" si="0"/>
        <v>0</v>
      </c>
      <c r="T45" s="112">
        <f t="shared" si="0"/>
        <v>0</v>
      </c>
      <c r="U45" s="112">
        <f t="shared" si="0"/>
        <v>0</v>
      </c>
      <c r="V45" s="112">
        <f t="shared" si="0"/>
        <v>0</v>
      </c>
      <c r="W45" s="112">
        <f t="shared" si="0"/>
        <v>1.5008868542263909E-2</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441</v>
      </c>
    </row>
    <row r="46" spans="4:44" x14ac:dyDescent="0.25">
      <c r="D46" s="91"/>
      <c r="F46" t="s">
        <v>230</v>
      </c>
      <c r="G46" t="s">
        <v>204</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231</v>
      </c>
      <c r="G47" t="s">
        <v>204</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232</v>
      </c>
      <c r="G48" t="s">
        <v>204</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233</v>
      </c>
      <c r="G49" s="111" t="s">
        <v>204</v>
      </c>
      <c r="H49" s="111"/>
      <c r="I49" s="111" t="s">
        <v>191</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442</v>
      </c>
    </row>
    <row r="50" spans="2:44" x14ac:dyDescent="0.25">
      <c r="D50" s="91"/>
      <c r="F50" t="s">
        <v>234</v>
      </c>
      <c r="G50" t="s">
        <v>204</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235</v>
      </c>
      <c r="G51" t="s">
        <v>204</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236</v>
      </c>
      <c r="G52" t="s">
        <v>204</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437</v>
      </c>
      <c r="G53" t="s">
        <v>204</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438</v>
      </c>
      <c r="G54" s="37" t="s">
        <v>204</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281</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282</v>
      </c>
      <c r="G58" s="6" t="s">
        <v>57</v>
      </c>
      <c r="H58" s="26">
        <f t="array" ref="H58">SUM(IF(ISERROR(H25:AP54), 1))</f>
        <v>0</v>
      </c>
    </row>
    <row r="59" spans="2:44" x14ac:dyDescent="0.25">
      <c r="D59"/>
      <c r="E59"/>
    </row>
    <row r="60" spans="2:44" x14ac:dyDescent="0.25">
      <c r="B60" s="107" t="s">
        <v>108</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WPD EMEB - [enter data version name]</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117"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29"/>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443</v>
      </c>
    </row>
    <row r="10" spans="1:23" x14ac:dyDescent="0.25">
      <c r="C10" s="29" t="s">
        <v>444</v>
      </c>
    </row>
    <row r="11" spans="1:23" x14ac:dyDescent="0.25">
      <c r="C11" s="29" t="s">
        <v>445</v>
      </c>
    </row>
    <row r="13" spans="1:23" x14ac:dyDescent="0.25">
      <c r="B13" s="30" t="s">
        <v>446</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447</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448</v>
      </c>
      <c r="F19" s="118"/>
      <c r="G19" s="13" t="s">
        <v>204</v>
      </c>
      <c r="H19" s="3"/>
      <c r="I19" s="3"/>
      <c r="J19" s="97"/>
      <c r="K19" s="119">
        <f>'Inputs by network level'!K15</f>
        <v>2.4713742436156094E-2</v>
      </c>
      <c r="L19" s="119">
        <f>'Inputs by network level'!L15</f>
        <v>4.5013478235986115E-2</v>
      </c>
      <c r="M19" s="97"/>
      <c r="N19" s="119">
        <f>'Inputs by network level'!N15</f>
        <v>7.9017642685410783E-2</v>
      </c>
      <c r="O19" s="97"/>
      <c r="P19" s="97"/>
      <c r="Q19" s="119">
        <f>'Inputs by network level'!Q15</f>
        <v>0.34000000000000008</v>
      </c>
      <c r="R19" s="97"/>
      <c r="S19" s="97"/>
      <c r="T19" s="66"/>
      <c r="U19" s="66"/>
    </row>
    <row r="20" spans="2:23" x14ac:dyDescent="0.25">
      <c r="E20" t="s">
        <v>294</v>
      </c>
      <c r="F20" s="118"/>
      <c r="G20" s="13" t="s">
        <v>204</v>
      </c>
      <c r="H20" s="3"/>
      <c r="I20" s="3"/>
      <c r="J20" s="120">
        <f t="shared" ref="J20" si="0">IF(I20 = "", 1, I20 / (1 + J19))</f>
        <v>1</v>
      </c>
      <c r="K20" s="120">
        <f>IF(J20 = "", 1, J20 / (1 + K19))</f>
        <v>0.97588229628168977</v>
      </c>
      <c r="L20" s="120">
        <f t="shared" ref="L20:S20" si="1">IF(K20 = "", 1, K20 / (1 + L19))</f>
        <v>0.93384661213079101</v>
      </c>
      <c r="M20" s="120">
        <f t="shared" si="1"/>
        <v>0.93384661213079101</v>
      </c>
      <c r="N20" s="120">
        <f t="shared" si="1"/>
        <v>0.8654600028658247</v>
      </c>
      <c r="O20" s="120">
        <f t="shared" si="1"/>
        <v>0.8654600028658247</v>
      </c>
      <c r="P20" s="120">
        <f t="shared" si="1"/>
        <v>0.8654600028658247</v>
      </c>
      <c r="Q20" s="120">
        <f t="shared" si="1"/>
        <v>0.64586567378046611</v>
      </c>
      <c r="R20" s="120">
        <f t="shared" si="1"/>
        <v>0.64586567378046611</v>
      </c>
      <c r="S20" s="120">
        <f t="shared" si="1"/>
        <v>0.64586567378046611</v>
      </c>
      <c r="T20" s="66"/>
      <c r="U20" s="66"/>
    </row>
    <row r="21" spans="2:23" x14ac:dyDescent="0.25">
      <c r="E21" t="s">
        <v>449</v>
      </c>
      <c r="F21" s="118"/>
      <c r="G21" s="13" t="s">
        <v>204</v>
      </c>
      <c r="H21" s="3"/>
      <c r="I21" s="3"/>
      <c r="J21" s="120">
        <f>1 / J20 - 1</f>
        <v>0</v>
      </c>
      <c r="K21" s="120">
        <f t="shared" ref="K21:S21" si="2">1 / K20 - 1</f>
        <v>2.4713742436156094E-2</v>
      </c>
      <c r="L21" s="120">
        <f t="shared" si="2"/>
        <v>7.0839672179421997E-2</v>
      </c>
      <c r="M21" s="120">
        <f t="shared" si="2"/>
        <v>7.0839672179421997E-2</v>
      </c>
      <c r="N21" s="120">
        <f t="shared" si="2"/>
        <v>0.15545489876905783</v>
      </c>
      <c r="O21" s="120">
        <f t="shared" si="2"/>
        <v>0.15545489876905783</v>
      </c>
      <c r="P21" s="120">
        <f t="shared" si="2"/>
        <v>0.15545489876905783</v>
      </c>
      <c r="Q21" s="120">
        <f t="shared" si="2"/>
        <v>0.54830956435053779</v>
      </c>
      <c r="R21" s="120">
        <f t="shared" si="2"/>
        <v>0.54830956435053779</v>
      </c>
      <c r="S21" s="120">
        <f t="shared" si="2"/>
        <v>0.54830956435053779</v>
      </c>
      <c r="T21" s="66"/>
      <c r="U21" s="66"/>
    </row>
    <row r="22" spans="2:23" x14ac:dyDescent="0.25">
      <c r="E22" t="s">
        <v>450</v>
      </c>
      <c r="F22" s="118"/>
      <c r="G22" s="13" t="s">
        <v>204</v>
      </c>
      <c r="H22" s="3"/>
      <c r="I22" s="3"/>
      <c r="J22" s="97"/>
      <c r="K22" s="97"/>
      <c r="L22" s="97"/>
      <c r="M22" s="97"/>
      <c r="N22" s="97"/>
      <c r="O22" s="97"/>
      <c r="P22" s="120">
        <f>M21</f>
        <v>7.0839672179421997E-2</v>
      </c>
      <c r="Q22" s="97"/>
      <c r="R22" s="97"/>
      <c r="S22" s="97"/>
      <c r="T22" s="66"/>
      <c r="U22" s="66"/>
    </row>
    <row r="23" spans="2:23" x14ac:dyDescent="0.25">
      <c r="E23" t="s">
        <v>451</v>
      </c>
      <c r="F23" s="118"/>
      <c r="G23" s="13" t="s">
        <v>204</v>
      </c>
      <c r="H23" s="3"/>
      <c r="I23" s="3" t="s">
        <v>191</v>
      </c>
      <c r="J23" s="121">
        <f t="shared" ref="J23:S23" si="3">IF(J22 = "", J21, J22)</f>
        <v>0</v>
      </c>
      <c r="K23" s="121">
        <f t="shared" si="3"/>
        <v>2.4713742436156094E-2</v>
      </c>
      <c r="L23" s="121">
        <f t="shared" si="3"/>
        <v>7.0839672179421997E-2</v>
      </c>
      <c r="M23" s="121">
        <f t="shared" si="3"/>
        <v>7.0839672179421997E-2</v>
      </c>
      <c r="N23" s="121">
        <f t="shared" si="3"/>
        <v>0.15545489876905783</v>
      </c>
      <c r="O23" s="121">
        <f t="shared" si="3"/>
        <v>0.15545489876905783</v>
      </c>
      <c r="P23" s="121">
        <f t="shared" si="3"/>
        <v>7.0839672179421997E-2</v>
      </c>
      <c r="Q23" s="121">
        <f t="shared" si="3"/>
        <v>0.54830956435053779</v>
      </c>
      <c r="R23" s="121">
        <f t="shared" si="3"/>
        <v>0.54830956435053779</v>
      </c>
      <c r="S23" s="121">
        <f t="shared" si="3"/>
        <v>0.54830956435053779</v>
      </c>
      <c r="T23" s="66"/>
      <c r="U23" s="66"/>
      <c r="W23" s="63" t="s">
        <v>452</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453</v>
      </c>
      <c r="F27" s="122"/>
      <c r="G27" s="72" t="s">
        <v>343</v>
      </c>
      <c r="H27" s="3"/>
      <c r="I27" s="3"/>
      <c r="J27" s="79"/>
      <c r="K27" s="123">
        <f>'Inputs by network level'!K19</f>
        <v>1</v>
      </c>
      <c r="L27" s="123">
        <f>'Inputs by network level'!L19</f>
        <v>1.0029999999999999</v>
      </c>
      <c r="M27" s="123">
        <f>'Inputs by network level'!M19</f>
        <v>1.006</v>
      </c>
      <c r="N27" s="123">
        <f>'Inputs by network level'!N19</f>
        <v>1.014</v>
      </c>
      <c r="O27" s="123">
        <f>'Inputs by network level'!O19</f>
        <v>1.02</v>
      </c>
      <c r="P27" s="79"/>
      <c r="Q27" s="123">
        <f>'Inputs by network level'!Q19</f>
        <v>1.036</v>
      </c>
      <c r="R27" s="123">
        <f>'Inputs by network level'!R19</f>
        <v>1.0469999999999999</v>
      </c>
      <c r="S27" s="123">
        <f>'Inputs by network level'!S19</f>
        <v>1.0780000000000001</v>
      </c>
      <c r="T27" s="79"/>
      <c r="U27" s="79"/>
    </row>
    <row r="28" spans="2:23" x14ac:dyDescent="0.25">
      <c r="E28" t="s">
        <v>454</v>
      </c>
      <c r="F28" s="122"/>
      <c r="G28" s="72" t="s">
        <v>343</v>
      </c>
      <c r="H28" s="3"/>
      <c r="I28" s="3"/>
      <c r="J28" s="101">
        <f>K27</f>
        <v>1</v>
      </c>
      <c r="K28" s="79"/>
      <c r="L28" s="79"/>
      <c r="M28" s="79"/>
      <c r="N28" s="79"/>
      <c r="O28" s="79"/>
      <c r="P28" s="101">
        <f>O27</f>
        <v>1.02</v>
      </c>
      <c r="Q28" s="79"/>
      <c r="R28" s="79"/>
      <c r="S28" s="79"/>
      <c r="T28" s="79"/>
      <c r="U28" s="79"/>
    </row>
    <row r="29" spans="2:23" x14ac:dyDescent="0.25">
      <c r="E29" t="s">
        <v>455</v>
      </c>
      <c r="F29" s="122"/>
      <c r="G29" s="72" t="s">
        <v>343</v>
      </c>
      <c r="H29" s="3"/>
      <c r="I29" s="3" t="s">
        <v>191</v>
      </c>
      <c r="J29" s="124">
        <f t="shared" ref="J29:S29" si="4">J27 + J28</f>
        <v>1</v>
      </c>
      <c r="K29" s="124">
        <f t="shared" si="4"/>
        <v>1</v>
      </c>
      <c r="L29" s="124">
        <f t="shared" si="4"/>
        <v>1.0029999999999999</v>
      </c>
      <c r="M29" s="124">
        <f t="shared" si="4"/>
        <v>1.006</v>
      </c>
      <c r="N29" s="124">
        <f t="shared" si="4"/>
        <v>1.014</v>
      </c>
      <c r="O29" s="124">
        <f t="shared" si="4"/>
        <v>1.02</v>
      </c>
      <c r="P29" s="124">
        <f t="shared" si="4"/>
        <v>1.02</v>
      </c>
      <c r="Q29" s="124">
        <f t="shared" si="4"/>
        <v>1.036</v>
      </c>
      <c r="R29" s="124">
        <f t="shared" si="4"/>
        <v>1.0469999999999999</v>
      </c>
      <c r="S29" s="124">
        <f t="shared" si="4"/>
        <v>1.0780000000000001</v>
      </c>
      <c r="T29" s="79"/>
      <c r="U29" s="79"/>
      <c r="W29" s="63" t="s">
        <v>344</v>
      </c>
    </row>
    <row r="30" spans="2:23" x14ac:dyDescent="0.25">
      <c r="F30" s="118"/>
      <c r="G30" s="13"/>
      <c r="H30" s="3"/>
      <c r="I30" s="3"/>
      <c r="J30" s="3"/>
      <c r="K30" s="3"/>
      <c r="L30" s="3"/>
      <c r="M30" s="3"/>
      <c r="N30" s="3"/>
      <c r="O30" s="3"/>
      <c r="Q30" s="3"/>
      <c r="R30" s="3"/>
      <c r="S30" s="3"/>
      <c r="T30" s="3"/>
      <c r="U30" s="3"/>
    </row>
    <row r="31" spans="2:23" x14ac:dyDescent="0.25">
      <c r="B31" s="30" t="s">
        <v>456</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457</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233</v>
      </c>
      <c r="F37" s="28"/>
      <c r="G37" s="72" t="s">
        <v>204</v>
      </c>
      <c r="H37" s="119">
        <f>'Inputs by network level'!P17</f>
        <v>7.5044342711319545E-2</v>
      </c>
      <c r="I37" s="3"/>
    </row>
    <row r="38" spans="3:23" x14ac:dyDescent="0.25">
      <c r="E38" t="s">
        <v>458</v>
      </c>
      <c r="F38" s="118"/>
      <c r="G38" s="13" t="s">
        <v>204</v>
      </c>
      <c r="H38" s="3"/>
      <c r="I38" s="3"/>
      <c r="J38" s="66"/>
      <c r="K38" s="66"/>
      <c r="L38" s="66"/>
      <c r="M38" s="125">
        <f>1 - $H$37</f>
        <v>0.92495565728868046</v>
      </c>
      <c r="N38" s="125">
        <f>1 - $H$37</f>
        <v>0.92495565728868046</v>
      </c>
      <c r="O38" s="125">
        <f>1 - $H$37</f>
        <v>0.92495565728868046</v>
      </c>
      <c r="P38" s="126">
        <f>H37</f>
        <v>7.5044342711319545E-2</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459</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224</v>
      </c>
      <c r="G44" s="13"/>
    </row>
    <row r="45" spans="3:23" x14ac:dyDescent="0.25">
      <c r="E45" s="29" t="s">
        <v>460</v>
      </c>
      <c r="G45" s="13"/>
    </row>
    <row r="46" spans="3:23" x14ac:dyDescent="0.25">
      <c r="F46" s="23" t="s">
        <v>149</v>
      </c>
      <c r="G46" s="78" t="s">
        <v>227</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150</v>
      </c>
      <c r="G47" s="72" t="s">
        <v>227</v>
      </c>
      <c r="J47" s="123">
        <v>1</v>
      </c>
      <c r="K47" s="123">
        <v>1</v>
      </c>
      <c r="L47" s="123">
        <v>1</v>
      </c>
      <c r="M47" s="123">
        <v>1</v>
      </c>
      <c r="N47" s="123">
        <v>1</v>
      </c>
      <c r="O47" s="123">
        <v>1</v>
      </c>
      <c r="P47" s="123">
        <v>1</v>
      </c>
      <c r="Q47" s="123">
        <v>1</v>
      </c>
      <c r="R47" s="123">
        <v>1</v>
      </c>
      <c r="S47" s="123">
        <v>1</v>
      </c>
      <c r="T47" s="79"/>
      <c r="U47" s="79"/>
    </row>
    <row r="48" spans="3:23" x14ac:dyDescent="0.25">
      <c r="F48" t="s">
        <v>151</v>
      </c>
      <c r="G48" s="72" t="s">
        <v>227</v>
      </c>
      <c r="J48" s="123">
        <v>1</v>
      </c>
      <c r="K48" s="123">
        <v>1</v>
      </c>
      <c r="L48" s="123">
        <v>1</v>
      </c>
      <c r="M48" s="123">
        <v>1</v>
      </c>
      <c r="N48" s="123">
        <v>1</v>
      </c>
      <c r="O48" s="123">
        <v>1</v>
      </c>
      <c r="P48" s="123">
        <v>1</v>
      </c>
      <c r="Q48" s="123">
        <v>1</v>
      </c>
      <c r="R48" s="123">
        <v>1</v>
      </c>
      <c r="S48" s="123">
        <v>1</v>
      </c>
      <c r="T48" s="79"/>
      <c r="U48" s="79"/>
    </row>
    <row r="49" spans="6:21" x14ac:dyDescent="0.25">
      <c r="F49" t="s">
        <v>152</v>
      </c>
      <c r="G49" s="72" t="s">
        <v>227</v>
      </c>
      <c r="J49" s="123">
        <v>1</v>
      </c>
      <c r="K49" s="123">
        <v>1</v>
      </c>
      <c r="L49" s="123">
        <v>1</v>
      </c>
      <c r="M49" s="123">
        <v>1</v>
      </c>
      <c r="N49" s="123">
        <v>1</v>
      </c>
      <c r="O49" s="123">
        <v>1</v>
      </c>
      <c r="P49" s="123">
        <v>1</v>
      </c>
      <c r="Q49" s="123">
        <v>1</v>
      </c>
      <c r="R49" s="123">
        <v>1</v>
      </c>
      <c r="S49" s="123">
        <v>1</v>
      </c>
      <c r="T49" s="79"/>
      <c r="U49" s="79"/>
    </row>
    <row r="50" spans="6:21" x14ac:dyDescent="0.25">
      <c r="F50" t="s">
        <v>153</v>
      </c>
      <c r="G50" s="72" t="s">
        <v>227</v>
      </c>
      <c r="J50" s="123">
        <v>1</v>
      </c>
      <c r="K50" s="123">
        <v>1</v>
      </c>
      <c r="L50" s="123">
        <v>1</v>
      </c>
      <c r="M50" s="123">
        <v>1</v>
      </c>
      <c r="N50" s="123">
        <v>1</v>
      </c>
      <c r="O50" s="123">
        <v>1</v>
      </c>
      <c r="P50" s="123">
        <v>1</v>
      </c>
      <c r="Q50" s="123">
        <v>1</v>
      </c>
      <c r="R50" s="123">
        <v>1</v>
      </c>
      <c r="S50" s="123">
        <v>1</v>
      </c>
      <c r="T50" s="79"/>
      <c r="U50" s="79"/>
    </row>
    <row r="51" spans="6:21" x14ac:dyDescent="0.25">
      <c r="F51" t="s">
        <v>154</v>
      </c>
      <c r="G51" s="72" t="s">
        <v>227</v>
      </c>
      <c r="J51" s="123">
        <v>1</v>
      </c>
      <c r="K51" s="123">
        <v>1</v>
      </c>
      <c r="L51" s="123">
        <v>1</v>
      </c>
      <c r="M51" s="123">
        <v>1</v>
      </c>
      <c r="N51" s="123">
        <v>1</v>
      </c>
      <c r="O51" s="123">
        <v>1</v>
      </c>
      <c r="P51" s="123">
        <v>1</v>
      </c>
      <c r="Q51" s="123">
        <v>1</v>
      </c>
      <c r="R51" s="123">
        <v>1</v>
      </c>
      <c r="S51" s="123">
        <v>1</v>
      </c>
      <c r="T51" s="79"/>
      <c r="U51" s="79"/>
    </row>
    <row r="52" spans="6:21" x14ac:dyDescent="0.25">
      <c r="F52" t="s">
        <v>155</v>
      </c>
      <c r="G52" s="72" t="s">
        <v>227</v>
      </c>
      <c r="J52" s="123">
        <v>1</v>
      </c>
      <c r="K52" s="123">
        <v>1</v>
      </c>
      <c r="L52" s="123">
        <v>1</v>
      </c>
      <c r="M52" s="123">
        <v>1</v>
      </c>
      <c r="N52" s="123">
        <v>1</v>
      </c>
      <c r="O52" s="123">
        <v>1</v>
      </c>
      <c r="P52" s="123">
        <v>1</v>
      </c>
      <c r="Q52" s="123">
        <v>1</v>
      </c>
      <c r="R52" s="123">
        <v>1</v>
      </c>
      <c r="S52" s="123">
        <v>1</v>
      </c>
      <c r="T52" s="79"/>
      <c r="U52" s="79"/>
    </row>
    <row r="53" spans="6:21" x14ac:dyDescent="0.25">
      <c r="F53" t="s">
        <v>156</v>
      </c>
      <c r="G53" s="72" t="s">
        <v>227</v>
      </c>
      <c r="J53" s="123">
        <v>1</v>
      </c>
      <c r="K53" s="123">
        <v>1</v>
      </c>
      <c r="L53" s="123">
        <v>1</v>
      </c>
      <c r="M53" s="123">
        <v>1</v>
      </c>
      <c r="N53" s="123">
        <v>1</v>
      </c>
      <c r="O53" s="123">
        <v>1</v>
      </c>
      <c r="P53" s="123">
        <v>1</v>
      </c>
      <c r="Q53" s="123">
        <v>1</v>
      </c>
      <c r="R53" s="123">
        <v>1</v>
      </c>
      <c r="S53" s="123">
        <v>0</v>
      </c>
      <c r="T53" s="79"/>
      <c r="U53" s="79"/>
    </row>
    <row r="54" spans="6:21" x14ac:dyDescent="0.25">
      <c r="F54" t="s">
        <v>157</v>
      </c>
      <c r="G54" s="72" t="s">
        <v>227</v>
      </c>
      <c r="J54" s="123">
        <v>1</v>
      </c>
      <c r="K54" s="123">
        <v>1</v>
      </c>
      <c r="L54" s="123">
        <v>1</v>
      </c>
      <c r="M54" s="123">
        <v>1</v>
      </c>
      <c r="N54" s="123">
        <v>1</v>
      </c>
      <c r="O54" s="123">
        <v>1</v>
      </c>
      <c r="P54" s="123">
        <v>1</v>
      </c>
      <c r="Q54" s="123">
        <v>1</v>
      </c>
      <c r="R54" s="123">
        <v>0</v>
      </c>
      <c r="S54" s="123">
        <v>0</v>
      </c>
      <c r="T54" s="79"/>
      <c r="U54" s="79"/>
    </row>
    <row r="55" spans="6:21" x14ac:dyDescent="0.25">
      <c r="F55" t="s">
        <v>158</v>
      </c>
      <c r="G55" s="72" t="s">
        <v>227</v>
      </c>
      <c r="J55" s="123">
        <v>1</v>
      </c>
      <c r="K55" s="123">
        <v>1</v>
      </c>
      <c r="L55" s="123">
        <v>1</v>
      </c>
      <c r="M55" s="123">
        <v>1</v>
      </c>
      <c r="N55" s="123">
        <v>1</v>
      </c>
      <c r="O55" s="123">
        <v>1</v>
      </c>
      <c r="P55" s="123">
        <v>1</v>
      </c>
      <c r="Q55" s="123">
        <v>1</v>
      </c>
      <c r="R55" s="123">
        <v>1</v>
      </c>
      <c r="S55" s="123">
        <v>1</v>
      </c>
      <c r="T55" s="79"/>
      <c r="U55" s="79"/>
    </row>
    <row r="56" spans="6:21" x14ac:dyDescent="0.25">
      <c r="F56" t="s">
        <v>159</v>
      </c>
      <c r="G56" s="72" t="s">
        <v>227</v>
      </c>
      <c r="J56" s="123">
        <v>1</v>
      </c>
      <c r="K56" s="123">
        <v>1</v>
      </c>
      <c r="L56" s="123">
        <v>1</v>
      </c>
      <c r="M56" s="123">
        <v>1</v>
      </c>
      <c r="N56" s="123">
        <v>1</v>
      </c>
      <c r="O56" s="123">
        <v>1</v>
      </c>
      <c r="P56" s="123">
        <v>1</v>
      </c>
      <c r="Q56" s="123">
        <v>1</v>
      </c>
      <c r="R56" s="123">
        <v>1</v>
      </c>
      <c r="S56" s="123">
        <v>1</v>
      </c>
      <c r="T56" s="79"/>
      <c r="U56" s="79"/>
    </row>
    <row r="57" spans="6:21" x14ac:dyDescent="0.25">
      <c r="F57" t="s">
        <v>160</v>
      </c>
      <c r="G57" s="72" t="s">
        <v>227</v>
      </c>
      <c r="J57" s="123">
        <v>1</v>
      </c>
      <c r="K57" s="123">
        <v>1</v>
      </c>
      <c r="L57" s="123">
        <v>1</v>
      </c>
      <c r="M57" s="123">
        <v>1</v>
      </c>
      <c r="N57" s="123">
        <v>1</v>
      </c>
      <c r="O57" s="123">
        <v>1</v>
      </c>
      <c r="P57" s="123">
        <v>1</v>
      </c>
      <c r="Q57" s="123">
        <v>1</v>
      </c>
      <c r="R57" s="123">
        <v>1</v>
      </c>
      <c r="S57" s="123">
        <v>1</v>
      </c>
      <c r="T57" s="79"/>
      <c r="U57" s="79"/>
    </row>
    <row r="58" spans="6:21" x14ac:dyDescent="0.25">
      <c r="F58" t="s">
        <v>161</v>
      </c>
      <c r="G58" s="72" t="s">
        <v>227</v>
      </c>
      <c r="J58" s="123">
        <v>1</v>
      </c>
      <c r="K58" s="123">
        <v>1</v>
      </c>
      <c r="L58" s="123">
        <v>1</v>
      </c>
      <c r="M58" s="123">
        <v>1</v>
      </c>
      <c r="N58" s="123">
        <v>1</v>
      </c>
      <c r="O58" s="123">
        <v>1</v>
      </c>
      <c r="P58" s="123">
        <v>1</v>
      </c>
      <c r="Q58" s="123">
        <v>1</v>
      </c>
      <c r="R58" s="123">
        <v>1</v>
      </c>
      <c r="S58" s="123">
        <v>0</v>
      </c>
      <c r="T58" s="79"/>
      <c r="U58" s="79"/>
    </row>
    <row r="59" spans="6:21" x14ac:dyDescent="0.25">
      <c r="F59" t="s">
        <v>162</v>
      </c>
      <c r="G59" s="72" t="s">
        <v>227</v>
      </c>
      <c r="J59" s="123">
        <v>1</v>
      </c>
      <c r="K59" s="123">
        <v>1</v>
      </c>
      <c r="L59" s="123">
        <v>1</v>
      </c>
      <c r="M59" s="123">
        <v>1</v>
      </c>
      <c r="N59" s="123">
        <v>1</v>
      </c>
      <c r="O59" s="123">
        <v>1</v>
      </c>
      <c r="P59" s="123">
        <v>1</v>
      </c>
      <c r="Q59" s="123">
        <v>1</v>
      </c>
      <c r="R59" s="123">
        <v>0</v>
      </c>
      <c r="S59" s="123">
        <v>0</v>
      </c>
      <c r="T59" s="79"/>
      <c r="U59" s="79"/>
    </row>
    <row r="60" spans="6:21" x14ac:dyDescent="0.25">
      <c r="F60" t="s">
        <v>163</v>
      </c>
      <c r="G60" s="72" t="s">
        <v>227</v>
      </c>
      <c r="J60" s="123">
        <v>1</v>
      </c>
      <c r="K60" s="123">
        <v>1</v>
      </c>
      <c r="L60" s="123">
        <v>1</v>
      </c>
      <c r="M60" s="123">
        <v>1</v>
      </c>
      <c r="N60" s="123">
        <v>1</v>
      </c>
      <c r="O60" s="123">
        <v>1</v>
      </c>
      <c r="P60" s="123">
        <v>1</v>
      </c>
      <c r="Q60" s="123">
        <v>1</v>
      </c>
      <c r="R60" s="123">
        <v>1</v>
      </c>
      <c r="S60" s="123">
        <v>1</v>
      </c>
      <c r="T60" s="79"/>
      <c r="U60" s="79"/>
    </row>
    <row r="61" spans="6:21" x14ac:dyDescent="0.25">
      <c r="F61" t="s">
        <v>164</v>
      </c>
      <c r="G61" s="72" t="s">
        <v>227</v>
      </c>
      <c r="J61" s="123">
        <v>1</v>
      </c>
      <c r="K61" s="123">
        <v>1</v>
      </c>
      <c r="L61" s="123">
        <v>1</v>
      </c>
      <c r="M61" s="123">
        <v>1</v>
      </c>
      <c r="N61" s="123">
        <v>1</v>
      </c>
      <c r="O61" s="123">
        <v>1</v>
      </c>
      <c r="P61" s="123">
        <v>1</v>
      </c>
      <c r="Q61" s="123">
        <v>1</v>
      </c>
      <c r="R61" s="123">
        <v>1</v>
      </c>
      <c r="S61" s="123">
        <v>1</v>
      </c>
      <c r="T61" s="79"/>
      <c r="U61" s="79"/>
    </row>
    <row r="62" spans="6:21" x14ac:dyDescent="0.25">
      <c r="F62" t="s">
        <v>165</v>
      </c>
      <c r="G62" s="72" t="s">
        <v>227</v>
      </c>
      <c r="J62" s="123">
        <v>1</v>
      </c>
      <c r="K62" s="123">
        <v>1</v>
      </c>
      <c r="L62" s="123">
        <v>1</v>
      </c>
      <c r="M62" s="123">
        <v>1</v>
      </c>
      <c r="N62" s="123">
        <v>1</v>
      </c>
      <c r="O62" s="123">
        <v>1</v>
      </c>
      <c r="P62" s="123">
        <v>1</v>
      </c>
      <c r="Q62" s="123">
        <v>1</v>
      </c>
      <c r="R62" s="123">
        <v>1</v>
      </c>
      <c r="S62" s="123">
        <v>1</v>
      </c>
      <c r="T62" s="79"/>
      <c r="U62" s="79"/>
    </row>
    <row r="63" spans="6:21" x14ac:dyDescent="0.25">
      <c r="F63" t="s">
        <v>166</v>
      </c>
      <c r="G63" s="72" t="s">
        <v>227</v>
      </c>
      <c r="J63" s="123">
        <v>1</v>
      </c>
      <c r="K63" s="123">
        <v>1</v>
      </c>
      <c r="L63" s="123">
        <v>1</v>
      </c>
      <c r="M63" s="123">
        <v>1</v>
      </c>
      <c r="N63" s="123">
        <v>1</v>
      </c>
      <c r="O63" s="123">
        <v>1</v>
      </c>
      <c r="P63" s="123">
        <v>1</v>
      </c>
      <c r="Q63" s="123">
        <v>1</v>
      </c>
      <c r="R63" s="123">
        <v>1</v>
      </c>
      <c r="S63" s="123">
        <v>1</v>
      </c>
      <c r="T63" s="79"/>
      <c r="U63" s="79"/>
    </row>
    <row r="64" spans="6:21" x14ac:dyDescent="0.25">
      <c r="F64" t="s">
        <v>167</v>
      </c>
      <c r="G64" s="72" t="s">
        <v>227</v>
      </c>
      <c r="J64" s="123">
        <v>1</v>
      </c>
      <c r="K64" s="123">
        <v>1</v>
      </c>
      <c r="L64" s="123">
        <v>1</v>
      </c>
      <c r="M64" s="123">
        <v>1</v>
      </c>
      <c r="N64" s="123">
        <v>1</v>
      </c>
      <c r="O64" s="123">
        <v>1</v>
      </c>
      <c r="P64" s="123">
        <v>1</v>
      </c>
      <c r="Q64" s="123">
        <v>1</v>
      </c>
      <c r="R64" s="123">
        <v>1</v>
      </c>
      <c r="S64" s="123">
        <v>1</v>
      </c>
      <c r="T64" s="79"/>
      <c r="U64" s="79"/>
    </row>
    <row r="65" spans="5:21" x14ac:dyDescent="0.25">
      <c r="F65" t="s">
        <v>168</v>
      </c>
      <c r="G65" s="72" t="s">
        <v>227</v>
      </c>
      <c r="J65" s="123">
        <v>-1</v>
      </c>
      <c r="K65" s="123">
        <v>-1</v>
      </c>
      <c r="L65" s="123">
        <v>-1</v>
      </c>
      <c r="M65" s="123">
        <v>-1</v>
      </c>
      <c r="N65" s="123">
        <v>-1</v>
      </c>
      <c r="O65" s="123">
        <v>-1</v>
      </c>
      <c r="P65" s="123">
        <v>-1</v>
      </c>
      <c r="Q65" s="123">
        <v>-1</v>
      </c>
      <c r="R65" s="123">
        <v>-1</v>
      </c>
      <c r="S65" s="123">
        <v>-1</v>
      </c>
      <c r="T65" s="79"/>
      <c r="U65" s="79"/>
    </row>
    <row r="66" spans="5:21" x14ac:dyDescent="0.25">
      <c r="F66" t="s">
        <v>169</v>
      </c>
      <c r="G66" s="72" t="s">
        <v>227</v>
      </c>
      <c r="J66" s="123">
        <v>-1</v>
      </c>
      <c r="K66" s="123">
        <v>-1</v>
      </c>
      <c r="L66" s="123">
        <v>-1</v>
      </c>
      <c r="M66" s="123">
        <v>-1</v>
      </c>
      <c r="N66" s="123">
        <v>-1</v>
      </c>
      <c r="O66" s="123">
        <v>-1</v>
      </c>
      <c r="P66" s="123">
        <v>-1</v>
      </c>
      <c r="Q66" s="123">
        <v>-1</v>
      </c>
      <c r="R66" s="123">
        <v>-1</v>
      </c>
      <c r="S66" s="123">
        <v>0</v>
      </c>
      <c r="T66" s="79"/>
      <c r="U66" s="79"/>
    </row>
    <row r="67" spans="5:21" x14ac:dyDescent="0.25">
      <c r="F67" t="s">
        <v>170</v>
      </c>
      <c r="G67" s="72" t="s">
        <v>227</v>
      </c>
      <c r="J67" s="123">
        <v>-1</v>
      </c>
      <c r="K67" s="123">
        <v>-1</v>
      </c>
      <c r="L67" s="123">
        <v>-1</v>
      </c>
      <c r="M67" s="123">
        <v>-1</v>
      </c>
      <c r="N67" s="123">
        <v>-1</v>
      </c>
      <c r="O67" s="123">
        <v>-1</v>
      </c>
      <c r="P67" s="123">
        <v>-1</v>
      </c>
      <c r="Q67" s="123">
        <v>-1</v>
      </c>
      <c r="R67" s="123">
        <v>-1</v>
      </c>
      <c r="S67" s="123">
        <v>-1</v>
      </c>
      <c r="T67" s="79"/>
      <c r="U67" s="79"/>
    </row>
    <row r="68" spans="5:21" x14ac:dyDescent="0.25">
      <c r="F68" t="s">
        <v>171</v>
      </c>
      <c r="G68" s="72" t="s">
        <v>227</v>
      </c>
      <c r="J68" s="123">
        <v>-1</v>
      </c>
      <c r="K68" s="123">
        <v>-1</v>
      </c>
      <c r="L68" s="123">
        <v>-1</v>
      </c>
      <c r="M68" s="123">
        <v>-1</v>
      </c>
      <c r="N68" s="123">
        <v>-1</v>
      </c>
      <c r="O68" s="123">
        <v>-1</v>
      </c>
      <c r="P68" s="123">
        <v>-1</v>
      </c>
      <c r="Q68" s="123">
        <v>-1</v>
      </c>
      <c r="R68" s="123">
        <v>-1</v>
      </c>
      <c r="S68" s="123">
        <v>-1</v>
      </c>
      <c r="T68" s="79"/>
      <c r="U68" s="79"/>
    </row>
    <row r="69" spans="5:21" x14ac:dyDescent="0.25">
      <c r="F69" t="s">
        <v>172</v>
      </c>
      <c r="G69" s="72" t="s">
        <v>227</v>
      </c>
      <c r="J69" s="123">
        <v>-1</v>
      </c>
      <c r="K69" s="123">
        <v>-1</v>
      </c>
      <c r="L69" s="123">
        <v>-1</v>
      </c>
      <c r="M69" s="123">
        <v>-1</v>
      </c>
      <c r="N69" s="123">
        <v>-1</v>
      </c>
      <c r="O69" s="123">
        <v>-1</v>
      </c>
      <c r="P69" s="123">
        <v>-1</v>
      </c>
      <c r="Q69" s="123">
        <v>-1</v>
      </c>
      <c r="R69" s="123">
        <v>-1</v>
      </c>
      <c r="S69" s="123">
        <v>-1</v>
      </c>
      <c r="T69" s="79"/>
      <c r="U69" s="79"/>
    </row>
    <row r="70" spans="5:21" x14ac:dyDescent="0.25">
      <c r="F70" t="s">
        <v>173</v>
      </c>
      <c r="G70" s="72" t="s">
        <v>227</v>
      </c>
      <c r="J70" s="123">
        <v>-1</v>
      </c>
      <c r="K70" s="123">
        <v>-1</v>
      </c>
      <c r="L70" s="123">
        <v>-1</v>
      </c>
      <c r="M70" s="123">
        <v>-1</v>
      </c>
      <c r="N70" s="123">
        <v>-1</v>
      </c>
      <c r="O70" s="123">
        <v>-1</v>
      </c>
      <c r="P70" s="123">
        <v>-1</v>
      </c>
      <c r="Q70" s="123">
        <v>-1</v>
      </c>
      <c r="R70" s="123">
        <v>-1</v>
      </c>
      <c r="S70" s="123">
        <v>-1</v>
      </c>
      <c r="T70" s="79"/>
      <c r="U70" s="79"/>
    </row>
    <row r="71" spans="5:21" x14ac:dyDescent="0.25">
      <c r="F71" t="s">
        <v>174</v>
      </c>
      <c r="G71" s="72" t="s">
        <v>227</v>
      </c>
      <c r="J71" s="123">
        <v>-1</v>
      </c>
      <c r="K71" s="123">
        <v>-1</v>
      </c>
      <c r="L71" s="123">
        <v>-1</v>
      </c>
      <c r="M71" s="123">
        <v>-1</v>
      </c>
      <c r="N71" s="123">
        <v>-1</v>
      </c>
      <c r="O71" s="123">
        <v>-1</v>
      </c>
      <c r="P71" s="123">
        <v>-1</v>
      </c>
      <c r="Q71" s="123">
        <v>-1</v>
      </c>
      <c r="R71" s="123">
        <v>-1</v>
      </c>
      <c r="S71" s="123">
        <v>0</v>
      </c>
      <c r="T71" s="79"/>
      <c r="U71" s="79"/>
    </row>
    <row r="72" spans="5:21" x14ac:dyDescent="0.25">
      <c r="F72" t="s">
        <v>175</v>
      </c>
      <c r="G72" s="72" t="s">
        <v>227</v>
      </c>
      <c r="J72" s="123">
        <v>-1</v>
      </c>
      <c r="K72" s="123">
        <v>-1</v>
      </c>
      <c r="L72" s="123">
        <v>-1</v>
      </c>
      <c r="M72" s="123">
        <v>-1</v>
      </c>
      <c r="N72" s="123">
        <v>-1</v>
      </c>
      <c r="O72" s="123">
        <v>-1</v>
      </c>
      <c r="P72" s="123">
        <v>-1</v>
      </c>
      <c r="Q72" s="123">
        <v>-1</v>
      </c>
      <c r="R72" s="123">
        <v>-1</v>
      </c>
      <c r="S72" s="123">
        <v>0</v>
      </c>
      <c r="T72" s="79"/>
      <c r="U72" s="79"/>
    </row>
    <row r="73" spans="5:21" x14ac:dyDescent="0.25">
      <c r="F73" t="s">
        <v>176</v>
      </c>
      <c r="G73" s="72" t="s">
        <v>227</v>
      </c>
      <c r="J73" s="123">
        <v>-1</v>
      </c>
      <c r="K73" s="123">
        <v>-1</v>
      </c>
      <c r="L73" s="123">
        <v>-1</v>
      </c>
      <c r="M73" s="123">
        <v>-1</v>
      </c>
      <c r="N73" s="123">
        <v>-1</v>
      </c>
      <c r="O73" s="123">
        <v>-1</v>
      </c>
      <c r="P73" s="123">
        <v>-1</v>
      </c>
      <c r="Q73" s="123">
        <v>-1</v>
      </c>
      <c r="R73" s="123">
        <v>-1</v>
      </c>
      <c r="S73" s="123">
        <v>0</v>
      </c>
      <c r="T73" s="79"/>
      <c r="U73" s="79"/>
    </row>
    <row r="74" spans="5:21" x14ac:dyDescent="0.25">
      <c r="F74" t="s">
        <v>177</v>
      </c>
      <c r="G74" s="72" t="s">
        <v>227</v>
      </c>
      <c r="J74" s="123">
        <v>-1</v>
      </c>
      <c r="K74" s="123">
        <v>-1</v>
      </c>
      <c r="L74" s="123">
        <v>-1</v>
      </c>
      <c r="M74" s="123">
        <v>-1</v>
      </c>
      <c r="N74" s="123">
        <v>-1</v>
      </c>
      <c r="O74" s="123">
        <v>-1</v>
      </c>
      <c r="P74" s="123">
        <v>-1</v>
      </c>
      <c r="Q74" s="123">
        <v>-1</v>
      </c>
      <c r="R74" s="123">
        <v>-1</v>
      </c>
      <c r="S74" s="123">
        <v>0</v>
      </c>
      <c r="T74" s="79"/>
      <c r="U74" s="79"/>
    </row>
    <row r="75" spans="5:21" x14ac:dyDescent="0.25">
      <c r="F75" t="s">
        <v>178</v>
      </c>
      <c r="G75" s="72" t="s">
        <v>227</v>
      </c>
      <c r="J75" s="123">
        <v>-1</v>
      </c>
      <c r="K75" s="123">
        <v>-1</v>
      </c>
      <c r="L75" s="123">
        <v>-1</v>
      </c>
      <c r="M75" s="123">
        <v>-1</v>
      </c>
      <c r="N75" s="123">
        <v>-1</v>
      </c>
      <c r="O75" s="123">
        <v>-1</v>
      </c>
      <c r="P75" s="123">
        <v>-1</v>
      </c>
      <c r="Q75" s="123">
        <v>-1</v>
      </c>
      <c r="R75" s="123">
        <v>0</v>
      </c>
      <c r="S75" s="123">
        <v>0</v>
      </c>
      <c r="T75" s="79"/>
      <c r="U75" s="79"/>
    </row>
    <row r="76" spans="5:21" x14ac:dyDescent="0.25">
      <c r="F76" t="s">
        <v>179</v>
      </c>
      <c r="G76" s="72" t="s">
        <v>227</v>
      </c>
      <c r="J76" s="123">
        <v>-1</v>
      </c>
      <c r="K76" s="123">
        <v>-1</v>
      </c>
      <c r="L76" s="123">
        <v>-1</v>
      </c>
      <c r="M76" s="123">
        <v>-1</v>
      </c>
      <c r="N76" s="123">
        <v>-1</v>
      </c>
      <c r="O76" s="123">
        <v>-1</v>
      </c>
      <c r="P76" s="123">
        <v>-1</v>
      </c>
      <c r="Q76" s="123">
        <v>-1</v>
      </c>
      <c r="R76" s="123">
        <v>0</v>
      </c>
      <c r="S76" s="123">
        <v>0</v>
      </c>
      <c r="T76" s="79"/>
      <c r="U76" s="79"/>
    </row>
    <row r="77" spans="5:21" x14ac:dyDescent="0.25">
      <c r="F77" t="s">
        <v>180</v>
      </c>
      <c r="G77" s="72" t="s">
        <v>227</v>
      </c>
      <c r="J77" s="123">
        <v>-1</v>
      </c>
      <c r="K77" s="123">
        <v>-1</v>
      </c>
      <c r="L77" s="123">
        <v>-1</v>
      </c>
      <c r="M77" s="123">
        <v>-1</v>
      </c>
      <c r="N77" s="123">
        <v>-1</v>
      </c>
      <c r="O77" s="123">
        <v>-1</v>
      </c>
      <c r="P77" s="123">
        <v>-1</v>
      </c>
      <c r="Q77" s="123">
        <v>-1</v>
      </c>
      <c r="R77" s="123">
        <v>0</v>
      </c>
      <c r="S77" s="123">
        <v>0</v>
      </c>
      <c r="T77" s="79"/>
      <c r="U77" s="79"/>
    </row>
    <row r="78" spans="5:21" x14ac:dyDescent="0.25">
      <c r="F78" s="37" t="s">
        <v>181</v>
      </c>
      <c r="G78" s="80" t="s">
        <v>227</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461</v>
      </c>
      <c r="G80" s="13"/>
      <c r="J80" s="92"/>
      <c r="K80" s="92"/>
      <c r="L80" s="92"/>
      <c r="M80" s="92"/>
      <c r="N80" s="92"/>
      <c r="O80" s="92"/>
      <c r="P80" s="92"/>
      <c r="Q80" s="92"/>
      <c r="R80" s="92"/>
      <c r="S80" s="92"/>
      <c r="T80" s="92"/>
      <c r="U80" s="92"/>
    </row>
    <row r="81" spans="5:23" x14ac:dyDescent="0.25">
      <c r="E81" s="29" t="s">
        <v>462</v>
      </c>
      <c r="G81" s="13"/>
      <c r="J81" s="92"/>
      <c r="K81" s="92"/>
      <c r="L81" s="92"/>
      <c r="M81" s="92"/>
      <c r="N81" s="92"/>
      <c r="O81" s="92"/>
      <c r="P81" s="92"/>
      <c r="Q81" s="92"/>
      <c r="R81" s="92"/>
      <c r="S81" s="92"/>
      <c r="T81" s="92"/>
      <c r="U81" s="92"/>
    </row>
    <row r="82" spans="5:23" x14ac:dyDescent="0.25">
      <c r="F82" s="23" t="s">
        <v>149</v>
      </c>
      <c r="G82" s="78" t="s">
        <v>227</v>
      </c>
      <c r="H82" s="23"/>
      <c r="I82" s="23"/>
      <c r="J82" s="129">
        <f t="shared" ref="J82:S82" si="5">IF(J$38 = "", J46, J46 * J$38)</f>
        <v>1</v>
      </c>
      <c r="K82" s="129">
        <f t="shared" si="5"/>
        <v>1</v>
      </c>
      <c r="L82" s="129">
        <f t="shared" si="5"/>
        <v>1</v>
      </c>
      <c r="M82" s="129">
        <f t="shared" si="5"/>
        <v>0.92495565728868046</v>
      </c>
      <c r="N82" s="129">
        <f t="shared" si="5"/>
        <v>0.92495565728868046</v>
      </c>
      <c r="O82" s="129">
        <f t="shared" si="5"/>
        <v>0.92495565728868046</v>
      </c>
      <c r="P82" s="129">
        <f t="shared" si="5"/>
        <v>7.5044342711319545E-2</v>
      </c>
      <c r="Q82" s="129">
        <f t="shared" si="5"/>
        <v>1</v>
      </c>
      <c r="R82" s="129">
        <f t="shared" si="5"/>
        <v>1</v>
      </c>
      <c r="S82" s="129">
        <f t="shared" si="5"/>
        <v>1</v>
      </c>
      <c r="T82" s="83"/>
      <c r="U82" s="83"/>
      <c r="W82" s="3"/>
    </row>
    <row r="83" spans="5:23" x14ac:dyDescent="0.25">
      <c r="F83" t="s">
        <v>150</v>
      </c>
      <c r="G83" s="72" t="s">
        <v>227</v>
      </c>
      <c r="J83" s="101">
        <f t="shared" ref="J83:S83" si="6">IF(J$38 = "", J47, J47 * J$38)</f>
        <v>1</v>
      </c>
      <c r="K83" s="101">
        <f t="shared" si="6"/>
        <v>1</v>
      </c>
      <c r="L83" s="101">
        <f t="shared" si="6"/>
        <v>1</v>
      </c>
      <c r="M83" s="101">
        <f t="shared" si="6"/>
        <v>0.92495565728868046</v>
      </c>
      <c r="N83" s="101">
        <f t="shared" si="6"/>
        <v>0.92495565728868046</v>
      </c>
      <c r="O83" s="101">
        <f t="shared" si="6"/>
        <v>0.92495565728868046</v>
      </c>
      <c r="P83" s="101">
        <f t="shared" si="6"/>
        <v>7.5044342711319545E-2</v>
      </c>
      <c r="Q83" s="101">
        <f t="shared" si="6"/>
        <v>1</v>
      </c>
      <c r="R83" s="101">
        <f t="shared" si="6"/>
        <v>1</v>
      </c>
      <c r="S83" s="101">
        <f t="shared" si="6"/>
        <v>1</v>
      </c>
      <c r="T83" s="79"/>
      <c r="U83" s="79"/>
    </row>
    <row r="84" spans="5:23" x14ac:dyDescent="0.25">
      <c r="F84" t="s">
        <v>151</v>
      </c>
      <c r="G84" s="72" t="s">
        <v>227</v>
      </c>
      <c r="J84" s="101">
        <f t="shared" ref="J84:S84" si="7">IF(J$38 = "", J48, J48 * J$38)</f>
        <v>1</v>
      </c>
      <c r="K84" s="101">
        <f t="shared" si="7"/>
        <v>1</v>
      </c>
      <c r="L84" s="101">
        <f t="shared" si="7"/>
        <v>1</v>
      </c>
      <c r="M84" s="101">
        <f t="shared" si="7"/>
        <v>0.92495565728868046</v>
      </c>
      <c r="N84" s="101">
        <f t="shared" si="7"/>
        <v>0.92495565728868046</v>
      </c>
      <c r="O84" s="101">
        <f t="shared" si="7"/>
        <v>0.92495565728868046</v>
      </c>
      <c r="P84" s="101">
        <f t="shared" si="7"/>
        <v>7.5044342711319545E-2</v>
      </c>
      <c r="Q84" s="101">
        <f t="shared" si="7"/>
        <v>1</v>
      </c>
      <c r="R84" s="101">
        <f t="shared" si="7"/>
        <v>1</v>
      </c>
      <c r="S84" s="101">
        <f t="shared" si="7"/>
        <v>1</v>
      </c>
      <c r="T84" s="79"/>
      <c r="U84" s="79"/>
    </row>
    <row r="85" spans="5:23" x14ac:dyDescent="0.25">
      <c r="F85" t="s">
        <v>152</v>
      </c>
      <c r="G85" s="72" t="s">
        <v>227</v>
      </c>
      <c r="J85" s="101">
        <f t="shared" ref="J85:S85" si="8">IF(J$38 = "", J49, J49 * J$38)</f>
        <v>1</v>
      </c>
      <c r="K85" s="101">
        <f t="shared" si="8"/>
        <v>1</v>
      </c>
      <c r="L85" s="101">
        <f t="shared" si="8"/>
        <v>1</v>
      </c>
      <c r="M85" s="101">
        <f t="shared" si="8"/>
        <v>0.92495565728868046</v>
      </c>
      <c r="N85" s="101">
        <f t="shared" si="8"/>
        <v>0.92495565728868046</v>
      </c>
      <c r="O85" s="101">
        <f t="shared" si="8"/>
        <v>0.92495565728868046</v>
      </c>
      <c r="P85" s="101">
        <f t="shared" si="8"/>
        <v>7.5044342711319545E-2</v>
      </c>
      <c r="Q85" s="101">
        <f t="shared" si="8"/>
        <v>1</v>
      </c>
      <c r="R85" s="101">
        <f t="shared" si="8"/>
        <v>1</v>
      </c>
      <c r="S85" s="101">
        <f t="shared" si="8"/>
        <v>1</v>
      </c>
      <c r="T85" s="79"/>
      <c r="U85" s="79"/>
    </row>
    <row r="86" spans="5:23" x14ac:dyDescent="0.25">
      <c r="F86" t="s">
        <v>153</v>
      </c>
      <c r="G86" s="72" t="s">
        <v>227</v>
      </c>
      <c r="J86" s="101">
        <f t="shared" ref="J86:S86" si="9">IF(J$38 = "", J50, J50 * J$38)</f>
        <v>1</v>
      </c>
      <c r="K86" s="101">
        <f t="shared" si="9"/>
        <v>1</v>
      </c>
      <c r="L86" s="101">
        <f t="shared" si="9"/>
        <v>1</v>
      </c>
      <c r="M86" s="101">
        <f t="shared" si="9"/>
        <v>0.92495565728868046</v>
      </c>
      <c r="N86" s="101">
        <f t="shared" si="9"/>
        <v>0.92495565728868046</v>
      </c>
      <c r="O86" s="101">
        <f t="shared" si="9"/>
        <v>0.92495565728868046</v>
      </c>
      <c r="P86" s="101">
        <f t="shared" si="9"/>
        <v>7.5044342711319545E-2</v>
      </c>
      <c r="Q86" s="101">
        <f t="shared" si="9"/>
        <v>1</v>
      </c>
      <c r="R86" s="101">
        <f t="shared" si="9"/>
        <v>1</v>
      </c>
      <c r="S86" s="101">
        <f t="shared" si="9"/>
        <v>1</v>
      </c>
      <c r="T86" s="79"/>
      <c r="U86" s="79"/>
    </row>
    <row r="87" spans="5:23" x14ac:dyDescent="0.25">
      <c r="F87" t="s">
        <v>154</v>
      </c>
      <c r="G87" s="72" t="s">
        <v>227</v>
      </c>
      <c r="J87" s="101">
        <f t="shared" ref="J87:S87" si="10">IF(J$38 = "", J51, J51 * J$38)</f>
        <v>1</v>
      </c>
      <c r="K87" s="101">
        <f t="shared" si="10"/>
        <v>1</v>
      </c>
      <c r="L87" s="101">
        <f t="shared" si="10"/>
        <v>1</v>
      </c>
      <c r="M87" s="101">
        <f t="shared" si="10"/>
        <v>0.92495565728868046</v>
      </c>
      <c r="N87" s="101">
        <f t="shared" si="10"/>
        <v>0.92495565728868046</v>
      </c>
      <c r="O87" s="101">
        <f t="shared" si="10"/>
        <v>0.92495565728868046</v>
      </c>
      <c r="P87" s="101">
        <f t="shared" si="10"/>
        <v>7.5044342711319545E-2</v>
      </c>
      <c r="Q87" s="101">
        <f t="shared" si="10"/>
        <v>1</v>
      </c>
      <c r="R87" s="101">
        <f t="shared" si="10"/>
        <v>1</v>
      </c>
      <c r="S87" s="101">
        <f t="shared" si="10"/>
        <v>1</v>
      </c>
      <c r="T87" s="79"/>
      <c r="U87" s="79"/>
    </row>
    <row r="88" spans="5:23" x14ac:dyDescent="0.25">
      <c r="F88" t="s">
        <v>155</v>
      </c>
      <c r="G88" s="72" t="s">
        <v>227</v>
      </c>
      <c r="J88" s="101">
        <f t="shared" ref="J88:S88" si="11">IF(J$38 = "", J52, J52 * J$38)</f>
        <v>1</v>
      </c>
      <c r="K88" s="101">
        <f t="shared" si="11"/>
        <v>1</v>
      </c>
      <c r="L88" s="101">
        <f t="shared" si="11"/>
        <v>1</v>
      </c>
      <c r="M88" s="101">
        <f t="shared" si="11"/>
        <v>0.92495565728868046</v>
      </c>
      <c r="N88" s="101">
        <f t="shared" si="11"/>
        <v>0.92495565728868046</v>
      </c>
      <c r="O88" s="101">
        <f t="shared" si="11"/>
        <v>0.92495565728868046</v>
      </c>
      <c r="P88" s="101">
        <f t="shared" si="11"/>
        <v>7.5044342711319545E-2</v>
      </c>
      <c r="Q88" s="101">
        <f t="shared" si="11"/>
        <v>1</v>
      </c>
      <c r="R88" s="101">
        <f t="shared" si="11"/>
        <v>1</v>
      </c>
      <c r="S88" s="101">
        <f t="shared" si="11"/>
        <v>1</v>
      </c>
      <c r="T88" s="79"/>
      <c r="U88" s="79"/>
    </row>
    <row r="89" spans="5:23" x14ac:dyDescent="0.25">
      <c r="F89" t="s">
        <v>156</v>
      </c>
      <c r="G89" s="72" t="s">
        <v>227</v>
      </c>
      <c r="J89" s="101">
        <f t="shared" ref="J89:S89" si="12">IF(J$38 = "", J53, J53 * J$38)</f>
        <v>1</v>
      </c>
      <c r="K89" s="101">
        <f t="shared" si="12"/>
        <v>1</v>
      </c>
      <c r="L89" s="101">
        <f t="shared" si="12"/>
        <v>1</v>
      </c>
      <c r="M89" s="101">
        <f t="shared" si="12"/>
        <v>0.92495565728868046</v>
      </c>
      <c r="N89" s="101">
        <f t="shared" si="12"/>
        <v>0.92495565728868046</v>
      </c>
      <c r="O89" s="101">
        <f t="shared" si="12"/>
        <v>0.92495565728868046</v>
      </c>
      <c r="P89" s="101">
        <f t="shared" si="12"/>
        <v>7.5044342711319545E-2</v>
      </c>
      <c r="Q89" s="101">
        <f t="shared" si="12"/>
        <v>1</v>
      </c>
      <c r="R89" s="101">
        <f t="shared" si="12"/>
        <v>1</v>
      </c>
      <c r="S89" s="101">
        <f t="shared" si="12"/>
        <v>0</v>
      </c>
      <c r="T89" s="79"/>
      <c r="U89" s="79"/>
    </row>
    <row r="90" spans="5:23" x14ac:dyDescent="0.25">
      <c r="F90" t="s">
        <v>157</v>
      </c>
      <c r="G90" s="72" t="s">
        <v>227</v>
      </c>
      <c r="J90" s="101">
        <f t="shared" ref="J90:S90" si="13">IF(J$38 = "", J54, J54 * J$38)</f>
        <v>1</v>
      </c>
      <c r="K90" s="101">
        <f t="shared" si="13"/>
        <v>1</v>
      </c>
      <c r="L90" s="101">
        <f t="shared" si="13"/>
        <v>1</v>
      </c>
      <c r="M90" s="101">
        <f t="shared" si="13"/>
        <v>0.92495565728868046</v>
      </c>
      <c r="N90" s="101">
        <f t="shared" si="13"/>
        <v>0.92495565728868046</v>
      </c>
      <c r="O90" s="101">
        <f t="shared" si="13"/>
        <v>0.92495565728868046</v>
      </c>
      <c r="P90" s="101">
        <f t="shared" si="13"/>
        <v>7.5044342711319545E-2</v>
      </c>
      <c r="Q90" s="101">
        <f t="shared" si="13"/>
        <v>1</v>
      </c>
      <c r="R90" s="101">
        <f t="shared" si="13"/>
        <v>0</v>
      </c>
      <c r="S90" s="101">
        <f t="shared" si="13"/>
        <v>0</v>
      </c>
      <c r="T90" s="79"/>
      <c r="U90" s="79"/>
    </row>
    <row r="91" spans="5:23" x14ac:dyDescent="0.25">
      <c r="F91" t="s">
        <v>158</v>
      </c>
      <c r="G91" s="72" t="s">
        <v>227</v>
      </c>
      <c r="J91" s="101">
        <f t="shared" ref="J91:S91" si="14">IF(J$38 = "", J55, J55 * J$38)</f>
        <v>1</v>
      </c>
      <c r="K91" s="101">
        <f t="shared" si="14"/>
        <v>1</v>
      </c>
      <c r="L91" s="101">
        <f t="shared" si="14"/>
        <v>1</v>
      </c>
      <c r="M91" s="101">
        <f t="shared" si="14"/>
        <v>0.92495565728868046</v>
      </c>
      <c r="N91" s="101">
        <f t="shared" si="14"/>
        <v>0.92495565728868046</v>
      </c>
      <c r="O91" s="101">
        <f t="shared" si="14"/>
        <v>0.92495565728868046</v>
      </c>
      <c r="P91" s="101">
        <f t="shared" si="14"/>
        <v>7.5044342711319545E-2</v>
      </c>
      <c r="Q91" s="101">
        <f t="shared" si="14"/>
        <v>1</v>
      </c>
      <c r="R91" s="101">
        <f t="shared" si="14"/>
        <v>1</v>
      </c>
      <c r="S91" s="101">
        <f t="shared" si="14"/>
        <v>1</v>
      </c>
      <c r="T91" s="79"/>
      <c r="U91" s="79"/>
    </row>
    <row r="92" spans="5:23" x14ac:dyDescent="0.25">
      <c r="F92" t="s">
        <v>159</v>
      </c>
      <c r="G92" s="72" t="s">
        <v>227</v>
      </c>
      <c r="J92" s="101">
        <f t="shared" ref="J92:S92" si="15">IF(J$38 = "", J56, J56 * J$38)</f>
        <v>1</v>
      </c>
      <c r="K92" s="101">
        <f t="shared" si="15"/>
        <v>1</v>
      </c>
      <c r="L92" s="101">
        <f t="shared" si="15"/>
        <v>1</v>
      </c>
      <c r="M92" s="101">
        <f t="shared" si="15"/>
        <v>0.92495565728868046</v>
      </c>
      <c r="N92" s="101">
        <f t="shared" si="15"/>
        <v>0.92495565728868046</v>
      </c>
      <c r="O92" s="101">
        <f t="shared" si="15"/>
        <v>0.92495565728868046</v>
      </c>
      <c r="P92" s="101">
        <f t="shared" si="15"/>
        <v>7.5044342711319545E-2</v>
      </c>
      <c r="Q92" s="101">
        <f t="shared" si="15"/>
        <v>1</v>
      </c>
      <c r="R92" s="101">
        <f t="shared" si="15"/>
        <v>1</v>
      </c>
      <c r="S92" s="101">
        <f t="shared" si="15"/>
        <v>1</v>
      </c>
      <c r="T92" s="79"/>
      <c r="U92" s="79"/>
    </row>
    <row r="93" spans="5:23" x14ac:dyDescent="0.25">
      <c r="F93" t="s">
        <v>160</v>
      </c>
      <c r="G93" s="72" t="s">
        <v>227</v>
      </c>
      <c r="J93" s="101">
        <f t="shared" ref="J93:S93" si="16">IF(J$38 = "", J57, J57 * J$38)</f>
        <v>1</v>
      </c>
      <c r="K93" s="101">
        <f t="shared" si="16"/>
        <v>1</v>
      </c>
      <c r="L93" s="101">
        <f t="shared" si="16"/>
        <v>1</v>
      </c>
      <c r="M93" s="101">
        <f t="shared" si="16"/>
        <v>0.92495565728868046</v>
      </c>
      <c r="N93" s="101">
        <f t="shared" si="16"/>
        <v>0.92495565728868046</v>
      </c>
      <c r="O93" s="101">
        <f t="shared" si="16"/>
        <v>0.92495565728868046</v>
      </c>
      <c r="P93" s="101">
        <f t="shared" si="16"/>
        <v>7.5044342711319545E-2</v>
      </c>
      <c r="Q93" s="101">
        <f t="shared" si="16"/>
        <v>1</v>
      </c>
      <c r="R93" s="101">
        <f t="shared" si="16"/>
        <v>1</v>
      </c>
      <c r="S93" s="101">
        <f t="shared" si="16"/>
        <v>1</v>
      </c>
      <c r="T93" s="79"/>
      <c r="U93" s="79"/>
    </row>
    <row r="94" spans="5:23" x14ac:dyDescent="0.25">
      <c r="F94" t="s">
        <v>161</v>
      </c>
      <c r="G94" s="72" t="s">
        <v>227</v>
      </c>
      <c r="J94" s="101">
        <f t="shared" ref="J94:S94" si="17">IF(J$38 = "", J58, J58 * J$38)</f>
        <v>1</v>
      </c>
      <c r="K94" s="101">
        <f t="shared" si="17"/>
        <v>1</v>
      </c>
      <c r="L94" s="101">
        <f t="shared" si="17"/>
        <v>1</v>
      </c>
      <c r="M94" s="101">
        <f t="shared" si="17"/>
        <v>0.92495565728868046</v>
      </c>
      <c r="N94" s="101">
        <f t="shared" si="17"/>
        <v>0.92495565728868046</v>
      </c>
      <c r="O94" s="101">
        <f t="shared" si="17"/>
        <v>0.92495565728868046</v>
      </c>
      <c r="P94" s="101">
        <f t="shared" si="17"/>
        <v>7.5044342711319545E-2</v>
      </c>
      <c r="Q94" s="101">
        <f t="shared" si="17"/>
        <v>1</v>
      </c>
      <c r="R94" s="101">
        <f t="shared" si="17"/>
        <v>1</v>
      </c>
      <c r="S94" s="101">
        <f t="shared" si="17"/>
        <v>0</v>
      </c>
      <c r="T94" s="79"/>
      <c r="U94" s="79"/>
    </row>
    <row r="95" spans="5:23" x14ac:dyDescent="0.25">
      <c r="F95" t="s">
        <v>162</v>
      </c>
      <c r="G95" s="72" t="s">
        <v>227</v>
      </c>
      <c r="J95" s="101">
        <f t="shared" ref="J95:S95" si="18">IF(J$38 = "", J59, J59 * J$38)</f>
        <v>1</v>
      </c>
      <c r="K95" s="101">
        <f t="shared" si="18"/>
        <v>1</v>
      </c>
      <c r="L95" s="101">
        <f t="shared" si="18"/>
        <v>1</v>
      </c>
      <c r="M95" s="101">
        <f t="shared" si="18"/>
        <v>0.92495565728868046</v>
      </c>
      <c r="N95" s="101">
        <f t="shared" si="18"/>
        <v>0.92495565728868046</v>
      </c>
      <c r="O95" s="101">
        <f t="shared" si="18"/>
        <v>0.92495565728868046</v>
      </c>
      <c r="P95" s="101">
        <f t="shared" si="18"/>
        <v>7.5044342711319545E-2</v>
      </c>
      <c r="Q95" s="101">
        <f t="shared" si="18"/>
        <v>1</v>
      </c>
      <c r="R95" s="101">
        <f t="shared" si="18"/>
        <v>0</v>
      </c>
      <c r="S95" s="101">
        <f t="shared" si="18"/>
        <v>0</v>
      </c>
      <c r="T95" s="79"/>
      <c r="U95" s="79"/>
    </row>
    <row r="96" spans="5:23" x14ac:dyDescent="0.25">
      <c r="F96" t="s">
        <v>163</v>
      </c>
      <c r="G96" s="72" t="s">
        <v>227</v>
      </c>
      <c r="J96" s="101">
        <f t="shared" ref="J96:S96" si="19">IF(J$38 = "", J60, J60 * J$38)</f>
        <v>1</v>
      </c>
      <c r="K96" s="101">
        <f t="shared" si="19"/>
        <v>1</v>
      </c>
      <c r="L96" s="101">
        <f t="shared" si="19"/>
        <v>1</v>
      </c>
      <c r="M96" s="101">
        <f t="shared" si="19"/>
        <v>0.92495565728868046</v>
      </c>
      <c r="N96" s="101">
        <f t="shared" si="19"/>
        <v>0.92495565728868046</v>
      </c>
      <c r="O96" s="101">
        <f t="shared" si="19"/>
        <v>0.92495565728868046</v>
      </c>
      <c r="P96" s="101">
        <f t="shared" si="19"/>
        <v>7.5044342711319545E-2</v>
      </c>
      <c r="Q96" s="101">
        <f t="shared" si="19"/>
        <v>1</v>
      </c>
      <c r="R96" s="101">
        <f t="shared" si="19"/>
        <v>1</v>
      </c>
      <c r="S96" s="101">
        <f t="shared" si="19"/>
        <v>1</v>
      </c>
      <c r="T96" s="79"/>
      <c r="U96" s="79"/>
    </row>
    <row r="97" spans="6:21" x14ac:dyDescent="0.25">
      <c r="F97" t="s">
        <v>164</v>
      </c>
      <c r="G97" s="72" t="s">
        <v>227</v>
      </c>
      <c r="J97" s="101">
        <f t="shared" ref="J97:S97" si="20">IF(J$38 = "", J61, J61 * J$38)</f>
        <v>1</v>
      </c>
      <c r="K97" s="101">
        <f t="shared" si="20"/>
        <v>1</v>
      </c>
      <c r="L97" s="101">
        <f t="shared" si="20"/>
        <v>1</v>
      </c>
      <c r="M97" s="101">
        <f t="shared" si="20"/>
        <v>0.92495565728868046</v>
      </c>
      <c r="N97" s="101">
        <f t="shared" si="20"/>
        <v>0.92495565728868046</v>
      </c>
      <c r="O97" s="101">
        <f t="shared" si="20"/>
        <v>0.92495565728868046</v>
      </c>
      <c r="P97" s="101">
        <f t="shared" si="20"/>
        <v>7.5044342711319545E-2</v>
      </c>
      <c r="Q97" s="101">
        <f t="shared" si="20"/>
        <v>1</v>
      </c>
      <c r="R97" s="101">
        <f t="shared" si="20"/>
        <v>1</v>
      </c>
      <c r="S97" s="101">
        <f t="shared" si="20"/>
        <v>1</v>
      </c>
      <c r="T97" s="79"/>
      <c r="U97" s="79"/>
    </row>
    <row r="98" spans="6:21" x14ac:dyDescent="0.25">
      <c r="F98" t="s">
        <v>165</v>
      </c>
      <c r="G98" s="72" t="s">
        <v>227</v>
      </c>
      <c r="J98" s="101">
        <f t="shared" ref="J98:S98" si="21">IF(J$38 = "", J62, J62 * J$38)</f>
        <v>1</v>
      </c>
      <c r="K98" s="101">
        <f t="shared" si="21"/>
        <v>1</v>
      </c>
      <c r="L98" s="101">
        <f t="shared" si="21"/>
        <v>1</v>
      </c>
      <c r="M98" s="101">
        <f t="shared" si="21"/>
        <v>0.92495565728868046</v>
      </c>
      <c r="N98" s="101">
        <f t="shared" si="21"/>
        <v>0.92495565728868046</v>
      </c>
      <c r="O98" s="101">
        <f t="shared" si="21"/>
        <v>0.92495565728868046</v>
      </c>
      <c r="P98" s="101">
        <f t="shared" si="21"/>
        <v>7.5044342711319545E-2</v>
      </c>
      <c r="Q98" s="101">
        <f t="shared" si="21"/>
        <v>1</v>
      </c>
      <c r="R98" s="101">
        <f t="shared" si="21"/>
        <v>1</v>
      </c>
      <c r="S98" s="101">
        <f t="shared" si="21"/>
        <v>1</v>
      </c>
      <c r="T98" s="79"/>
      <c r="U98" s="79"/>
    </row>
    <row r="99" spans="6:21" x14ac:dyDescent="0.25">
      <c r="F99" t="s">
        <v>166</v>
      </c>
      <c r="G99" s="72" t="s">
        <v>227</v>
      </c>
      <c r="J99" s="101">
        <f t="shared" ref="J99:S99" si="22">IF(J$38 = "", J63, J63 * J$38)</f>
        <v>1</v>
      </c>
      <c r="K99" s="101">
        <f t="shared" si="22"/>
        <v>1</v>
      </c>
      <c r="L99" s="101">
        <f t="shared" si="22"/>
        <v>1</v>
      </c>
      <c r="M99" s="101">
        <f t="shared" si="22"/>
        <v>0.92495565728868046</v>
      </c>
      <c r="N99" s="101">
        <f t="shared" si="22"/>
        <v>0.92495565728868046</v>
      </c>
      <c r="O99" s="101">
        <f t="shared" si="22"/>
        <v>0.92495565728868046</v>
      </c>
      <c r="P99" s="101">
        <f t="shared" si="22"/>
        <v>7.5044342711319545E-2</v>
      </c>
      <c r="Q99" s="101">
        <f t="shared" si="22"/>
        <v>1</v>
      </c>
      <c r="R99" s="101">
        <f t="shared" si="22"/>
        <v>1</v>
      </c>
      <c r="S99" s="101">
        <f t="shared" si="22"/>
        <v>1</v>
      </c>
      <c r="T99" s="79"/>
      <c r="U99" s="79"/>
    </row>
    <row r="100" spans="6:21" x14ac:dyDescent="0.25">
      <c r="F100" t="s">
        <v>167</v>
      </c>
      <c r="G100" s="72" t="s">
        <v>227</v>
      </c>
      <c r="J100" s="101">
        <f t="shared" ref="J100:S100" si="23">IF(J$38 = "", J64, J64 * J$38)</f>
        <v>1</v>
      </c>
      <c r="K100" s="101">
        <f t="shared" si="23"/>
        <v>1</v>
      </c>
      <c r="L100" s="101">
        <f t="shared" si="23"/>
        <v>1</v>
      </c>
      <c r="M100" s="101">
        <f t="shared" si="23"/>
        <v>0.92495565728868046</v>
      </c>
      <c r="N100" s="101">
        <f t="shared" si="23"/>
        <v>0.92495565728868046</v>
      </c>
      <c r="O100" s="101">
        <f t="shared" si="23"/>
        <v>0.92495565728868046</v>
      </c>
      <c r="P100" s="101">
        <f t="shared" si="23"/>
        <v>7.5044342711319545E-2</v>
      </c>
      <c r="Q100" s="101">
        <f t="shared" si="23"/>
        <v>1</v>
      </c>
      <c r="R100" s="101">
        <f t="shared" si="23"/>
        <v>1</v>
      </c>
      <c r="S100" s="101">
        <f t="shared" si="23"/>
        <v>1</v>
      </c>
      <c r="T100" s="79"/>
      <c r="U100" s="79"/>
    </row>
    <row r="101" spans="6:21" x14ac:dyDescent="0.25">
      <c r="F101" t="s">
        <v>168</v>
      </c>
      <c r="G101" s="72" t="s">
        <v>227</v>
      </c>
      <c r="J101" s="101">
        <f t="shared" ref="J101:S101" si="24">IF(J$38 = "", J65, J65 * J$38)</f>
        <v>-1</v>
      </c>
      <c r="K101" s="101">
        <f t="shared" si="24"/>
        <v>-1</v>
      </c>
      <c r="L101" s="101">
        <f t="shared" si="24"/>
        <v>-1</v>
      </c>
      <c r="M101" s="101">
        <f t="shared" si="24"/>
        <v>-0.92495565728868046</v>
      </c>
      <c r="N101" s="101">
        <f t="shared" si="24"/>
        <v>-0.92495565728868046</v>
      </c>
      <c r="O101" s="101">
        <f t="shared" si="24"/>
        <v>-0.92495565728868046</v>
      </c>
      <c r="P101" s="101">
        <f t="shared" si="24"/>
        <v>-7.5044342711319545E-2</v>
      </c>
      <c r="Q101" s="101">
        <f t="shared" si="24"/>
        <v>-1</v>
      </c>
      <c r="R101" s="101">
        <f t="shared" si="24"/>
        <v>-1</v>
      </c>
      <c r="S101" s="101">
        <f t="shared" si="24"/>
        <v>-1</v>
      </c>
      <c r="T101" s="79"/>
      <c r="U101" s="79"/>
    </row>
    <row r="102" spans="6:21" x14ac:dyDescent="0.25">
      <c r="F102" t="s">
        <v>169</v>
      </c>
      <c r="G102" s="72" t="s">
        <v>227</v>
      </c>
      <c r="J102" s="101">
        <f t="shared" ref="J102:S102" si="25">IF(J$38 = "", J66, J66 * J$38)</f>
        <v>-1</v>
      </c>
      <c r="K102" s="101">
        <f t="shared" si="25"/>
        <v>-1</v>
      </c>
      <c r="L102" s="101">
        <f t="shared" si="25"/>
        <v>-1</v>
      </c>
      <c r="M102" s="101">
        <f t="shared" si="25"/>
        <v>-0.92495565728868046</v>
      </c>
      <c r="N102" s="101">
        <f t="shared" si="25"/>
        <v>-0.92495565728868046</v>
      </c>
      <c r="O102" s="101">
        <f t="shared" si="25"/>
        <v>-0.92495565728868046</v>
      </c>
      <c r="P102" s="101">
        <f t="shared" si="25"/>
        <v>-7.5044342711319545E-2</v>
      </c>
      <c r="Q102" s="101">
        <f t="shared" si="25"/>
        <v>-1</v>
      </c>
      <c r="R102" s="101">
        <f t="shared" si="25"/>
        <v>-1</v>
      </c>
      <c r="S102" s="101">
        <f t="shared" si="25"/>
        <v>0</v>
      </c>
      <c r="T102" s="79"/>
      <c r="U102" s="79"/>
    </row>
    <row r="103" spans="6:21" x14ac:dyDescent="0.25">
      <c r="F103" t="s">
        <v>170</v>
      </c>
      <c r="G103" s="72" t="s">
        <v>227</v>
      </c>
      <c r="J103" s="101">
        <f t="shared" ref="J103:S103" si="26">IF(J$38 = "", J67, J67 * J$38)</f>
        <v>-1</v>
      </c>
      <c r="K103" s="101">
        <f t="shared" si="26"/>
        <v>-1</v>
      </c>
      <c r="L103" s="101">
        <f t="shared" si="26"/>
        <v>-1</v>
      </c>
      <c r="M103" s="101">
        <f t="shared" si="26"/>
        <v>-0.92495565728868046</v>
      </c>
      <c r="N103" s="101">
        <f t="shared" si="26"/>
        <v>-0.92495565728868046</v>
      </c>
      <c r="O103" s="101">
        <f t="shared" si="26"/>
        <v>-0.92495565728868046</v>
      </c>
      <c r="P103" s="101">
        <f t="shared" si="26"/>
        <v>-7.5044342711319545E-2</v>
      </c>
      <c r="Q103" s="101">
        <f t="shared" si="26"/>
        <v>-1</v>
      </c>
      <c r="R103" s="101">
        <f t="shared" si="26"/>
        <v>-1</v>
      </c>
      <c r="S103" s="101">
        <f t="shared" si="26"/>
        <v>-1</v>
      </c>
      <c r="T103" s="79"/>
      <c r="U103" s="79"/>
    </row>
    <row r="104" spans="6:21" x14ac:dyDescent="0.25">
      <c r="F104" t="s">
        <v>171</v>
      </c>
      <c r="G104" s="72" t="s">
        <v>227</v>
      </c>
      <c r="J104" s="101">
        <f t="shared" ref="J104:S104" si="27">IF(J$38 = "", J68, J68 * J$38)</f>
        <v>-1</v>
      </c>
      <c r="K104" s="101">
        <f t="shared" si="27"/>
        <v>-1</v>
      </c>
      <c r="L104" s="101">
        <f t="shared" si="27"/>
        <v>-1</v>
      </c>
      <c r="M104" s="101">
        <f t="shared" si="27"/>
        <v>-0.92495565728868046</v>
      </c>
      <c r="N104" s="101">
        <f t="shared" si="27"/>
        <v>-0.92495565728868046</v>
      </c>
      <c r="O104" s="101">
        <f t="shared" si="27"/>
        <v>-0.92495565728868046</v>
      </c>
      <c r="P104" s="101">
        <f t="shared" si="27"/>
        <v>-7.5044342711319545E-2</v>
      </c>
      <c r="Q104" s="101">
        <f t="shared" si="27"/>
        <v>-1</v>
      </c>
      <c r="R104" s="101">
        <f t="shared" si="27"/>
        <v>-1</v>
      </c>
      <c r="S104" s="101">
        <f t="shared" si="27"/>
        <v>-1</v>
      </c>
      <c r="T104" s="79"/>
      <c r="U104" s="79"/>
    </row>
    <row r="105" spans="6:21" x14ac:dyDescent="0.25">
      <c r="F105" t="s">
        <v>172</v>
      </c>
      <c r="G105" s="72" t="s">
        <v>227</v>
      </c>
      <c r="J105" s="101">
        <f t="shared" ref="J105:S105" si="28">IF(J$38 = "", J69, J69 * J$38)</f>
        <v>-1</v>
      </c>
      <c r="K105" s="101">
        <f t="shared" si="28"/>
        <v>-1</v>
      </c>
      <c r="L105" s="101">
        <f t="shared" si="28"/>
        <v>-1</v>
      </c>
      <c r="M105" s="101">
        <f t="shared" si="28"/>
        <v>-0.92495565728868046</v>
      </c>
      <c r="N105" s="101">
        <f t="shared" si="28"/>
        <v>-0.92495565728868046</v>
      </c>
      <c r="O105" s="101">
        <f t="shared" si="28"/>
        <v>-0.92495565728868046</v>
      </c>
      <c r="P105" s="101">
        <f t="shared" si="28"/>
        <v>-7.5044342711319545E-2</v>
      </c>
      <c r="Q105" s="101">
        <f t="shared" si="28"/>
        <v>-1</v>
      </c>
      <c r="R105" s="101">
        <f t="shared" si="28"/>
        <v>-1</v>
      </c>
      <c r="S105" s="101">
        <f t="shared" si="28"/>
        <v>-1</v>
      </c>
      <c r="T105" s="79"/>
      <c r="U105" s="79"/>
    </row>
    <row r="106" spans="6:21" x14ac:dyDescent="0.25">
      <c r="F106" t="s">
        <v>173</v>
      </c>
      <c r="G106" s="72" t="s">
        <v>227</v>
      </c>
      <c r="J106" s="101">
        <f t="shared" ref="J106:S106" si="29">IF(J$38 = "", J70, J70 * J$38)</f>
        <v>-1</v>
      </c>
      <c r="K106" s="101">
        <f t="shared" si="29"/>
        <v>-1</v>
      </c>
      <c r="L106" s="101">
        <f t="shared" si="29"/>
        <v>-1</v>
      </c>
      <c r="M106" s="101">
        <f t="shared" si="29"/>
        <v>-0.92495565728868046</v>
      </c>
      <c r="N106" s="101">
        <f t="shared" si="29"/>
        <v>-0.92495565728868046</v>
      </c>
      <c r="O106" s="101">
        <f t="shared" si="29"/>
        <v>-0.92495565728868046</v>
      </c>
      <c r="P106" s="101">
        <f t="shared" si="29"/>
        <v>-7.5044342711319545E-2</v>
      </c>
      <c r="Q106" s="101">
        <f t="shared" si="29"/>
        <v>-1</v>
      </c>
      <c r="R106" s="101">
        <f t="shared" si="29"/>
        <v>-1</v>
      </c>
      <c r="S106" s="101">
        <f t="shared" si="29"/>
        <v>-1</v>
      </c>
      <c r="T106" s="79"/>
      <c r="U106" s="79"/>
    </row>
    <row r="107" spans="6:21" x14ac:dyDescent="0.25">
      <c r="F107" t="s">
        <v>174</v>
      </c>
      <c r="G107" s="72" t="s">
        <v>227</v>
      </c>
      <c r="J107" s="101">
        <f t="shared" ref="J107:S107" si="30">IF(J$38 = "", J71, J71 * J$38)</f>
        <v>-1</v>
      </c>
      <c r="K107" s="101">
        <f t="shared" si="30"/>
        <v>-1</v>
      </c>
      <c r="L107" s="101">
        <f t="shared" si="30"/>
        <v>-1</v>
      </c>
      <c r="M107" s="101">
        <f t="shared" si="30"/>
        <v>-0.92495565728868046</v>
      </c>
      <c r="N107" s="101">
        <f t="shared" si="30"/>
        <v>-0.92495565728868046</v>
      </c>
      <c r="O107" s="101">
        <f t="shared" si="30"/>
        <v>-0.92495565728868046</v>
      </c>
      <c r="P107" s="101">
        <f t="shared" si="30"/>
        <v>-7.5044342711319545E-2</v>
      </c>
      <c r="Q107" s="101">
        <f t="shared" si="30"/>
        <v>-1</v>
      </c>
      <c r="R107" s="101">
        <f t="shared" si="30"/>
        <v>-1</v>
      </c>
      <c r="S107" s="101">
        <f t="shared" si="30"/>
        <v>0</v>
      </c>
      <c r="T107" s="79"/>
      <c r="U107" s="79"/>
    </row>
    <row r="108" spans="6:21" x14ac:dyDescent="0.25">
      <c r="F108" t="s">
        <v>175</v>
      </c>
      <c r="G108" s="72" t="s">
        <v>227</v>
      </c>
      <c r="J108" s="101">
        <f t="shared" ref="J108:S108" si="31">IF(J$38 = "", J72, J72 * J$38)</f>
        <v>-1</v>
      </c>
      <c r="K108" s="101">
        <f t="shared" si="31"/>
        <v>-1</v>
      </c>
      <c r="L108" s="101">
        <f t="shared" si="31"/>
        <v>-1</v>
      </c>
      <c r="M108" s="101">
        <f t="shared" si="31"/>
        <v>-0.92495565728868046</v>
      </c>
      <c r="N108" s="101">
        <f t="shared" si="31"/>
        <v>-0.92495565728868046</v>
      </c>
      <c r="O108" s="101">
        <f t="shared" si="31"/>
        <v>-0.92495565728868046</v>
      </c>
      <c r="P108" s="101">
        <f t="shared" si="31"/>
        <v>-7.5044342711319545E-2</v>
      </c>
      <c r="Q108" s="101">
        <f t="shared" si="31"/>
        <v>-1</v>
      </c>
      <c r="R108" s="101">
        <f t="shared" si="31"/>
        <v>-1</v>
      </c>
      <c r="S108" s="101">
        <f t="shared" si="31"/>
        <v>0</v>
      </c>
      <c r="T108" s="79"/>
      <c r="U108" s="79"/>
    </row>
    <row r="109" spans="6:21" x14ac:dyDescent="0.25">
      <c r="F109" t="s">
        <v>176</v>
      </c>
      <c r="G109" s="72" t="s">
        <v>227</v>
      </c>
      <c r="J109" s="101">
        <f t="shared" ref="J109:S109" si="32">IF(J$38 = "", J73, J73 * J$38)</f>
        <v>-1</v>
      </c>
      <c r="K109" s="101">
        <f t="shared" si="32"/>
        <v>-1</v>
      </c>
      <c r="L109" s="101">
        <f t="shared" si="32"/>
        <v>-1</v>
      </c>
      <c r="M109" s="101">
        <f t="shared" si="32"/>
        <v>-0.92495565728868046</v>
      </c>
      <c r="N109" s="101">
        <f t="shared" si="32"/>
        <v>-0.92495565728868046</v>
      </c>
      <c r="O109" s="101">
        <f t="shared" si="32"/>
        <v>-0.92495565728868046</v>
      </c>
      <c r="P109" s="101">
        <f t="shared" si="32"/>
        <v>-7.5044342711319545E-2</v>
      </c>
      <c r="Q109" s="101">
        <f t="shared" si="32"/>
        <v>-1</v>
      </c>
      <c r="R109" s="101">
        <f t="shared" si="32"/>
        <v>-1</v>
      </c>
      <c r="S109" s="101">
        <f t="shared" si="32"/>
        <v>0</v>
      </c>
      <c r="T109" s="79"/>
      <c r="U109" s="79"/>
    </row>
    <row r="110" spans="6:21" x14ac:dyDescent="0.25">
      <c r="F110" t="s">
        <v>177</v>
      </c>
      <c r="G110" s="72" t="s">
        <v>227</v>
      </c>
      <c r="J110" s="101">
        <f t="shared" ref="J110:S110" si="33">IF(J$38 = "", J74, J74 * J$38)</f>
        <v>-1</v>
      </c>
      <c r="K110" s="101">
        <f t="shared" si="33"/>
        <v>-1</v>
      </c>
      <c r="L110" s="101">
        <f t="shared" si="33"/>
        <v>-1</v>
      </c>
      <c r="M110" s="101">
        <f t="shared" si="33"/>
        <v>-0.92495565728868046</v>
      </c>
      <c r="N110" s="101">
        <f t="shared" si="33"/>
        <v>-0.92495565728868046</v>
      </c>
      <c r="O110" s="101">
        <f t="shared" si="33"/>
        <v>-0.92495565728868046</v>
      </c>
      <c r="P110" s="101">
        <f t="shared" si="33"/>
        <v>-7.5044342711319545E-2</v>
      </c>
      <c r="Q110" s="101">
        <f t="shared" si="33"/>
        <v>-1</v>
      </c>
      <c r="R110" s="101">
        <f t="shared" si="33"/>
        <v>-1</v>
      </c>
      <c r="S110" s="101">
        <f t="shared" si="33"/>
        <v>0</v>
      </c>
      <c r="T110" s="79"/>
      <c r="U110" s="79"/>
    </row>
    <row r="111" spans="6:21" x14ac:dyDescent="0.25">
      <c r="F111" t="s">
        <v>178</v>
      </c>
      <c r="G111" s="72" t="s">
        <v>227</v>
      </c>
      <c r="J111" s="101">
        <f t="shared" ref="J111:S111" si="34">IF(J$38 = "", J75, J75 * J$38)</f>
        <v>-1</v>
      </c>
      <c r="K111" s="101">
        <f t="shared" si="34"/>
        <v>-1</v>
      </c>
      <c r="L111" s="101">
        <f t="shared" si="34"/>
        <v>-1</v>
      </c>
      <c r="M111" s="101">
        <f t="shared" si="34"/>
        <v>-0.92495565728868046</v>
      </c>
      <c r="N111" s="101">
        <f t="shared" si="34"/>
        <v>-0.92495565728868046</v>
      </c>
      <c r="O111" s="101">
        <f t="shared" si="34"/>
        <v>-0.92495565728868046</v>
      </c>
      <c r="P111" s="101">
        <f t="shared" si="34"/>
        <v>-7.5044342711319545E-2</v>
      </c>
      <c r="Q111" s="101">
        <f t="shared" si="34"/>
        <v>-1</v>
      </c>
      <c r="R111" s="101">
        <f t="shared" si="34"/>
        <v>0</v>
      </c>
      <c r="S111" s="101">
        <f t="shared" si="34"/>
        <v>0</v>
      </c>
      <c r="T111" s="79"/>
      <c r="U111" s="79"/>
    </row>
    <row r="112" spans="6:21" x14ac:dyDescent="0.25">
      <c r="F112" t="s">
        <v>179</v>
      </c>
      <c r="G112" s="72" t="s">
        <v>227</v>
      </c>
      <c r="J112" s="101">
        <f t="shared" ref="J112:S112" si="35">IF(J$38 = "", J76, J76 * J$38)</f>
        <v>-1</v>
      </c>
      <c r="K112" s="101">
        <f t="shared" si="35"/>
        <v>-1</v>
      </c>
      <c r="L112" s="101">
        <f t="shared" si="35"/>
        <v>-1</v>
      </c>
      <c r="M112" s="101">
        <f t="shared" si="35"/>
        <v>-0.92495565728868046</v>
      </c>
      <c r="N112" s="101">
        <f t="shared" si="35"/>
        <v>-0.92495565728868046</v>
      </c>
      <c r="O112" s="101">
        <f t="shared" si="35"/>
        <v>-0.92495565728868046</v>
      </c>
      <c r="P112" s="101">
        <f t="shared" si="35"/>
        <v>-7.5044342711319545E-2</v>
      </c>
      <c r="Q112" s="101">
        <f t="shared" si="35"/>
        <v>-1</v>
      </c>
      <c r="R112" s="101">
        <f t="shared" si="35"/>
        <v>0</v>
      </c>
      <c r="S112" s="101">
        <f t="shared" si="35"/>
        <v>0</v>
      </c>
      <c r="T112" s="79"/>
      <c r="U112" s="79"/>
    </row>
    <row r="113" spans="5:23" x14ac:dyDescent="0.25">
      <c r="F113" t="s">
        <v>180</v>
      </c>
      <c r="G113" s="72" t="s">
        <v>227</v>
      </c>
      <c r="J113" s="101">
        <f t="shared" ref="J113:S113" si="36">IF(J$38 = "", J77, J77 * J$38)</f>
        <v>-1</v>
      </c>
      <c r="K113" s="101">
        <f t="shared" si="36"/>
        <v>-1</v>
      </c>
      <c r="L113" s="101">
        <f t="shared" si="36"/>
        <v>-1</v>
      </c>
      <c r="M113" s="101">
        <f t="shared" si="36"/>
        <v>-0.92495565728868046</v>
      </c>
      <c r="N113" s="101">
        <f t="shared" si="36"/>
        <v>-0.92495565728868046</v>
      </c>
      <c r="O113" s="101">
        <f t="shared" si="36"/>
        <v>-0.92495565728868046</v>
      </c>
      <c r="P113" s="101">
        <f t="shared" si="36"/>
        <v>-7.5044342711319545E-2</v>
      </c>
      <c r="Q113" s="101">
        <f t="shared" si="36"/>
        <v>-1</v>
      </c>
      <c r="R113" s="101">
        <f t="shared" si="36"/>
        <v>0</v>
      </c>
      <c r="S113" s="101">
        <f t="shared" si="36"/>
        <v>0</v>
      </c>
      <c r="T113" s="79"/>
      <c r="U113" s="79"/>
    </row>
    <row r="114" spans="5:23" x14ac:dyDescent="0.25">
      <c r="F114" s="37" t="s">
        <v>181</v>
      </c>
      <c r="G114" s="80" t="s">
        <v>227</v>
      </c>
      <c r="H114" s="37"/>
      <c r="I114" s="37"/>
      <c r="J114" s="103">
        <f t="shared" ref="J114:S114" si="37">IF(J$38 = "", J78, J78 * J$38)</f>
        <v>-1</v>
      </c>
      <c r="K114" s="103">
        <f t="shared" si="37"/>
        <v>-1</v>
      </c>
      <c r="L114" s="103">
        <f t="shared" si="37"/>
        <v>-1</v>
      </c>
      <c r="M114" s="103">
        <f t="shared" si="37"/>
        <v>-0.92495565728868046</v>
      </c>
      <c r="N114" s="103">
        <f t="shared" si="37"/>
        <v>-0.92495565728868046</v>
      </c>
      <c r="O114" s="103">
        <f t="shared" si="37"/>
        <v>-0.92495565728868046</v>
      </c>
      <c r="P114" s="103">
        <f t="shared" si="37"/>
        <v>-7.5044342711319545E-2</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237</v>
      </c>
      <c r="G116" s="13"/>
      <c r="I116" t="s">
        <v>191</v>
      </c>
      <c r="J116" s="92"/>
      <c r="K116" s="92"/>
      <c r="L116" s="92"/>
      <c r="M116" s="92"/>
      <c r="N116" s="92"/>
      <c r="O116" s="92"/>
      <c r="P116" s="92"/>
      <c r="Q116" s="92"/>
      <c r="R116" s="92"/>
      <c r="S116" s="92"/>
      <c r="T116" s="92"/>
      <c r="U116" s="92"/>
      <c r="W116" s="3" t="s">
        <v>463</v>
      </c>
    </row>
    <row r="117" spans="5:23" x14ac:dyDescent="0.25">
      <c r="E117" s="29" t="s">
        <v>239</v>
      </c>
      <c r="G117" s="13"/>
      <c r="J117" s="92"/>
      <c r="K117" s="92"/>
      <c r="L117" s="92"/>
      <c r="M117" s="92"/>
      <c r="N117" s="92"/>
      <c r="O117" s="92"/>
      <c r="P117" s="92"/>
      <c r="Q117" s="92"/>
      <c r="R117" s="92"/>
      <c r="S117" s="92"/>
      <c r="T117" s="92"/>
      <c r="U117" s="92"/>
    </row>
    <row r="118" spans="5:23" x14ac:dyDescent="0.25">
      <c r="F118" s="23" t="s">
        <v>149</v>
      </c>
      <c r="G118" s="78" t="s">
        <v>213</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150</v>
      </c>
      <c r="G119" s="72" t="s">
        <v>213</v>
      </c>
      <c r="J119" s="123">
        <v>1</v>
      </c>
      <c r="K119" s="123">
        <v>1</v>
      </c>
      <c r="L119" s="123">
        <v>1</v>
      </c>
      <c r="M119" s="123">
        <v>1</v>
      </c>
      <c r="N119" s="123">
        <v>1</v>
      </c>
      <c r="O119" s="123">
        <v>1</v>
      </c>
      <c r="P119" s="123">
        <v>1</v>
      </c>
      <c r="Q119" s="123">
        <v>1</v>
      </c>
      <c r="R119" s="123">
        <v>1</v>
      </c>
      <c r="S119" s="123">
        <v>1</v>
      </c>
      <c r="T119" s="79"/>
      <c r="U119" s="79"/>
    </row>
    <row r="120" spans="5:23" x14ac:dyDescent="0.25">
      <c r="F120" t="s">
        <v>151</v>
      </c>
      <c r="G120" s="72" t="s">
        <v>213</v>
      </c>
      <c r="J120" s="123">
        <v>1</v>
      </c>
      <c r="K120" s="123">
        <v>1</v>
      </c>
      <c r="L120" s="123">
        <v>1</v>
      </c>
      <c r="M120" s="123">
        <v>1</v>
      </c>
      <c r="N120" s="123">
        <v>1</v>
      </c>
      <c r="O120" s="123">
        <v>1</v>
      </c>
      <c r="P120" s="123">
        <v>1</v>
      </c>
      <c r="Q120" s="123">
        <v>1</v>
      </c>
      <c r="R120" s="123">
        <v>1</v>
      </c>
      <c r="S120" s="123">
        <v>1</v>
      </c>
      <c r="T120" s="79"/>
      <c r="U120" s="79"/>
    </row>
    <row r="121" spans="5:23" x14ac:dyDescent="0.25">
      <c r="F121" t="s">
        <v>152</v>
      </c>
      <c r="G121" s="72" t="s">
        <v>213</v>
      </c>
      <c r="J121" s="123">
        <v>1</v>
      </c>
      <c r="K121" s="123">
        <v>1</v>
      </c>
      <c r="L121" s="123">
        <v>1</v>
      </c>
      <c r="M121" s="123">
        <v>1</v>
      </c>
      <c r="N121" s="123">
        <v>1</v>
      </c>
      <c r="O121" s="123">
        <v>1</v>
      </c>
      <c r="P121" s="123">
        <v>1</v>
      </c>
      <c r="Q121" s="123">
        <v>1</v>
      </c>
      <c r="R121" s="123">
        <v>1</v>
      </c>
      <c r="S121" s="123">
        <v>1</v>
      </c>
      <c r="T121" s="79"/>
      <c r="U121" s="79"/>
    </row>
    <row r="122" spans="5:23" x14ac:dyDescent="0.25">
      <c r="F122" t="s">
        <v>153</v>
      </c>
      <c r="G122" s="72" t="s">
        <v>213</v>
      </c>
      <c r="J122" s="123">
        <v>1</v>
      </c>
      <c r="K122" s="123">
        <v>1</v>
      </c>
      <c r="L122" s="123">
        <v>1</v>
      </c>
      <c r="M122" s="123">
        <v>1</v>
      </c>
      <c r="N122" s="123">
        <v>1</v>
      </c>
      <c r="O122" s="123">
        <v>1</v>
      </c>
      <c r="P122" s="123">
        <v>1</v>
      </c>
      <c r="Q122" s="123">
        <v>1</v>
      </c>
      <c r="R122" s="123">
        <v>1</v>
      </c>
      <c r="S122" s="123">
        <v>1</v>
      </c>
      <c r="T122" s="79"/>
      <c r="U122" s="79"/>
    </row>
    <row r="123" spans="5:23" x14ac:dyDescent="0.25">
      <c r="F123" t="s">
        <v>154</v>
      </c>
      <c r="G123" s="72" t="s">
        <v>213</v>
      </c>
      <c r="J123" s="123">
        <v>1</v>
      </c>
      <c r="K123" s="123">
        <v>1</v>
      </c>
      <c r="L123" s="123">
        <v>1</v>
      </c>
      <c r="M123" s="123">
        <v>1</v>
      </c>
      <c r="N123" s="123">
        <v>1</v>
      </c>
      <c r="O123" s="123">
        <v>1</v>
      </c>
      <c r="P123" s="123">
        <v>1</v>
      </c>
      <c r="Q123" s="123">
        <v>1</v>
      </c>
      <c r="R123" s="123">
        <v>1</v>
      </c>
      <c r="S123" s="123">
        <v>1</v>
      </c>
      <c r="T123" s="79"/>
      <c r="U123" s="79"/>
    </row>
    <row r="124" spans="5:23" x14ac:dyDescent="0.25">
      <c r="F124" t="s">
        <v>155</v>
      </c>
      <c r="G124" s="72" t="s">
        <v>213</v>
      </c>
      <c r="J124" s="123">
        <v>1</v>
      </c>
      <c r="K124" s="123">
        <v>1</v>
      </c>
      <c r="L124" s="123">
        <v>1</v>
      </c>
      <c r="M124" s="123">
        <v>1</v>
      </c>
      <c r="N124" s="123">
        <v>1</v>
      </c>
      <c r="O124" s="123">
        <v>1</v>
      </c>
      <c r="P124" s="123">
        <v>1</v>
      </c>
      <c r="Q124" s="123">
        <v>1</v>
      </c>
      <c r="R124" s="123">
        <v>1</v>
      </c>
      <c r="S124" s="123">
        <v>1</v>
      </c>
      <c r="T124" s="79"/>
      <c r="U124" s="79"/>
    </row>
    <row r="125" spans="5:23" x14ac:dyDescent="0.25">
      <c r="F125" t="s">
        <v>156</v>
      </c>
      <c r="G125" s="72" t="s">
        <v>213</v>
      </c>
      <c r="J125" s="123">
        <v>1</v>
      </c>
      <c r="K125" s="123">
        <v>1</v>
      </c>
      <c r="L125" s="123">
        <v>1</v>
      </c>
      <c r="M125" s="123">
        <v>1</v>
      </c>
      <c r="N125" s="123">
        <v>1</v>
      </c>
      <c r="O125" s="123">
        <v>1</v>
      </c>
      <c r="P125" s="123">
        <v>1</v>
      </c>
      <c r="Q125" s="123">
        <v>1</v>
      </c>
      <c r="R125" s="123">
        <v>1</v>
      </c>
      <c r="S125" s="123">
        <v>0</v>
      </c>
      <c r="T125" s="79"/>
      <c r="U125" s="79"/>
    </row>
    <row r="126" spans="5:23" x14ac:dyDescent="0.25">
      <c r="F126" t="s">
        <v>157</v>
      </c>
      <c r="G126" s="72" t="s">
        <v>213</v>
      </c>
      <c r="J126" s="123">
        <v>1</v>
      </c>
      <c r="K126" s="123">
        <v>1</v>
      </c>
      <c r="L126" s="123">
        <v>1</v>
      </c>
      <c r="M126" s="123">
        <v>1</v>
      </c>
      <c r="N126" s="123">
        <v>1</v>
      </c>
      <c r="O126" s="123">
        <v>1</v>
      </c>
      <c r="P126" s="123">
        <v>1</v>
      </c>
      <c r="Q126" s="123">
        <v>1</v>
      </c>
      <c r="R126" s="123">
        <v>0</v>
      </c>
      <c r="S126" s="123">
        <v>0</v>
      </c>
      <c r="T126" s="79"/>
      <c r="U126" s="79"/>
    </row>
    <row r="127" spans="5:23" x14ac:dyDescent="0.25">
      <c r="F127" t="s">
        <v>158</v>
      </c>
      <c r="G127" s="72" t="s">
        <v>213</v>
      </c>
      <c r="J127" s="123">
        <v>1</v>
      </c>
      <c r="K127" s="123">
        <v>1</v>
      </c>
      <c r="L127" s="123">
        <v>1</v>
      </c>
      <c r="M127" s="123">
        <v>1</v>
      </c>
      <c r="N127" s="123">
        <v>1</v>
      </c>
      <c r="O127" s="123">
        <v>1</v>
      </c>
      <c r="P127" s="123">
        <v>1</v>
      </c>
      <c r="Q127" s="123">
        <v>1</v>
      </c>
      <c r="R127" s="123">
        <v>1</v>
      </c>
      <c r="S127" s="123">
        <v>1</v>
      </c>
      <c r="T127" s="79"/>
      <c r="U127" s="79"/>
    </row>
    <row r="128" spans="5:23" x14ac:dyDescent="0.25">
      <c r="F128" t="s">
        <v>159</v>
      </c>
      <c r="G128" s="72" t="s">
        <v>213</v>
      </c>
      <c r="J128" s="123">
        <v>1</v>
      </c>
      <c r="K128" s="123">
        <v>1</v>
      </c>
      <c r="L128" s="123">
        <v>1</v>
      </c>
      <c r="M128" s="123">
        <v>1</v>
      </c>
      <c r="N128" s="123">
        <v>1</v>
      </c>
      <c r="O128" s="123">
        <v>1</v>
      </c>
      <c r="P128" s="123">
        <v>1</v>
      </c>
      <c r="Q128" s="123">
        <v>1</v>
      </c>
      <c r="R128" s="123">
        <v>1</v>
      </c>
      <c r="S128" s="123">
        <v>1</v>
      </c>
      <c r="T128" s="79"/>
      <c r="U128" s="79"/>
    </row>
    <row r="129" spans="6:21" x14ac:dyDescent="0.25">
      <c r="F129" t="s">
        <v>160</v>
      </c>
      <c r="G129" s="72" t="s">
        <v>213</v>
      </c>
      <c r="J129" s="123">
        <v>1</v>
      </c>
      <c r="K129" s="123">
        <v>1</v>
      </c>
      <c r="L129" s="123">
        <v>1</v>
      </c>
      <c r="M129" s="123">
        <v>1</v>
      </c>
      <c r="N129" s="123">
        <v>1</v>
      </c>
      <c r="O129" s="123">
        <v>1</v>
      </c>
      <c r="P129" s="123">
        <v>1</v>
      </c>
      <c r="Q129" s="123">
        <v>1</v>
      </c>
      <c r="R129" s="123">
        <v>1</v>
      </c>
      <c r="S129" s="123">
        <v>1</v>
      </c>
      <c r="T129" s="79"/>
      <c r="U129" s="79"/>
    </row>
    <row r="130" spans="6:21" x14ac:dyDescent="0.25">
      <c r="F130" t="s">
        <v>161</v>
      </c>
      <c r="G130" s="72" t="s">
        <v>213</v>
      </c>
      <c r="J130" s="123">
        <v>1</v>
      </c>
      <c r="K130" s="123">
        <v>1</v>
      </c>
      <c r="L130" s="123">
        <v>1</v>
      </c>
      <c r="M130" s="123">
        <v>1</v>
      </c>
      <c r="N130" s="123">
        <v>1</v>
      </c>
      <c r="O130" s="123">
        <v>1</v>
      </c>
      <c r="P130" s="123">
        <v>1</v>
      </c>
      <c r="Q130" s="123">
        <v>1</v>
      </c>
      <c r="R130" s="123">
        <v>1</v>
      </c>
      <c r="S130" s="123">
        <v>0</v>
      </c>
      <c r="T130" s="79"/>
      <c r="U130" s="79"/>
    </row>
    <row r="131" spans="6:21" x14ac:dyDescent="0.25">
      <c r="F131" t="s">
        <v>162</v>
      </c>
      <c r="G131" s="72" t="s">
        <v>213</v>
      </c>
      <c r="J131" s="123">
        <v>1</v>
      </c>
      <c r="K131" s="123">
        <v>1</v>
      </c>
      <c r="L131" s="123">
        <v>1</v>
      </c>
      <c r="M131" s="123">
        <v>1</v>
      </c>
      <c r="N131" s="123">
        <v>1</v>
      </c>
      <c r="O131" s="123">
        <v>1</v>
      </c>
      <c r="P131" s="123">
        <v>1</v>
      </c>
      <c r="Q131" s="123">
        <v>1</v>
      </c>
      <c r="R131" s="123">
        <v>0</v>
      </c>
      <c r="S131" s="123">
        <v>0</v>
      </c>
      <c r="T131" s="79"/>
      <c r="U131" s="79"/>
    </row>
    <row r="132" spans="6:21" x14ac:dyDescent="0.25">
      <c r="F132" t="s">
        <v>163</v>
      </c>
      <c r="G132" s="72" t="s">
        <v>213</v>
      </c>
      <c r="J132" s="123">
        <v>1</v>
      </c>
      <c r="K132" s="123">
        <v>1</v>
      </c>
      <c r="L132" s="123">
        <v>1</v>
      </c>
      <c r="M132" s="123">
        <v>1</v>
      </c>
      <c r="N132" s="123">
        <v>1</v>
      </c>
      <c r="O132" s="123">
        <v>1</v>
      </c>
      <c r="P132" s="123">
        <v>1</v>
      </c>
      <c r="Q132" s="123">
        <v>1</v>
      </c>
      <c r="R132" s="123">
        <v>1</v>
      </c>
      <c r="S132" s="123">
        <v>1</v>
      </c>
      <c r="T132" s="79"/>
      <c r="U132" s="79"/>
    </row>
    <row r="133" spans="6:21" x14ac:dyDescent="0.25">
      <c r="F133" t="s">
        <v>164</v>
      </c>
      <c r="G133" s="72" t="s">
        <v>213</v>
      </c>
      <c r="J133" s="123">
        <v>1</v>
      </c>
      <c r="K133" s="123">
        <v>1</v>
      </c>
      <c r="L133" s="123">
        <v>1</v>
      </c>
      <c r="M133" s="123">
        <v>1</v>
      </c>
      <c r="N133" s="123">
        <v>1</v>
      </c>
      <c r="O133" s="123">
        <v>1</v>
      </c>
      <c r="P133" s="123">
        <v>1</v>
      </c>
      <c r="Q133" s="123">
        <v>1</v>
      </c>
      <c r="R133" s="123">
        <v>1</v>
      </c>
      <c r="S133" s="123">
        <v>1</v>
      </c>
      <c r="T133" s="79"/>
      <c r="U133" s="79"/>
    </row>
    <row r="134" spans="6:21" x14ac:dyDescent="0.25">
      <c r="F134" t="s">
        <v>165</v>
      </c>
      <c r="G134" s="72" t="s">
        <v>213</v>
      </c>
      <c r="J134" s="123">
        <v>1</v>
      </c>
      <c r="K134" s="123">
        <v>1</v>
      </c>
      <c r="L134" s="123">
        <v>1</v>
      </c>
      <c r="M134" s="123">
        <v>1</v>
      </c>
      <c r="N134" s="123">
        <v>1</v>
      </c>
      <c r="O134" s="123">
        <v>1</v>
      </c>
      <c r="P134" s="123">
        <v>1</v>
      </c>
      <c r="Q134" s="123">
        <v>1</v>
      </c>
      <c r="R134" s="123">
        <v>1</v>
      </c>
      <c r="S134" s="123">
        <v>1</v>
      </c>
      <c r="T134" s="79"/>
      <c r="U134" s="79"/>
    </row>
    <row r="135" spans="6:21" x14ac:dyDescent="0.25">
      <c r="F135" t="s">
        <v>166</v>
      </c>
      <c r="G135" s="72" t="s">
        <v>213</v>
      </c>
      <c r="J135" s="123">
        <v>1</v>
      </c>
      <c r="K135" s="123">
        <v>1</v>
      </c>
      <c r="L135" s="123">
        <v>1</v>
      </c>
      <c r="M135" s="123">
        <v>1</v>
      </c>
      <c r="N135" s="123">
        <v>1</v>
      </c>
      <c r="O135" s="123">
        <v>1</v>
      </c>
      <c r="P135" s="123">
        <v>1</v>
      </c>
      <c r="Q135" s="123">
        <v>1</v>
      </c>
      <c r="R135" s="123">
        <v>1</v>
      </c>
      <c r="S135" s="123">
        <v>1</v>
      </c>
      <c r="T135" s="79"/>
      <c r="U135" s="79"/>
    </row>
    <row r="136" spans="6:21" x14ac:dyDescent="0.25">
      <c r="F136" t="s">
        <v>167</v>
      </c>
      <c r="G136" s="72" t="s">
        <v>213</v>
      </c>
      <c r="J136" s="123">
        <v>1</v>
      </c>
      <c r="K136" s="123">
        <v>1</v>
      </c>
      <c r="L136" s="123">
        <v>1</v>
      </c>
      <c r="M136" s="123">
        <v>1</v>
      </c>
      <c r="N136" s="123">
        <v>1</v>
      </c>
      <c r="O136" s="123">
        <v>1</v>
      </c>
      <c r="P136" s="123">
        <v>1</v>
      </c>
      <c r="Q136" s="123">
        <v>1</v>
      </c>
      <c r="R136" s="123">
        <v>1</v>
      </c>
      <c r="S136" s="123">
        <v>1</v>
      </c>
      <c r="T136" s="79"/>
      <c r="U136" s="79"/>
    </row>
    <row r="137" spans="6:21" x14ac:dyDescent="0.25">
      <c r="F137" t="s">
        <v>168</v>
      </c>
      <c r="G137" s="72" t="s">
        <v>213</v>
      </c>
      <c r="J137" s="123">
        <v>-1</v>
      </c>
      <c r="K137" s="123">
        <v>-1</v>
      </c>
      <c r="L137" s="123">
        <v>-1</v>
      </c>
      <c r="M137" s="123">
        <v>-1</v>
      </c>
      <c r="N137" s="123">
        <v>-1</v>
      </c>
      <c r="O137" s="123">
        <v>-1</v>
      </c>
      <c r="P137" s="123">
        <v>-1</v>
      </c>
      <c r="Q137" s="123">
        <v>-1</v>
      </c>
      <c r="R137" s="123">
        <v>-1</v>
      </c>
      <c r="S137" s="123">
        <v>0</v>
      </c>
      <c r="T137" s="79"/>
      <c r="U137" s="79"/>
    </row>
    <row r="138" spans="6:21" x14ac:dyDescent="0.25">
      <c r="F138" t="s">
        <v>169</v>
      </c>
      <c r="G138" s="72" t="s">
        <v>213</v>
      </c>
      <c r="J138" s="123">
        <v>-1</v>
      </c>
      <c r="K138" s="123">
        <v>-1</v>
      </c>
      <c r="L138" s="123">
        <v>-1</v>
      </c>
      <c r="M138" s="123">
        <v>-1</v>
      </c>
      <c r="N138" s="123">
        <v>-1</v>
      </c>
      <c r="O138" s="123">
        <v>-1</v>
      </c>
      <c r="P138" s="123">
        <v>-1</v>
      </c>
      <c r="Q138" s="123">
        <v>-1</v>
      </c>
      <c r="R138" s="123">
        <v>0</v>
      </c>
      <c r="S138" s="123">
        <v>0</v>
      </c>
      <c r="T138" s="79"/>
      <c r="U138" s="79"/>
    </row>
    <row r="139" spans="6:21" x14ac:dyDescent="0.25">
      <c r="F139" t="s">
        <v>170</v>
      </c>
      <c r="G139" s="72" t="s">
        <v>213</v>
      </c>
      <c r="J139" s="123">
        <v>-1</v>
      </c>
      <c r="K139" s="123">
        <v>-1</v>
      </c>
      <c r="L139" s="123">
        <v>-1</v>
      </c>
      <c r="M139" s="123">
        <v>-1</v>
      </c>
      <c r="N139" s="123">
        <v>-1</v>
      </c>
      <c r="O139" s="123">
        <v>-1</v>
      </c>
      <c r="P139" s="123">
        <v>-1</v>
      </c>
      <c r="Q139" s="123">
        <v>-1</v>
      </c>
      <c r="R139" s="123">
        <v>-1</v>
      </c>
      <c r="S139" s="123">
        <v>0</v>
      </c>
      <c r="T139" s="79"/>
      <c r="U139" s="79"/>
    </row>
    <row r="140" spans="6:21" x14ac:dyDescent="0.25">
      <c r="F140" t="s">
        <v>171</v>
      </c>
      <c r="G140" s="72" t="s">
        <v>213</v>
      </c>
      <c r="J140" s="123">
        <v>-1</v>
      </c>
      <c r="K140" s="123">
        <v>-1</v>
      </c>
      <c r="L140" s="123">
        <v>-1</v>
      </c>
      <c r="M140" s="123">
        <v>-1</v>
      </c>
      <c r="N140" s="123">
        <v>-1</v>
      </c>
      <c r="O140" s="123">
        <v>-1</v>
      </c>
      <c r="P140" s="123">
        <v>-1</v>
      </c>
      <c r="Q140" s="123">
        <v>-1</v>
      </c>
      <c r="R140" s="123">
        <v>-1</v>
      </c>
      <c r="S140" s="123">
        <v>0</v>
      </c>
      <c r="T140" s="79"/>
      <c r="U140" s="79"/>
    </row>
    <row r="141" spans="6:21" x14ac:dyDescent="0.25">
      <c r="F141" t="s">
        <v>172</v>
      </c>
      <c r="G141" s="72" t="s">
        <v>213</v>
      </c>
      <c r="J141" s="123">
        <v>-1</v>
      </c>
      <c r="K141" s="123">
        <v>-1</v>
      </c>
      <c r="L141" s="123">
        <v>-1</v>
      </c>
      <c r="M141" s="123">
        <v>-1</v>
      </c>
      <c r="N141" s="123">
        <v>-1</v>
      </c>
      <c r="O141" s="123">
        <v>-1</v>
      </c>
      <c r="P141" s="123">
        <v>-1</v>
      </c>
      <c r="Q141" s="123">
        <v>-1</v>
      </c>
      <c r="R141" s="123">
        <v>-1</v>
      </c>
      <c r="S141" s="123">
        <v>0</v>
      </c>
      <c r="T141" s="79"/>
      <c r="U141" s="79"/>
    </row>
    <row r="142" spans="6:21" x14ac:dyDescent="0.25">
      <c r="F142" t="s">
        <v>173</v>
      </c>
      <c r="G142" s="72" t="s">
        <v>213</v>
      </c>
      <c r="J142" s="123">
        <v>-1</v>
      </c>
      <c r="K142" s="123">
        <v>-1</v>
      </c>
      <c r="L142" s="123">
        <v>-1</v>
      </c>
      <c r="M142" s="123">
        <v>-1</v>
      </c>
      <c r="N142" s="123">
        <v>-1</v>
      </c>
      <c r="O142" s="123">
        <v>-1</v>
      </c>
      <c r="P142" s="123">
        <v>-1</v>
      </c>
      <c r="Q142" s="123">
        <v>-1</v>
      </c>
      <c r="R142" s="123">
        <v>-1</v>
      </c>
      <c r="S142" s="123">
        <v>0</v>
      </c>
      <c r="T142" s="79"/>
      <c r="U142" s="79"/>
    </row>
    <row r="143" spans="6:21" x14ac:dyDescent="0.25">
      <c r="F143" t="s">
        <v>174</v>
      </c>
      <c r="G143" s="72" t="s">
        <v>213</v>
      </c>
      <c r="J143" s="123">
        <v>-1</v>
      </c>
      <c r="K143" s="123">
        <v>-1</v>
      </c>
      <c r="L143" s="123">
        <v>-1</v>
      </c>
      <c r="M143" s="123">
        <v>-1</v>
      </c>
      <c r="N143" s="123">
        <v>-1</v>
      </c>
      <c r="O143" s="123">
        <v>-1</v>
      </c>
      <c r="P143" s="123">
        <v>-1</v>
      </c>
      <c r="Q143" s="123">
        <v>-1</v>
      </c>
      <c r="R143" s="123">
        <v>0</v>
      </c>
      <c r="S143" s="123">
        <v>0</v>
      </c>
      <c r="T143" s="79"/>
      <c r="U143" s="79"/>
    </row>
    <row r="144" spans="6:21" x14ac:dyDescent="0.25">
      <c r="F144" t="s">
        <v>175</v>
      </c>
      <c r="G144" s="72" t="s">
        <v>213</v>
      </c>
      <c r="J144" s="123">
        <v>-1</v>
      </c>
      <c r="K144" s="123">
        <v>-1</v>
      </c>
      <c r="L144" s="123">
        <v>-1</v>
      </c>
      <c r="M144" s="123">
        <v>-1</v>
      </c>
      <c r="N144" s="123">
        <v>-1</v>
      </c>
      <c r="O144" s="123">
        <v>-1</v>
      </c>
      <c r="P144" s="123">
        <v>-1</v>
      </c>
      <c r="Q144" s="123">
        <v>-1</v>
      </c>
      <c r="R144" s="123">
        <v>0</v>
      </c>
      <c r="S144" s="123">
        <v>0</v>
      </c>
      <c r="T144" s="79"/>
      <c r="U144" s="79"/>
    </row>
    <row r="145" spans="5:23" x14ac:dyDescent="0.25">
      <c r="F145" t="s">
        <v>176</v>
      </c>
      <c r="G145" s="72" t="s">
        <v>213</v>
      </c>
      <c r="J145" s="123">
        <v>-1</v>
      </c>
      <c r="K145" s="123">
        <v>-1</v>
      </c>
      <c r="L145" s="123">
        <v>-1</v>
      </c>
      <c r="M145" s="123">
        <v>-1</v>
      </c>
      <c r="N145" s="123">
        <v>-1</v>
      </c>
      <c r="O145" s="123">
        <v>-1</v>
      </c>
      <c r="P145" s="123">
        <v>-1</v>
      </c>
      <c r="Q145" s="123">
        <v>-1</v>
      </c>
      <c r="R145" s="123">
        <v>0</v>
      </c>
      <c r="S145" s="123">
        <v>0</v>
      </c>
      <c r="T145" s="79"/>
      <c r="U145" s="79"/>
    </row>
    <row r="146" spans="5:23" x14ac:dyDescent="0.25">
      <c r="F146" t="s">
        <v>177</v>
      </c>
      <c r="G146" s="72" t="s">
        <v>213</v>
      </c>
      <c r="J146" s="123">
        <v>-1</v>
      </c>
      <c r="K146" s="123">
        <v>-1</v>
      </c>
      <c r="L146" s="123">
        <v>-1</v>
      </c>
      <c r="M146" s="123">
        <v>-1</v>
      </c>
      <c r="N146" s="123">
        <v>-1</v>
      </c>
      <c r="O146" s="123">
        <v>-1</v>
      </c>
      <c r="P146" s="123">
        <v>-1</v>
      </c>
      <c r="Q146" s="123">
        <v>-1</v>
      </c>
      <c r="R146" s="123">
        <v>0</v>
      </c>
      <c r="S146" s="123">
        <v>0</v>
      </c>
      <c r="T146" s="79"/>
      <c r="U146" s="79"/>
    </row>
    <row r="147" spans="5:23" x14ac:dyDescent="0.25">
      <c r="F147" t="s">
        <v>178</v>
      </c>
      <c r="G147" s="72" t="s">
        <v>213</v>
      </c>
      <c r="J147" s="123">
        <v>-1</v>
      </c>
      <c r="K147" s="123">
        <v>-1</v>
      </c>
      <c r="L147" s="123">
        <v>-1</v>
      </c>
      <c r="M147" s="123">
        <v>-1</v>
      </c>
      <c r="N147" s="123">
        <v>-1</v>
      </c>
      <c r="O147" s="123">
        <v>-1</v>
      </c>
      <c r="P147" s="123">
        <v>-1</v>
      </c>
      <c r="Q147" s="123">
        <v>0</v>
      </c>
      <c r="R147" s="123">
        <v>0</v>
      </c>
      <c r="S147" s="123">
        <v>0</v>
      </c>
      <c r="T147" s="79"/>
      <c r="U147" s="79"/>
    </row>
    <row r="148" spans="5:23" x14ac:dyDescent="0.25">
      <c r="F148" t="s">
        <v>179</v>
      </c>
      <c r="G148" s="72" t="s">
        <v>213</v>
      </c>
      <c r="J148" s="123">
        <v>-1</v>
      </c>
      <c r="K148" s="123">
        <v>-1</v>
      </c>
      <c r="L148" s="123">
        <v>-1</v>
      </c>
      <c r="M148" s="123">
        <v>-1</v>
      </c>
      <c r="N148" s="123">
        <v>-1</v>
      </c>
      <c r="O148" s="123">
        <v>-1</v>
      </c>
      <c r="P148" s="123">
        <v>-1</v>
      </c>
      <c r="Q148" s="123">
        <v>0</v>
      </c>
      <c r="R148" s="123">
        <v>0</v>
      </c>
      <c r="S148" s="123">
        <v>0</v>
      </c>
      <c r="T148" s="79"/>
      <c r="U148" s="79"/>
    </row>
    <row r="149" spans="5:23" x14ac:dyDescent="0.25">
      <c r="F149" t="s">
        <v>180</v>
      </c>
      <c r="G149" s="72" t="s">
        <v>213</v>
      </c>
      <c r="J149" s="123">
        <v>-1</v>
      </c>
      <c r="K149" s="123">
        <v>-1</v>
      </c>
      <c r="L149" s="123">
        <v>-1</v>
      </c>
      <c r="M149" s="123">
        <v>-1</v>
      </c>
      <c r="N149" s="123">
        <v>-1</v>
      </c>
      <c r="O149" s="123">
        <v>-1</v>
      </c>
      <c r="P149" s="123">
        <v>-1</v>
      </c>
      <c r="Q149" s="123">
        <v>0</v>
      </c>
      <c r="R149" s="123">
        <v>0</v>
      </c>
      <c r="S149" s="123">
        <v>0</v>
      </c>
      <c r="T149" s="79"/>
      <c r="U149" s="79"/>
    </row>
    <row r="150" spans="5:23" x14ac:dyDescent="0.25">
      <c r="F150" s="37" t="s">
        <v>181</v>
      </c>
      <c r="G150" s="80" t="s">
        <v>213</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464</v>
      </c>
      <c r="G152" s="13"/>
      <c r="I152" t="s">
        <v>191</v>
      </c>
      <c r="J152" s="92"/>
      <c r="K152" s="92"/>
      <c r="L152" s="92"/>
      <c r="M152" s="92"/>
      <c r="N152" s="92"/>
      <c r="O152" s="92"/>
      <c r="P152" s="92"/>
      <c r="Q152" s="92"/>
      <c r="R152" s="92"/>
      <c r="S152" s="92"/>
      <c r="T152" s="92"/>
      <c r="U152" s="92"/>
      <c r="W152" s="3" t="s">
        <v>463</v>
      </c>
    </row>
    <row r="153" spans="5:23" x14ac:dyDescent="0.25">
      <c r="E153" s="29" t="s">
        <v>239</v>
      </c>
      <c r="G153" s="13"/>
      <c r="J153" s="92"/>
      <c r="K153" s="92"/>
      <c r="L153" s="92"/>
      <c r="M153" s="92"/>
      <c r="N153" s="92"/>
      <c r="O153" s="92"/>
      <c r="P153" s="92"/>
      <c r="Q153" s="92"/>
      <c r="R153" s="92"/>
      <c r="S153" s="92"/>
      <c r="T153" s="92"/>
      <c r="U153" s="92"/>
    </row>
    <row r="154" spans="5:23" x14ac:dyDescent="0.25">
      <c r="E154" s="29" t="s">
        <v>462</v>
      </c>
      <c r="G154" s="13"/>
      <c r="J154" s="92"/>
      <c r="K154" s="92"/>
      <c r="L154" s="92"/>
      <c r="M154" s="92"/>
      <c r="N154" s="92"/>
      <c r="O154" s="92"/>
      <c r="P154" s="92"/>
      <c r="Q154" s="92"/>
      <c r="R154" s="92"/>
      <c r="S154" s="92"/>
      <c r="T154" s="92"/>
      <c r="U154" s="92"/>
    </row>
    <row r="155" spans="5:23" x14ac:dyDescent="0.25">
      <c r="F155" s="23" t="s">
        <v>149</v>
      </c>
      <c r="G155" s="78" t="s">
        <v>213</v>
      </c>
      <c r="H155" s="23"/>
      <c r="I155" s="23"/>
      <c r="J155" s="129">
        <f>IF(J$38 = "", J118, J118 * J$38)</f>
        <v>1</v>
      </c>
      <c r="K155" s="129">
        <f t="shared" ref="K155:S155" si="38">IF(K$38 = "", K118, K118 * K$38)</f>
        <v>1</v>
      </c>
      <c r="L155" s="129">
        <f t="shared" si="38"/>
        <v>1</v>
      </c>
      <c r="M155" s="129">
        <f t="shared" si="38"/>
        <v>0.92495565728868046</v>
      </c>
      <c r="N155" s="129">
        <f t="shared" si="38"/>
        <v>0.92495565728868046</v>
      </c>
      <c r="O155" s="129">
        <f t="shared" si="38"/>
        <v>0.92495565728868046</v>
      </c>
      <c r="P155" s="129">
        <f t="shared" si="38"/>
        <v>7.5044342711319545E-2</v>
      </c>
      <c r="Q155" s="129">
        <f t="shared" si="38"/>
        <v>1</v>
      </c>
      <c r="R155" s="129">
        <f t="shared" si="38"/>
        <v>1</v>
      </c>
      <c r="S155" s="129">
        <f t="shared" si="38"/>
        <v>1</v>
      </c>
      <c r="T155" s="83"/>
      <c r="U155" s="83"/>
    </row>
    <row r="156" spans="5:23" x14ac:dyDescent="0.25">
      <c r="F156" t="s">
        <v>150</v>
      </c>
      <c r="G156" s="72" t="s">
        <v>213</v>
      </c>
      <c r="J156" s="101">
        <f t="shared" ref="J156:S156" si="39">IF(J$38 = "", J119, J119 * J$38)</f>
        <v>1</v>
      </c>
      <c r="K156" s="101">
        <f t="shared" si="39"/>
        <v>1</v>
      </c>
      <c r="L156" s="101">
        <f t="shared" si="39"/>
        <v>1</v>
      </c>
      <c r="M156" s="101">
        <f t="shared" si="39"/>
        <v>0.92495565728868046</v>
      </c>
      <c r="N156" s="101">
        <f t="shared" si="39"/>
        <v>0.92495565728868046</v>
      </c>
      <c r="O156" s="101">
        <f t="shared" si="39"/>
        <v>0.92495565728868046</v>
      </c>
      <c r="P156" s="101">
        <f t="shared" si="39"/>
        <v>7.5044342711319545E-2</v>
      </c>
      <c r="Q156" s="101">
        <f t="shared" si="39"/>
        <v>1</v>
      </c>
      <c r="R156" s="101">
        <f t="shared" si="39"/>
        <v>1</v>
      </c>
      <c r="S156" s="101">
        <f t="shared" si="39"/>
        <v>1</v>
      </c>
      <c r="T156" s="79"/>
      <c r="U156" s="79"/>
    </row>
    <row r="157" spans="5:23" x14ac:dyDescent="0.25">
      <c r="F157" t="s">
        <v>151</v>
      </c>
      <c r="G157" s="72" t="s">
        <v>213</v>
      </c>
      <c r="J157" s="101">
        <f t="shared" ref="J157:S157" si="40">IF(J$38 = "", J120, J120 * J$38)</f>
        <v>1</v>
      </c>
      <c r="K157" s="101">
        <f t="shared" si="40"/>
        <v>1</v>
      </c>
      <c r="L157" s="101">
        <f t="shared" si="40"/>
        <v>1</v>
      </c>
      <c r="M157" s="101">
        <f t="shared" si="40"/>
        <v>0.92495565728868046</v>
      </c>
      <c r="N157" s="101">
        <f t="shared" si="40"/>
        <v>0.92495565728868046</v>
      </c>
      <c r="O157" s="101">
        <f t="shared" si="40"/>
        <v>0.92495565728868046</v>
      </c>
      <c r="P157" s="101">
        <f t="shared" si="40"/>
        <v>7.5044342711319545E-2</v>
      </c>
      <c r="Q157" s="101">
        <f t="shared" si="40"/>
        <v>1</v>
      </c>
      <c r="R157" s="101">
        <f t="shared" si="40"/>
        <v>1</v>
      </c>
      <c r="S157" s="101">
        <f t="shared" si="40"/>
        <v>1</v>
      </c>
      <c r="T157" s="79"/>
      <c r="U157" s="79"/>
    </row>
    <row r="158" spans="5:23" x14ac:dyDescent="0.25">
      <c r="F158" t="s">
        <v>152</v>
      </c>
      <c r="G158" s="72" t="s">
        <v>213</v>
      </c>
      <c r="J158" s="101">
        <f t="shared" ref="J158:S158" si="41">IF(J$38 = "", J121, J121 * J$38)</f>
        <v>1</v>
      </c>
      <c r="K158" s="101">
        <f t="shared" si="41"/>
        <v>1</v>
      </c>
      <c r="L158" s="101">
        <f t="shared" si="41"/>
        <v>1</v>
      </c>
      <c r="M158" s="101">
        <f t="shared" si="41"/>
        <v>0.92495565728868046</v>
      </c>
      <c r="N158" s="101">
        <f t="shared" si="41"/>
        <v>0.92495565728868046</v>
      </c>
      <c r="O158" s="101">
        <f t="shared" si="41"/>
        <v>0.92495565728868046</v>
      </c>
      <c r="P158" s="101">
        <f t="shared" si="41"/>
        <v>7.5044342711319545E-2</v>
      </c>
      <c r="Q158" s="101">
        <f t="shared" si="41"/>
        <v>1</v>
      </c>
      <c r="R158" s="101">
        <f t="shared" si="41"/>
        <v>1</v>
      </c>
      <c r="S158" s="101">
        <f t="shared" si="41"/>
        <v>1</v>
      </c>
      <c r="T158" s="79"/>
      <c r="U158" s="79"/>
    </row>
    <row r="159" spans="5:23" x14ac:dyDescent="0.25">
      <c r="F159" t="s">
        <v>153</v>
      </c>
      <c r="G159" s="72" t="s">
        <v>213</v>
      </c>
      <c r="J159" s="101">
        <f t="shared" ref="J159:S159" si="42">IF(J$38 = "", J122, J122 * J$38)</f>
        <v>1</v>
      </c>
      <c r="K159" s="101">
        <f t="shared" si="42"/>
        <v>1</v>
      </c>
      <c r="L159" s="101">
        <f t="shared" si="42"/>
        <v>1</v>
      </c>
      <c r="M159" s="101">
        <f t="shared" si="42"/>
        <v>0.92495565728868046</v>
      </c>
      <c r="N159" s="101">
        <f t="shared" si="42"/>
        <v>0.92495565728868046</v>
      </c>
      <c r="O159" s="101">
        <f t="shared" si="42"/>
        <v>0.92495565728868046</v>
      </c>
      <c r="P159" s="101">
        <f t="shared" si="42"/>
        <v>7.5044342711319545E-2</v>
      </c>
      <c r="Q159" s="101">
        <f t="shared" si="42"/>
        <v>1</v>
      </c>
      <c r="R159" s="101">
        <f t="shared" si="42"/>
        <v>1</v>
      </c>
      <c r="S159" s="101">
        <f t="shared" si="42"/>
        <v>1</v>
      </c>
      <c r="T159" s="79"/>
      <c r="U159" s="79"/>
    </row>
    <row r="160" spans="5:23" x14ac:dyDescent="0.25">
      <c r="F160" t="s">
        <v>154</v>
      </c>
      <c r="G160" s="72" t="s">
        <v>213</v>
      </c>
      <c r="J160" s="101">
        <f t="shared" ref="J160:S160" si="43">IF(J$38 = "", J123, J123 * J$38)</f>
        <v>1</v>
      </c>
      <c r="K160" s="101">
        <f t="shared" si="43"/>
        <v>1</v>
      </c>
      <c r="L160" s="101">
        <f t="shared" si="43"/>
        <v>1</v>
      </c>
      <c r="M160" s="101">
        <f t="shared" si="43"/>
        <v>0.92495565728868046</v>
      </c>
      <c r="N160" s="101">
        <f t="shared" si="43"/>
        <v>0.92495565728868046</v>
      </c>
      <c r="O160" s="101">
        <f t="shared" si="43"/>
        <v>0.92495565728868046</v>
      </c>
      <c r="P160" s="101">
        <f t="shared" si="43"/>
        <v>7.5044342711319545E-2</v>
      </c>
      <c r="Q160" s="101">
        <f t="shared" si="43"/>
        <v>1</v>
      </c>
      <c r="R160" s="101">
        <f t="shared" si="43"/>
        <v>1</v>
      </c>
      <c r="S160" s="101">
        <f t="shared" si="43"/>
        <v>1</v>
      </c>
      <c r="T160" s="79"/>
      <c r="U160" s="79"/>
    </row>
    <row r="161" spans="6:21" x14ac:dyDescent="0.25">
      <c r="F161" t="s">
        <v>155</v>
      </c>
      <c r="G161" s="72" t="s">
        <v>213</v>
      </c>
      <c r="J161" s="101">
        <f t="shared" ref="J161:S161" si="44">IF(J$38 = "", J124, J124 * J$38)</f>
        <v>1</v>
      </c>
      <c r="K161" s="101">
        <f t="shared" si="44"/>
        <v>1</v>
      </c>
      <c r="L161" s="101">
        <f t="shared" si="44"/>
        <v>1</v>
      </c>
      <c r="M161" s="101">
        <f t="shared" si="44"/>
        <v>0.92495565728868046</v>
      </c>
      <c r="N161" s="101">
        <f t="shared" si="44"/>
        <v>0.92495565728868046</v>
      </c>
      <c r="O161" s="101">
        <f t="shared" si="44"/>
        <v>0.92495565728868046</v>
      </c>
      <c r="P161" s="101">
        <f t="shared" si="44"/>
        <v>7.5044342711319545E-2</v>
      </c>
      <c r="Q161" s="101">
        <f t="shared" si="44"/>
        <v>1</v>
      </c>
      <c r="R161" s="101">
        <f t="shared" si="44"/>
        <v>1</v>
      </c>
      <c r="S161" s="101">
        <f t="shared" si="44"/>
        <v>1</v>
      </c>
      <c r="T161" s="79"/>
      <c r="U161" s="79"/>
    </row>
    <row r="162" spans="6:21" x14ac:dyDescent="0.25">
      <c r="F162" t="s">
        <v>156</v>
      </c>
      <c r="G162" s="72" t="s">
        <v>213</v>
      </c>
      <c r="J162" s="101">
        <f t="shared" ref="J162:S162" si="45">IF(J$38 = "", J125, J125 * J$38)</f>
        <v>1</v>
      </c>
      <c r="K162" s="101">
        <f t="shared" si="45"/>
        <v>1</v>
      </c>
      <c r="L162" s="101">
        <f t="shared" si="45"/>
        <v>1</v>
      </c>
      <c r="M162" s="101">
        <f t="shared" si="45"/>
        <v>0.92495565728868046</v>
      </c>
      <c r="N162" s="101">
        <f t="shared" si="45"/>
        <v>0.92495565728868046</v>
      </c>
      <c r="O162" s="101">
        <f t="shared" si="45"/>
        <v>0.92495565728868046</v>
      </c>
      <c r="P162" s="101">
        <f t="shared" si="45"/>
        <v>7.5044342711319545E-2</v>
      </c>
      <c r="Q162" s="101">
        <f t="shared" si="45"/>
        <v>1</v>
      </c>
      <c r="R162" s="101">
        <f t="shared" si="45"/>
        <v>1</v>
      </c>
      <c r="S162" s="101">
        <f t="shared" si="45"/>
        <v>0</v>
      </c>
      <c r="T162" s="79"/>
      <c r="U162" s="79"/>
    </row>
    <row r="163" spans="6:21" x14ac:dyDescent="0.25">
      <c r="F163" t="s">
        <v>157</v>
      </c>
      <c r="G163" s="72" t="s">
        <v>213</v>
      </c>
      <c r="J163" s="101">
        <f t="shared" ref="J163:S163" si="46">IF(J$38 = "", J126, J126 * J$38)</f>
        <v>1</v>
      </c>
      <c r="K163" s="101">
        <f t="shared" si="46"/>
        <v>1</v>
      </c>
      <c r="L163" s="101">
        <f t="shared" si="46"/>
        <v>1</v>
      </c>
      <c r="M163" s="101">
        <f t="shared" si="46"/>
        <v>0.92495565728868046</v>
      </c>
      <c r="N163" s="101">
        <f t="shared" si="46"/>
        <v>0.92495565728868046</v>
      </c>
      <c r="O163" s="101">
        <f t="shared" si="46"/>
        <v>0.92495565728868046</v>
      </c>
      <c r="P163" s="101">
        <f t="shared" si="46"/>
        <v>7.5044342711319545E-2</v>
      </c>
      <c r="Q163" s="101">
        <f t="shared" si="46"/>
        <v>1</v>
      </c>
      <c r="R163" s="101">
        <f t="shared" si="46"/>
        <v>0</v>
      </c>
      <c r="S163" s="101">
        <f t="shared" si="46"/>
        <v>0</v>
      </c>
      <c r="T163" s="79"/>
      <c r="U163" s="79"/>
    </row>
    <row r="164" spans="6:21" x14ac:dyDescent="0.25">
      <c r="F164" t="s">
        <v>158</v>
      </c>
      <c r="G164" s="72" t="s">
        <v>213</v>
      </c>
      <c r="J164" s="101">
        <f t="shared" ref="J164:S164" si="47">IF(J$38 = "", J127, J127 * J$38)</f>
        <v>1</v>
      </c>
      <c r="K164" s="101">
        <f t="shared" si="47"/>
        <v>1</v>
      </c>
      <c r="L164" s="101">
        <f t="shared" si="47"/>
        <v>1</v>
      </c>
      <c r="M164" s="101">
        <f t="shared" si="47"/>
        <v>0.92495565728868046</v>
      </c>
      <c r="N164" s="101">
        <f t="shared" si="47"/>
        <v>0.92495565728868046</v>
      </c>
      <c r="O164" s="101">
        <f t="shared" si="47"/>
        <v>0.92495565728868046</v>
      </c>
      <c r="P164" s="101">
        <f t="shared" si="47"/>
        <v>7.5044342711319545E-2</v>
      </c>
      <c r="Q164" s="101">
        <f t="shared" si="47"/>
        <v>1</v>
      </c>
      <c r="R164" s="101">
        <f t="shared" si="47"/>
        <v>1</v>
      </c>
      <c r="S164" s="101">
        <f t="shared" si="47"/>
        <v>1</v>
      </c>
      <c r="T164" s="79"/>
      <c r="U164" s="79"/>
    </row>
    <row r="165" spans="6:21" x14ac:dyDescent="0.25">
      <c r="F165" t="s">
        <v>159</v>
      </c>
      <c r="G165" s="72" t="s">
        <v>213</v>
      </c>
      <c r="J165" s="101">
        <f t="shared" ref="J165:S165" si="48">IF(J$38 = "", J128, J128 * J$38)</f>
        <v>1</v>
      </c>
      <c r="K165" s="101">
        <f t="shared" si="48"/>
        <v>1</v>
      </c>
      <c r="L165" s="101">
        <f t="shared" si="48"/>
        <v>1</v>
      </c>
      <c r="M165" s="101">
        <f t="shared" si="48"/>
        <v>0.92495565728868046</v>
      </c>
      <c r="N165" s="101">
        <f t="shared" si="48"/>
        <v>0.92495565728868046</v>
      </c>
      <c r="O165" s="101">
        <f t="shared" si="48"/>
        <v>0.92495565728868046</v>
      </c>
      <c r="P165" s="101">
        <f t="shared" si="48"/>
        <v>7.5044342711319545E-2</v>
      </c>
      <c r="Q165" s="101">
        <f t="shared" si="48"/>
        <v>1</v>
      </c>
      <c r="R165" s="101">
        <f t="shared" si="48"/>
        <v>1</v>
      </c>
      <c r="S165" s="101">
        <f t="shared" si="48"/>
        <v>1</v>
      </c>
      <c r="T165" s="79"/>
      <c r="U165" s="79"/>
    </row>
    <row r="166" spans="6:21" x14ac:dyDescent="0.25">
      <c r="F166" t="s">
        <v>160</v>
      </c>
      <c r="G166" s="72" t="s">
        <v>213</v>
      </c>
      <c r="J166" s="101">
        <f t="shared" ref="J166:S166" si="49">IF(J$38 = "", J129, J129 * J$38)</f>
        <v>1</v>
      </c>
      <c r="K166" s="101">
        <f t="shared" si="49"/>
        <v>1</v>
      </c>
      <c r="L166" s="101">
        <f t="shared" si="49"/>
        <v>1</v>
      </c>
      <c r="M166" s="101">
        <f t="shared" si="49"/>
        <v>0.92495565728868046</v>
      </c>
      <c r="N166" s="101">
        <f t="shared" si="49"/>
        <v>0.92495565728868046</v>
      </c>
      <c r="O166" s="101">
        <f t="shared" si="49"/>
        <v>0.92495565728868046</v>
      </c>
      <c r="P166" s="101">
        <f t="shared" si="49"/>
        <v>7.5044342711319545E-2</v>
      </c>
      <c r="Q166" s="101">
        <f t="shared" si="49"/>
        <v>1</v>
      </c>
      <c r="R166" s="101">
        <f t="shared" si="49"/>
        <v>1</v>
      </c>
      <c r="S166" s="101">
        <f t="shared" si="49"/>
        <v>1</v>
      </c>
      <c r="T166" s="79"/>
      <c r="U166" s="79"/>
    </row>
    <row r="167" spans="6:21" x14ac:dyDescent="0.25">
      <c r="F167" t="s">
        <v>161</v>
      </c>
      <c r="G167" s="72" t="s">
        <v>213</v>
      </c>
      <c r="J167" s="101">
        <f t="shared" ref="J167:S167" si="50">IF(J$38 = "", J130, J130 * J$38)</f>
        <v>1</v>
      </c>
      <c r="K167" s="101">
        <f t="shared" si="50"/>
        <v>1</v>
      </c>
      <c r="L167" s="101">
        <f t="shared" si="50"/>
        <v>1</v>
      </c>
      <c r="M167" s="101">
        <f t="shared" si="50"/>
        <v>0.92495565728868046</v>
      </c>
      <c r="N167" s="101">
        <f t="shared" si="50"/>
        <v>0.92495565728868046</v>
      </c>
      <c r="O167" s="101">
        <f t="shared" si="50"/>
        <v>0.92495565728868046</v>
      </c>
      <c r="P167" s="101">
        <f t="shared" si="50"/>
        <v>7.5044342711319545E-2</v>
      </c>
      <c r="Q167" s="101">
        <f t="shared" si="50"/>
        <v>1</v>
      </c>
      <c r="R167" s="101">
        <f t="shared" si="50"/>
        <v>1</v>
      </c>
      <c r="S167" s="101">
        <f t="shared" si="50"/>
        <v>0</v>
      </c>
      <c r="T167" s="79"/>
      <c r="U167" s="79"/>
    </row>
    <row r="168" spans="6:21" x14ac:dyDescent="0.25">
      <c r="F168" t="s">
        <v>162</v>
      </c>
      <c r="G168" s="72" t="s">
        <v>213</v>
      </c>
      <c r="J168" s="101">
        <f t="shared" ref="J168:S168" si="51">IF(J$38 = "", J131, J131 * J$38)</f>
        <v>1</v>
      </c>
      <c r="K168" s="101">
        <f t="shared" si="51"/>
        <v>1</v>
      </c>
      <c r="L168" s="101">
        <f t="shared" si="51"/>
        <v>1</v>
      </c>
      <c r="M168" s="101">
        <f t="shared" si="51"/>
        <v>0.92495565728868046</v>
      </c>
      <c r="N168" s="101">
        <f t="shared" si="51"/>
        <v>0.92495565728868046</v>
      </c>
      <c r="O168" s="101">
        <f t="shared" si="51"/>
        <v>0.92495565728868046</v>
      </c>
      <c r="P168" s="101">
        <f t="shared" si="51"/>
        <v>7.5044342711319545E-2</v>
      </c>
      <c r="Q168" s="101">
        <f t="shared" si="51"/>
        <v>1</v>
      </c>
      <c r="R168" s="101">
        <f t="shared" si="51"/>
        <v>0</v>
      </c>
      <c r="S168" s="101">
        <f t="shared" si="51"/>
        <v>0</v>
      </c>
      <c r="T168" s="79"/>
      <c r="U168" s="79"/>
    </row>
    <row r="169" spans="6:21" x14ac:dyDescent="0.25">
      <c r="F169" t="s">
        <v>163</v>
      </c>
      <c r="G169" s="72" t="s">
        <v>213</v>
      </c>
      <c r="J169" s="101">
        <f t="shared" ref="J169:S169" si="52">IF(J$38 = "", J132, J132 * J$38)</f>
        <v>1</v>
      </c>
      <c r="K169" s="101">
        <f t="shared" si="52"/>
        <v>1</v>
      </c>
      <c r="L169" s="101">
        <f t="shared" si="52"/>
        <v>1</v>
      </c>
      <c r="M169" s="101">
        <f t="shared" si="52"/>
        <v>0.92495565728868046</v>
      </c>
      <c r="N169" s="101">
        <f t="shared" si="52"/>
        <v>0.92495565728868046</v>
      </c>
      <c r="O169" s="101">
        <f t="shared" si="52"/>
        <v>0.92495565728868046</v>
      </c>
      <c r="P169" s="101">
        <f t="shared" si="52"/>
        <v>7.5044342711319545E-2</v>
      </c>
      <c r="Q169" s="101">
        <f t="shared" si="52"/>
        <v>1</v>
      </c>
      <c r="R169" s="101">
        <f t="shared" si="52"/>
        <v>1</v>
      </c>
      <c r="S169" s="101">
        <f t="shared" si="52"/>
        <v>1</v>
      </c>
      <c r="T169" s="79"/>
      <c r="U169" s="79"/>
    </row>
    <row r="170" spans="6:21" x14ac:dyDescent="0.25">
      <c r="F170" t="s">
        <v>164</v>
      </c>
      <c r="G170" s="72" t="s">
        <v>213</v>
      </c>
      <c r="J170" s="101">
        <f t="shared" ref="J170:S170" si="53">IF(J$38 = "", J133, J133 * J$38)</f>
        <v>1</v>
      </c>
      <c r="K170" s="101">
        <f t="shared" si="53"/>
        <v>1</v>
      </c>
      <c r="L170" s="101">
        <f t="shared" si="53"/>
        <v>1</v>
      </c>
      <c r="M170" s="101">
        <f t="shared" si="53"/>
        <v>0.92495565728868046</v>
      </c>
      <c r="N170" s="101">
        <f t="shared" si="53"/>
        <v>0.92495565728868046</v>
      </c>
      <c r="O170" s="101">
        <f t="shared" si="53"/>
        <v>0.92495565728868046</v>
      </c>
      <c r="P170" s="101">
        <f t="shared" si="53"/>
        <v>7.5044342711319545E-2</v>
      </c>
      <c r="Q170" s="101">
        <f t="shared" si="53"/>
        <v>1</v>
      </c>
      <c r="R170" s="101">
        <f t="shared" si="53"/>
        <v>1</v>
      </c>
      <c r="S170" s="101">
        <f t="shared" si="53"/>
        <v>1</v>
      </c>
      <c r="T170" s="79"/>
      <c r="U170" s="79"/>
    </row>
    <row r="171" spans="6:21" x14ac:dyDescent="0.25">
      <c r="F171" t="s">
        <v>165</v>
      </c>
      <c r="G171" s="72" t="s">
        <v>213</v>
      </c>
      <c r="J171" s="101">
        <f t="shared" ref="J171:S171" si="54">IF(J$38 = "", J134, J134 * J$38)</f>
        <v>1</v>
      </c>
      <c r="K171" s="101">
        <f t="shared" si="54"/>
        <v>1</v>
      </c>
      <c r="L171" s="101">
        <f t="shared" si="54"/>
        <v>1</v>
      </c>
      <c r="M171" s="101">
        <f t="shared" si="54"/>
        <v>0.92495565728868046</v>
      </c>
      <c r="N171" s="101">
        <f t="shared" si="54"/>
        <v>0.92495565728868046</v>
      </c>
      <c r="O171" s="101">
        <f t="shared" si="54"/>
        <v>0.92495565728868046</v>
      </c>
      <c r="P171" s="101">
        <f t="shared" si="54"/>
        <v>7.5044342711319545E-2</v>
      </c>
      <c r="Q171" s="101">
        <f t="shared" si="54"/>
        <v>1</v>
      </c>
      <c r="R171" s="101">
        <f t="shared" si="54"/>
        <v>1</v>
      </c>
      <c r="S171" s="101">
        <f t="shared" si="54"/>
        <v>1</v>
      </c>
      <c r="T171" s="79"/>
      <c r="U171" s="79"/>
    </row>
    <row r="172" spans="6:21" x14ac:dyDescent="0.25">
      <c r="F172" t="s">
        <v>166</v>
      </c>
      <c r="G172" s="72" t="s">
        <v>213</v>
      </c>
      <c r="J172" s="101">
        <f t="shared" ref="J172:S172" si="55">IF(J$38 = "", J135, J135 * J$38)</f>
        <v>1</v>
      </c>
      <c r="K172" s="101">
        <f t="shared" si="55"/>
        <v>1</v>
      </c>
      <c r="L172" s="101">
        <f t="shared" si="55"/>
        <v>1</v>
      </c>
      <c r="M172" s="101">
        <f t="shared" si="55"/>
        <v>0.92495565728868046</v>
      </c>
      <c r="N172" s="101">
        <f t="shared" si="55"/>
        <v>0.92495565728868046</v>
      </c>
      <c r="O172" s="101">
        <f t="shared" si="55"/>
        <v>0.92495565728868046</v>
      </c>
      <c r="P172" s="101">
        <f t="shared" si="55"/>
        <v>7.5044342711319545E-2</v>
      </c>
      <c r="Q172" s="101">
        <f t="shared" si="55"/>
        <v>1</v>
      </c>
      <c r="R172" s="101">
        <f t="shared" si="55"/>
        <v>1</v>
      </c>
      <c r="S172" s="101">
        <f t="shared" si="55"/>
        <v>1</v>
      </c>
      <c r="T172" s="79"/>
      <c r="U172" s="79"/>
    </row>
    <row r="173" spans="6:21" x14ac:dyDescent="0.25">
      <c r="F173" t="s">
        <v>167</v>
      </c>
      <c r="G173" s="72" t="s">
        <v>213</v>
      </c>
      <c r="J173" s="101">
        <f t="shared" ref="J173:S173" si="56">IF(J$38 = "", J136, J136 * J$38)</f>
        <v>1</v>
      </c>
      <c r="K173" s="101">
        <f t="shared" si="56"/>
        <v>1</v>
      </c>
      <c r="L173" s="101">
        <f t="shared" si="56"/>
        <v>1</v>
      </c>
      <c r="M173" s="101">
        <f t="shared" si="56"/>
        <v>0.92495565728868046</v>
      </c>
      <c r="N173" s="101">
        <f t="shared" si="56"/>
        <v>0.92495565728868046</v>
      </c>
      <c r="O173" s="101">
        <f t="shared" si="56"/>
        <v>0.92495565728868046</v>
      </c>
      <c r="P173" s="101">
        <f t="shared" si="56"/>
        <v>7.5044342711319545E-2</v>
      </c>
      <c r="Q173" s="101">
        <f t="shared" si="56"/>
        <v>1</v>
      </c>
      <c r="R173" s="101">
        <f t="shared" si="56"/>
        <v>1</v>
      </c>
      <c r="S173" s="101">
        <f t="shared" si="56"/>
        <v>1</v>
      </c>
      <c r="T173" s="79"/>
      <c r="U173" s="79"/>
    </row>
    <row r="174" spans="6:21" x14ac:dyDescent="0.25">
      <c r="F174" t="s">
        <v>168</v>
      </c>
      <c r="G174" s="72" t="s">
        <v>213</v>
      </c>
      <c r="J174" s="101">
        <f t="shared" ref="J174:S174" si="57">IF(J$38 = "", J137, J137 * J$38)</f>
        <v>-1</v>
      </c>
      <c r="K174" s="101">
        <f t="shared" si="57"/>
        <v>-1</v>
      </c>
      <c r="L174" s="101">
        <f t="shared" si="57"/>
        <v>-1</v>
      </c>
      <c r="M174" s="101">
        <f t="shared" si="57"/>
        <v>-0.92495565728868046</v>
      </c>
      <c r="N174" s="101">
        <f t="shared" si="57"/>
        <v>-0.92495565728868046</v>
      </c>
      <c r="O174" s="101">
        <f t="shared" si="57"/>
        <v>-0.92495565728868046</v>
      </c>
      <c r="P174" s="101">
        <f t="shared" si="57"/>
        <v>-7.5044342711319545E-2</v>
      </c>
      <c r="Q174" s="101">
        <f t="shared" si="57"/>
        <v>-1</v>
      </c>
      <c r="R174" s="101">
        <f t="shared" si="57"/>
        <v>-1</v>
      </c>
      <c r="S174" s="101">
        <f t="shared" si="57"/>
        <v>0</v>
      </c>
      <c r="T174" s="79"/>
      <c r="U174" s="79"/>
    </row>
    <row r="175" spans="6:21" x14ac:dyDescent="0.25">
      <c r="F175" t="s">
        <v>169</v>
      </c>
      <c r="G175" s="72" t="s">
        <v>213</v>
      </c>
      <c r="J175" s="101">
        <f t="shared" ref="J175:S175" si="58">IF(J$38 = "", J138, J138 * J$38)</f>
        <v>-1</v>
      </c>
      <c r="K175" s="101">
        <f t="shared" si="58"/>
        <v>-1</v>
      </c>
      <c r="L175" s="101">
        <f t="shared" si="58"/>
        <v>-1</v>
      </c>
      <c r="M175" s="101">
        <f t="shared" si="58"/>
        <v>-0.92495565728868046</v>
      </c>
      <c r="N175" s="101">
        <f t="shared" si="58"/>
        <v>-0.92495565728868046</v>
      </c>
      <c r="O175" s="101">
        <f t="shared" si="58"/>
        <v>-0.92495565728868046</v>
      </c>
      <c r="P175" s="101">
        <f t="shared" si="58"/>
        <v>-7.5044342711319545E-2</v>
      </c>
      <c r="Q175" s="101">
        <f t="shared" si="58"/>
        <v>-1</v>
      </c>
      <c r="R175" s="101">
        <f t="shared" si="58"/>
        <v>0</v>
      </c>
      <c r="S175" s="101">
        <f t="shared" si="58"/>
        <v>0</v>
      </c>
      <c r="T175" s="79"/>
      <c r="U175" s="79"/>
    </row>
    <row r="176" spans="6:21" x14ac:dyDescent="0.25">
      <c r="F176" t="s">
        <v>170</v>
      </c>
      <c r="G176" s="72" t="s">
        <v>213</v>
      </c>
      <c r="J176" s="101">
        <f t="shared" ref="J176:S176" si="59">IF(J$38 = "", J139, J139 * J$38)</f>
        <v>-1</v>
      </c>
      <c r="K176" s="101">
        <f t="shared" si="59"/>
        <v>-1</v>
      </c>
      <c r="L176" s="101">
        <f t="shared" si="59"/>
        <v>-1</v>
      </c>
      <c r="M176" s="101">
        <f t="shared" si="59"/>
        <v>-0.92495565728868046</v>
      </c>
      <c r="N176" s="101">
        <f t="shared" si="59"/>
        <v>-0.92495565728868046</v>
      </c>
      <c r="O176" s="101">
        <f t="shared" si="59"/>
        <v>-0.92495565728868046</v>
      </c>
      <c r="P176" s="101">
        <f t="shared" si="59"/>
        <v>-7.5044342711319545E-2</v>
      </c>
      <c r="Q176" s="101">
        <f t="shared" si="59"/>
        <v>-1</v>
      </c>
      <c r="R176" s="101">
        <f t="shared" si="59"/>
        <v>-1</v>
      </c>
      <c r="S176" s="101">
        <f t="shared" si="59"/>
        <v>0</v>
      </c>
      <c r="T176" s="79"/>
      <c r="U176" s="79"/>
    </row>
    <row r="177" spans="3:23" x14ac:dyDescent="0.25">
      <c r="F177" t="s">
        <v>171</v>
      </c>
      <c r="G177" s="72" t="s">
        <v>213</v>
      </c>
      <c r="J177" s="101">
        <f t="shared" ref="J177:S177" si="60">IF(J$38 = "", J140, J140 * J$38)</f>
        <v>-1</v>
      </c>
      <c r="K177" s="101">
        <f t="shared" si="60"/>
        <v>-1</v>
      </c>
      <c r="L177" s="101">
        <f t="shared" si="60"/>
        <v>-1</v>
      </c>
      <c r="M177" s="101">
        <f t="shared" si="60"/>
        <v>-0.92495565728868046</v>
      </c>
      <c r="N177" s="101">
        <f t="shared" si="60"/>
        <v>-0.92495565728868046</v>
      </c>
      <c r="O177" s="101">
        <f t="shared" si="60"/>
        <v>-0.92495565728868046</v>
      </c>
      <c r="P177" s="101">
        <f t="shared" si="60"/>
        <v>-7.5044342711319545E-2</v>
      </c>
      <c r="Q177" s="101">
        <f t="shared" si="60"/>
        <v>-1</v>
      </c>
      <c r="R177" s="101">
        <f t="shared" si="60"/>
        <v>-1</v>
      </c>
      <c r="S177" s="101">
        <f t="shared" si="60"/>
        <v>0</v>
      </c>
      <c r="T177" s="79"/>
      <c r="U177" s="79"/>
    </row>
    <row r="178" spans="3:23" x14ac:dyDescent="0.25">
      <c r="F178" t="s">
        <v>172</v>
      </c>
      <c r="G178" s="72" t="s">
        <v>213</v>
      </c>
      <c r="J178" s="101">
        <f t="shared" ref="J178:S178" si="61">IF(J$38 = "", J141, J141 * J$38)</f>
        <v>-1</v>
      </c>
      <c r="K178" s="101">
        <f t="shared" si="61"/>
        <v>-1</v>
      </c>
      <c r="L178" s="101">
        <f t="shared" si="61"/>
        <v>-1</v>
      </c>
      <c r="M178" s="101">
        <f t="shared" si="61"/>
        <v>-0.92495565728868046</v>
      </c>
      <c r="N178" s="101">
        <f t="shared" si="61"/>
        <v>-0.92495565728868046</v>
      </c>
      <c r="O178" s="101">
        <f t="shared" si="61"/>
        <v>-0.92495565728868046</v>
      </c>
      <c r="P178" s="101">
        <f t="shared" si="61"/>
        <v>-7.5044342711319545E-2</v>
      </c>
      <c r="Q178" s="101">
        <f t="shared" si="61"/>
        <v>-1</v>
      </c>
      <c r="R178" s="101">
        <f t="shared" si="61"/>
        <v>-1</v>
      </c>
      <c r="S178" s="101">
        <f t="shared" si="61"/>
        <v>0</v>
      </c>
      <c r="T178" s="79"/>
      <c r="U178" s="79"/>
    </row>
    <row r="179" spans="3:23" x14ac:dyDescent="0.25">
      <c r="F179" t="s">
        <v>173</v>
      </c>
      <c r="G179" s="72" t="s">
        <v>213</v>
      </c>
      <c r="J179" s="101">
        <f t="shared" ref="J179:S179" si="62">IF(J$38 = "", J142, J142 * J$38)</f>
        <v>-1</v>
      </c>
      <c r="K179" s="101">
        <f t="shared" si="62"/>
        <v>-1</v>
      </c>
      <c r="L179" s="101">
        <f t="shared" si="62"/>
        <v>-1</v>
      </c>
      <c r="M179" s="101">
        <f t="shared" si="62"/>
        <v>-0.92495565728868046</v>
      </c>
      <c r="N179" s="101">
        <f t="shared" si="62"/>
        <v>-0.92495565728868046</v>
      </c>
      <c r="O179" s="101">
        <f t="shared" si="62"/>
        <v>-0.92495565728868046</v>
      </c>
      <c r="P179" s="101">
        <f t="shared" si="62"/>
        <v>-7.5044342711319545E-2</v>
      </c>
      <c r="Q179" s="101">
        <f t="shared" si="62"/>
        <v>-1</v>
      </c>
      <c r="R179" s="101">
        <f t="shared" si="62"/>
        <v>-1</v>
      </c>
      <c r="S179" s="101">
        <f t="shared" si="62"/>
        <v>0</v>
      </c>
      <c r="T179" s="79"/>
      <c r="U179" s="79"/>
    </row>
    <row r="180" spans="3:23" x14ac:dyDescent="0.25">
      <c r="F180" t="s">
        <v>174</v>
      </c>
      <c r="G180" s="72" t="s">
        <v>213</v>
      </c>
      <c r="J180" s="101">
        <f t="shared" ref="J180:S180" si="63">IF(J$38 = "", J143, J143 * J$38)</f>
        <v>-1</v>
      </c>
      <c r="K180" s="101">
        <f t="shared" si="63"/>
        <v>-1</v>
      </c>
      <c r="L180" s="101">
        <f t="shared" si="63"/>
        <v>-1</v>
      </c>
      <c r="M180" s="101">
        <f t="shared" si="63"/>
        <v>-0.92495565728868046</v>
      </c>
      <c r="N180" s="101">
        <f t="shared" si="63"/>
        <v>-0.92495565728868046</v>
      </c>
      <c r="O180" s="101">
        <f t="shared" si="63"/>
        <v>-0.92495565728868046</v>
      </c>
      <c r="P180" s="101">
        <f t="shared" si="63"/>
        <v>-7.5044342711319545E-2</v>
      </c>
      <c r="Q180" s="101">
        <f t="shared" si="63"/>
        <v>-1</v>
      </c>
      <c r="R180" s="101">
        <f t="shared" si="63"/>
        <v>0</v>
      </c>
      <c r="S180" s="101">
        <f t="shared" si="63"/>
        <v>0</v>
      </c>
      <c r="T180" s="79"/>
      <c r="U180" s="79"/>
    </row>
    <row r="181" spans="3:23" x14ac:dyDescent="0.25">
      <c r="F181" t="s">
        <v>175</v>
      </c>
      <c r="G181" s="72" t="s">
        <v>213</v>
      </c>
      <c r="J181" s="101">
        <f t="shared" ref="J181:S181" si="64">IF(J$38 = "", J144, J144 * J$38)</f>
        <v>-1</v>
      </c>
      <c r="K181" s="101">
        <f t="shared" si="64"/>
        <v>-1</v>
      </c>
      <c r="L181" s="101">
        <f t="shared" si="64"/>
        <v>-1</v>
      </c>
      <c r="M181" s="101">
        <f t="shared" si="64"/>
        <v>-0.92495565728868046</v>
      </c>
      <c r="N181" s="101">
        <f t="shared" si="64"/>
        <v>-0.92495565728868046</v>
      </c>
      <c r="O181" s="101">
        <f t="shared" si="64"/>
        <v>-0.92495565728868046</v>
      </c>
      <c r="P181" s="101">
        <f t="shared" si="64"/>
        <v>-7.5044342711319545E-2</v>
      </c>
      <c r="Q181" s="101">
        <f t="shared" si="64"/>
        <v>-1</v>
      </c>
      <c r="R181" s="101">
        <f t="shared" si="64"/>
        <v>0</v>
      </c>
      <c r="S181" s="101">
        <f t="shared" si="64"/>
        <v>0</v>
      </c>
      <c r="T181" s="79"/>
      <c r="U181" s="79"/>
    </row>
    <row r="182" spans="3:23" x14ac:dyDescent="0.25">
      <c r="F182" t="s">
        <v>176</v>
      </c>
      <c r="G182" s="72" t="s">
        <v>213</v>
      </c>
      <c r="J182" s="101">
        <f t="shared" ref="J182:S182" si="65">IF(J$38 = "", J145, J145 * J$38)</f>
        <v>-1</v>
      </c>
      <c r="K182" s="101">
        <f t="shared" si="65"/>
        <v>-1</v>
      </c>
      <c r="L182" s="101">
        <f t="shared" si="65"/>
        <v>-1</v>
      </c>
      <c r="M182" s="101">
        <f t="shared" si="65"/>
        <v>-0.92495565728868046</v>
      </c>
      <c r="N182" s="101">
        <f t="shared" si="65"/>
        <v>-0.92495565728868046</v>
      </c>
      <c r="O182" s="101">
        <f t="shared" si="65"/>
        <v>-0.92495565728868046</v>
      </c>
      <c r="P182" s="101">
        <f t="shared" si="65"/>
        <v>-7.5044342711319545E-2</v>
      </c>
      <c r="Q182" s="101">
        <f t="shared" si="65"/>
        <v>-1</v>
      </c>
      <c r="R182" s="101">
        <f t="shared" si="65"/>
        <v>0</v>
      </c>
      <c r="S182" s="101">
        <f t="shared" si="65"/>
        <v>0</v>
      </c>
      <c r="T182" s="79"/>
      <c r="U182" s="79"/>
    </row>
    <row r="183" spans="3:23" x14ac:dyDescent="0.25">
      <c r="F183" t="s">
        <v>177</v>
      </c>
      <c r="G183" s="72" t="s">
        <v>213</v>
      </c>
      <c r="J183" s="101">
        <f t="shared" ref="J183:S183" si="66">IF(J$38 = "", J146, J146 * J$38)</f>
        <v>-1</v>
      </c>
      <c r="K183" s="101">
        <f t="shared" si="66"/>
        <v>-1</v>
      </c>
      <c r="L183" s="101">
        <f t="shared" si="66"/>
        <v>-1</v>
      </c>
      <c r="M183" s="101">
        <f t="shared" si="66"/>
        <v>-0.92495565728868046</v>
      </c>
      <c r="N183" s="101">
        <f t="shared" si="66"/>
        <v>-0.92495565728868046</v>
      </c>
      <c r="O183" s="101">
        <f t="shared" si="66"/>
        <v>-0.92495565728868046</v>
      </c>
      <c r="P183" s="101">
        <f t="shared" si="66"/>
        <v>-7.5044342711319545E-2</v>
      </c>
      <c r="Q183" s="101">
        <f t="shared" si="66"/>
        <v>-1</v>
      </c>
      <c r="R183" s="101">
        <f t="shared" si="66"/>
        <v>0</v>
      </c>
      <c r="S183" s="101">
        <f t="shared" si="66"/>
        <v>0</v>
      </c>
      <c r="T183" s="79"/>
      <c r="U183" s="79"/>
    </row>
    <row r="184" spans="3:23" x14ac:dyDescent="0.25">
      <c r="F184" t="s">
        <v>178</v>
      </c>
      <c r="G184" s="72" t="s">
        <v>213</v>
      </c>
      <c r="J184" s="101">
        <f t="shared" ref="J184:S184" si="67">IF(J$38 = "", J147, J147 * J$38)</f>
        <v>-1</v>
      </c>
      <c r="K184" s="101">
        <f t="shared" si="67"/>
        <v>-1</v>
      </c>
      <c r="L184" s="101">
        <f t="shared" si="67"/>
        <v>-1</v>
      </c>
      <c r="M184" s="101">
        <f t="shared" si="67"/>
        <v>-0.92495565728868046</v>
      </c>
      <c r="N184" s="101">
        <f t="shared" si="67"/>
        <v>-0.92495565728868046</v>
      </c>
      <c r="O184" s="101">
        <f t="shared" si="67"/>
        <v>-0.92495565728868046</v>
      </c>
      <c r="P184" s="101">
        <f t="shared" si="67"/>
        <v>-7.5044342711319545E-2</v>
      </c>
      <c r="Q184" s="101">
        <f t="shared" si="67"/>
        <v>0</v>
      </c>
      <c r="R184" s="101">
        <f t="shared" si="67"/>
        <v>0</v>
      </c>
      <c r="S184" s="101">
        <f t="shared" si="67"/>
        <v>0</v>
      </c>
      <c r="T184" s="79"/>
      <c r="U184" s="79"/>
    </row>
    <row r="185" spans="3:23" x14ac:dyDescent="0.25">
      <c r="F185" t="s">
        <v>179</v>
      </c>
      <c r="G185" s="72" t="s">
        <v>213</v>
      </c>
      <c r="J185" s="101">
        <f t="shared" ref="J185:S185" si="68">IF(J$38 = "", J148, J148 * J$38)</f>
        <v>-1</v>
      </c>
      <c r="K185" s="101">
        <f t="shared" si="68"/>
        <v>-1</v>
      </c>
      <c r="L185" s="101">
        <f t="shared" si="68"/>
        <v>-1</v>
      </c>
      <c r="M185" s="101">
        <f t="shared" si="68"/>
        <v>-0.92495565728868046</v>
      </c>
      <c r="N185" s="101">
        <f t="shared" si="68"/>
        <v>-0.92495565728868046</v>
      </c>
      <c r="O185" s="101">
        <f t="shared" si="68"/>
        <v>-0.92495565728868046</v>
      </c>
      <c r="P185" s="101">
        <f t="shared" si="68"/>
        <v>-7.5044342711319545E-2</v>
      </c>
      <c r="Q185" s="101">
        <f t="shared" si="68"/>
        <v>0</v>
      </c>
      <c r="R185" s="101">
        <f t="shared" si="68"/>
        <v>0</v>
      </c>
      <c r="S185" s="101">
        <f t="shared" si="68"/>
        <v>0</v>
      </c>
      <c r="T185" s="79"/>
      <c r="U185" s="79"/>
    </row>
    <row r="186" spans="3:23" x14ac:dyDescent="0.25">
      <c r="F186" t="s">
        <v>180</v>
      </c>
      <c r="G186" s="72" t="s">
        <v>213</v>
      </c>
      <c r="J186" s="101">
        <f t="shared" ref="J186:S186" si="69">IF(J$38 = "", J149, J149 * J$38)</f>
        <v>-1</v>
      </c>
      <c r="K186" s="101">
        <f t="shared" si="69"/>
        <v>-1</v>
      </c>
      <c r="L186" s="101">
        <f t="shared" si="69"/>
        <v>-1</v>
      </c>
      <c r="M186" s="101">
        <f t="shared" si="69"/>
        <v>-0.92495565728868046</v>
      </c>
      <c r="N186" s="101">
        <f t="shared" si="69"/>
        <v>-0.92495565728868046</v>
      </c>
      <c r="O186" s="101">
        <f t="shared" si="69"/>
        <v>-0.92495565728868046</v>
      </c>
      <c r="P186" s="101">
        <f t="shared" si="69"/>
        <v>-7.5044342711319545E-2</v>
      </c>
      <c r="Q186" s="101">
        <f t="shared" si="69"/>
        <v>0</v>
      </c>
      <c r="R186" s="101">
        <f t="shared" si="69"/>
        <v>0</v>
      </c>
      <c r="S186" s="101">
        <f t="shared" si="69"/>
        <v>0</v>
      </c>
      <c r="T186" s="79"/>
      <c r="U186" s="79"/>
    </row>
    <row r="187" spans="3:23" x14ac:dyDescent="0.25">
      <c r="F187" s="37" t="s">
        <v>181</v>
      </c>
      <c r="G187" s="80" t="s">
        <v>213</v>
      </c>
      <c r="H187" s="37"/>
      <c r="I187" s="37"/>
      <c r="J187" s="103">
        <f t="shared" ref="J187:S187" si="70">IF(J$38 = "", J150, J150 * J$38)</f>
        <v>-1</v>
      </c>
      <c r="K187" s="103">
        <f t="shared" si="70"/>
        <v>-1</v>
      </c>
      <c r="L187" s="103">
        <f t="shared" si="70"/>
        <v>-1</v>
      </c>
      <c r="M187" s="103">
        <f t="shared" si="70"/>
        <v>-0.92495565728868046</v>
      </c>
      <c r="N187" s="103">
        <f t="shared" si="70"/>
        <v>-0.92495565728868046</v>
      </c>
      <c r="O187" s="103">
        <f t="shared" si="70"/>
        <v>-0.92495565728868046</v>
      </c>
      <c r="P187" s="103">
        <f t="shared" si="70"/>
        <v>-7.5044342711319545E-2</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465</v>
      </c>
      <c r="G191" s="13"/>
      <c r="J191" s="92"/>
      <c r="K191" s="92"/>
      <c r="L191" s="92"/>
      <c r="M191" s="92"/>
      <c r="N191" s="92"/>
      <c r="O191" s="92"/>
      <c r="P191" s="92"/>
      <c r="Q191" s="92"/>
      <c r="R191" s="92"/>
      <c r="S191" s="92"/>
      <c r="T191" s="92"/>
      <c r="U191" s="92"/>
      <c r="W191" s="3"/>
    </row>
    <row r="192" spans="3:23" x14ac:dyDescent="0.25">
      <c r="E192" s="29" t="s">
        <v>466</v>
      </c>
      <c r="G192" s="13"/>
      <c r="J192" s="92"/>
      <c r="K192" s="92"/>
      <c r="L192" s="92"/>
      <c r="M192" s="92"/>
      <c r="N192" s="92"/>
      <c r="O192" s="92"/>
      <c r="P192" s="92"/>
      <c r="Q192" s="92"/>
      <c r="R192" s="92"/>
      <c r="S192" s="92"/>
      <c r="T192" s="92"/>
      <c r="U192" s="92"/>
    </row>
    <row r="193" spans="5:23" x14ac:dyDescent="0.25">
      <c r="E193" s="29" t="s">
        <v>467</v>
      </c>
      <c r="G193" s="13"/>
      <c r="H193" s="131" t="s">
        <v>468</v>
      </c>
      <c r="J193" s="92"/>
      <c r="K193" s="92"/>
      <c r="L193" s="92"/>
      <c r="M193" s="92"/>
      <c r="N193" s="92"/>
      <c r="O193" s="92"/>
      <c r="P193" s="92"/>
      <c r="Q193" s="92"/>
      <c r="R193" s="92"/>
      <c r="S193" s="92"/>
      <c r="T193" s="92"/>
      <c r="U193" s="92"/>
    </row>
    <row r="194" spans="5:23" x14ac:dyDescent="0.25">
      <c r="F194" s="64" t="s">
        <v>149</v>
      </c>
      <c r="G194" s="78" t="s">
        <v>343</v>
      </c>
      <c r="H194" s="129">
        <f t="shared" ref="H194:H226" si="71">MAX(J194:S194)</f>
        <v>1.0780000000000001</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1.0780000000000001</v>
      </c>
      <c r="T194" s="83"/>
      <c r="U194" s="83"/>
      <c r="W194" s="3"/>
    </row>
    <row r="195" spans="5:23" x14ac:dyDescent="0.25">
      <c r="F195" s="28" t="s">
        <v>150</v>
      </c>
      <c r="G195" s="72" t="s">
        <v>343</v>
      </c>
      <c r="H195" s="101">
        <f t="shared" si="71"/>
        <v>1.0780000000000001</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1.0780000000000001</v>
      </c>
      <c r="T195" s="79"/>
      <c r="U195" s="79"/>
      <c r="W195" s="3"/>
    </row>
    <row r="196" spans="5:23" x14ac:dyDescent="0.25">
      <c r="F196" s="28" t="s">
        <v>151</v>
      </c>
      <c r="G196" s="72" t="s">
        <v>343</v>
      </c>
      <c r="H196" s="101">
        <f t="shared" si="71"/>
        <v>1.0780000000000001</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1.0780000000000001</v>
      </c>
      <c r="T196" s="79"/>
      <c r="U196" s="79"/>
      <c r="W196" s="3"/>
    </row>
    <row r="197" spans="5:23" x14ac:dyDescent="0.25">
      <c r="F197" s="28" t="s">
        <v>152</v>
      </c>
      <c r="G197" s="72" t="s">
        <v>343</v>
      </c>
      <c r="H197" s="101">
        <f t="shared" si="71"/>
        <v>1.0780000000000001</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1.0780000000000001</v>
      </c>
      <c r="T197" s="79"/>
      <c r="U197" s="79"/>
    </row>
    <row r="198" spans="5:23" x14ac:dyDescent="0.25">
      <c r="F198" s="28" t="s">
        <v>153</v>
      </c>
      <c r="G198" s="72" t="s">
        <v>343</v>
      </c>
      <c r="H198" s="101">
        <f t="shared" si="71"/>
        <v>1.0780000000000001</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1.0780000000000001</v>
      </c>
      <c r="T198" s="79"/>
      <c r="U198" s="79"/>
    </row>
    <row r="199" spans="5:23" x14ac:dyDescent="0.25">
      <c r="F199" s="28" t="s">
        <v>154</v>
      </c>
      <c r="G199" s="72" t="s">
        <v>343</v>
      </c>
      <c r="H199" s="101">
        <f t="shared" si="71"/>
        <v>1.0780000000000001</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1.0780000000000001</v>
      </c>
      <c r="T199" s="79"/>
      <c r="U199" s="79"/>
    </row>
    <row r="200" spans="5:23" x14ac:dyDescent="0.25">
      <c r="F200" s="28" t="s">
        <v>155</v>
      </c>
      <c r="G200" s="72" t="s">
        <v>343</v>
      </c>
      <c r="H200" s="101">
        <f t="shared" si="71"/>
        <v>1.0780000000000001</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1.0780000000000001</v>
      </c>
      <c r="T200" s="79"/>
      <c r="U200" s="79"/>
    </row>
    <row r="201" spans="5:23" x14ac:dyDescent="0.25">
      <c r="F201" s="28" t="s">
        <v>156</v>
      </c>
      <c r="G201" s="72" t="s">
        <v>343</v>
      </c>
      <c r="H201" s="101">
        <f t="shared" si="71"/>
        <v>1.0469999999999999</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1.0469999999999999</v>
      </c>
      <c r="S201" s="101">
        <f>OR(SUM(S89:$S89) = 1, SUM(S89:$S89) = -1) * S$29</f>
        <v>0</v>
      </c>
      <c r="T201" s="79"/>
      <c r="U201" s="79"/>
    </row>
    <row r="202" spans="5:23" x14ac:dyDescent="0.25">
      <c r="F202" s="28" t="s">
        <v>157</v>
      </c>
      <c r="G202" s="72" t="s">
        <v>343</v>
      </c>
      <c r="H202" s="101">
        <f t="shared" si="71"/>
        <v>1.036</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0</v>
      </c>
      <c r="Q202" s="101">
        <f>OR(SUM(Q90:$S90) = 1, SUM(Q90:$S90) = -1) * Q$29</f>
        <v>1.036</v>
      </c>
      <c r="R202" s="101">
        <f>OR(SUM(R90:$S90) = 1, SUM(R90:$S90) = -1) * R$29</f>
        <v>0</v>
      </c>
      <c r="S202" s="101">
        <f>OR(SUM(S90:$S90) = 1, SUM(S90:$S90) = -1) * S$29</f>
        <v>0</v>
      </c>
      <c r="T202" s="79"/>
      <c r="U202" s="79"/>
    </row>
    <row r="203" spans="5:23" x14ac:dyDescent="0.25">
      <c r="F203" s="28" t="s">
        <v>158</v>
      </c>
      <c r="G203" s="72" t="s">
        <v>343</v>
      </c>
      <c r="H203" s="101">
        <f t="shared" si="71"/>
        <v>1.0780000000000001</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1.0780000000000001</v>
      </c>
      <c r="T203" s="79"/>
      <c r="U203" s="79"/>
    </row>
    <row r="204" spans="5:23" x14ac:dyDescent="0.25">
      <c r="F204" s="28" t="s">
        <v>159</v>
      </c>
      <c r="G204" s="72" t="s">
        <v>343</v>
      </c>
      <c r="H204" s="101">
        <f t="shared" si="71"/>
        <v>1.0780000000000001</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1.0780000000000001</v>
      </c>
      <c r="T204" s="79"/>
      <c r="U204" s="79"/>
    </row>
    <row r="205" spans="5:23" x14ac:dyDescent="0.25">
      <c r="F205" s="28" t="s">
        <v>160</v>
      </c>
      <c r="G205" s="72" t="s">
        <v>343</v>
      </c>
      <c r="H205" s="101">
        <f t="shared" si="71"/>
        <v>1.0780000000000001</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1.0780000000000001</v>
      </c>
      <c r="T205" s="79"/>
      <c r="U205" s="79"/>
    </row>
    <row r="206" spans="5:23" x14ac:dyDescent="0.25">
      <c r="F206" s="28" t="s">
        <v>161</v>
      </c>
      <c r="G206" s="72" t="s">
        <v>343</v>
      </c>
      <c r="H206" s="101">
        <f t="shared" si="71"/>
        <v>1.0469999999999999</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1.0469999999999999</v>
      </c>
      <c r="S206" s="101">
        <f>OR(SUM(S94:$S94) = 1, SUM(S94:$S94) = -1) * S$29</f>
        <v>0</v>
      </c>
      <c r="T206" s="79"/>
      <c r="U206" s="79"/>
    </row>
    <row r="207" spans="5:23" x14ac:dyDescent="0.25">
      <c r="F207" s="28" t="s">
        <v>162</v>
      </c>
      <c r="G207" s="72" t="s">
        <v>343</v>
      </c>
      <c r="H207" s="101">
        <f t="shared" si="71"/>
        <v>1.036</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0</v>
      </c>
      <c r="Q207" s="101">
        <f>OR(SUM(Q95:$S95) = 1, SUM(Q95:$S95) = -1) * Q$29</f>
        <v>1.036</v>
      </c>
      <c r="R207" s="101">
        <f>OR(SUM(R95:$S95) = 1, SUM(R95:$S95) = -1) * R$29</f>
        <v>0</v>
      </c>
      <c r="S207" s="101">
        <f>OR(SUM(S95:$S95) = 1, SUM(S95:$S95) = -1) * S$29</f>
        <v>0</v>
      </c>
      <c r="T207" s="79"/>
      <c r="U207" s="79"/>
    </row>
    <row r="208" spans="5:23" x14ac:dyDescent="0.25">
      <c r="F208" s="28" t="s">
        <v>163</v>
      </c>
      <c r="G208" s="72" t="s">
        <v>343</v>
      </c>
      <c r="H208" s="101">
        <f t="shared" si="71"/>
        <v>1.0780000000000001</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1.0780000000000001</v>
      </c>
      <c r="T208" s="79"/>
      <c r="U208" s="79"/>
    </row>
    <row r="209" spans="6:21" x14ac:dyDescent="0.25">
      <c r="F209" s="28" t="s">
        <v>164</v>
      </c>
      <c r="G209" s="72" t="s">
        <v>343</v>
      </c>
      <c r="H209" s="101">
        <f t="shared" si="71"/>
        <v>1.0780000000000001</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1.0780000000000001</v>
      </c>
      <c r="T209" s="79"/>
      <c r="U209" s="79"/>
    </row>
    <row r="210" spans="6:21" x14ac:dyDescent="0.25">
      <c r="F210" s="28" t="s">
        <v>165</v>
      </c>
      <c r="G210" s="72" t="s">
        <v>343</v>
      </c>
      <c r="H210" s="101">
        <f t="shared" si="71"/>
        <v>1.0780000000000001</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1.0780000000000001</v>
      </c>
      <c r="T210" s="79"/>
      <c r="U210" s="79"/>
    </row>
    <row r="211" spans="6:21" x14ac:dyDescent="0.25">
      <c r="F211" s="28" t="s">
        <v>166</v>
      </c>
      <c r="G211" s="72" t="s">
        <v>343</v>
      </c>
      <c r="H211" s="101">
        <f t="shared" si="71"/>
        <v>1.0780000000000001</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1.0780000000000001</v>
      </c>
      <c r="T211" s="79"/>
      <c r="U211" s="79"/>
    </row>
    <row r="212" spans="6:21" x14ac:dyDescent="0.25">
      <c r="F212" s="28" t="s">
        <v>167</v>
      </c>
      <c r="G212" s="72" t="s">
        <v>343</v>
      </c>
      <c r="H212" s="101">
        <f t="shared" si="71"/>
        <v>1.0780000000000001</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1.0780000000000001</v>
      </c>
      <c r="T212" s="79"/>
      <c r="U212" s="79"/>
    </row>
    <row r="213" spans="6:21" x14ac:dyDescent="0.25">
      <c r="F213" s="28" t="s">
        <v>168</v>
      </c>
      <c r="G213" s="72" t="s">
        <v>343</v>
      </c>
      <c r="H213" s="101">
        <f t="shared" si="71"/>
        <v>1.0780000000000001</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1.0780000000000001</v>
      </c>
      <c r="T213" s="79"/>
      <c r="U213" s="79"/>
    </row>
    <row r="214" spans="6:21" x14ac:dyDescent="0.25">
      <c r="F214" s="28" t="s">
        <v>169</v>
      </c>
      <c r="G214" s="72" t="s">
        <v>343</v>
      </c>
      <c r="H214" s="101">
        <f t="shared" si="71"/>
        <v>1.0469999999999999</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1.0469999999999999</v>
      </c>
      <c r="S214" s="101">
        <f>OR(SUM(S102:$S102) = 1, SUM(S102:$S102) = -1) * S$29</f>
        <v>0</v>
      </c>
      <c r="T214" s="79"/>
      <c r="U214" s="79"/>
    </row>
    <row r="215" spans="6:21" x14ac:dyDescent="0.25">
      <c r="F215" s="28" t="s">
        <v>170</v>
      </c>
      <c r="G215" s="72" t="s">
        <v>343</v>
      </c>
      <c r="H215" s="101">
        <f t="shared" si="71"/>
        <v>1.0780000000000001</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1.0780000000000001</v>
      </c>
      <c r="T215" s="79"/>
      <c r="U215" s="79"/>
    </row>
    <row r="216" spans="6:21" x14ac:dyDescent="0.25">
      <c r="F216" s="28" t="s">
        <v>171</v>
      </c>
      <c r="G216" s="72" t="s">
        <v>343</v>
      </c>
      <c r="H216" s="101">
        <f t="shared" si="71"/>
        <v>1.0780000000000001</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1.0780000000000001</v>
      </c>
      <c r="T216" s="79"/>
      <c r="U216" s="79"/>
    </row>
    <row r="217" spans="6:21" x14ac:dyDescent="0.25">
      <c r="F217" s="28" t="s">
        <v>172</v>
      </c>
      <c r="G217" s="72" t="s">
        <v>343</v>
      </c>
      <c r="H217" s="101">
        <f t="shared" si="71"/>
        <v>1.0780000000000001</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1.0780000000000001</v>
      </c>
      <c r="T217" s="79"/>
      <c r="U217" s="79"/>
    </row>
    <row r="218" spans="6:21" x14ac:dyDescent="0.25">
      <c r="F218" s="28" t="s">
        <v>173</v>
      </c>
      <c r="G218" s="72" t="s">
        <v>343</v>
      </c>
      <c r="H218" s="101">
        <f t="shared" si="71"/>
        <v>1.0780000000000001</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1.0780000000000001</v>
      </c>
      <c r="T218" s="79"/>
      <c r="U218" s="79"/>
    </row>
    <row r="219" spans="6:21" x14ac:dyDescent="0.25">
      <c r="F219" s="28" t="s">
        <v>174</v>
      </c>
      <c r="G219" s="72" t="s">
        <v>343</v>
      </c>
      <c r="H219" s="101">
        <f t="shared" si="71"/>
        <v>1.0469999999999999</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1.0469999999999999</v>
      </c>
      <c r="S219" s="101">
        <f>OR(SUM(S107:$S107) = 1, SUM(S107:$S107) = -1) * S$29</f>
        <v>0</v>
      </c>
      <c r="T219" s="79"/>
      <c r="U219" s="79"/>
    </row>
    <row r="220" spans="6:21" x14ac:dyDescent="0.25">
      <c r="F220" s="28" t="s">
        <v>175</v>
      </c>
      <c r="G220" s="72" t="s">
        <v>343</v>
      </c>
      <c r="H220" s="101">
        <f t="shared" si="71"/>
        <v>1.0469999999999999</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1.0469999999999999</v>
      </c>
      <c r="S220" s="101">
        <f>OR(SUM(S108:$S108) = 1, SUM(S108:$S108) = -1) * S$29</f>
        <v>0</v>
      </c>
      <c r="T220" s="79"/>
      <c r="U220" s="79"/>
    </row>
    <row r="221" spans="6:21" x14ac:dyDescent="0.25">
      <c r="F221" s="28" t="s">
        <v>176</v>
      </c>
      <c r="G221" s="72" t="s">
        <v>343</v>
      </c>
      <c r="H221" s="101">
        <f t="shared" si="71"/>
        <v>1.0469999999999999</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1.0469999999999999</v>
      </c>
      <c r="S221" s="101">
        <f>OR(SUM(S109:$S109) = 1, SUM(S109:$S109) = -1) * S$29</f>
        <v>0</v>
      </c>
      <c r="T221" s="79"/>
      <c r="U221" s="79"/>
    </row>
    <row r="222" spans="6:21" x14ac:dyDescent="0.25">
      <c r="F222" s="28" t="s">
        <v>177</v>
      </c>
      <c r="G222" s="72" t="s">
        <v>343</v>
      </c>
      <c r="H222" s="101">
        <f t="shared" si="71"/>
        <v>1.0469999999999999</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1.0469999999999999</v>
      </c>
      <c r="S222" s="101">
        <f>OR(SUM(S110:$S110) = 1, SUM(S110:$S110) = -1) * S$29</f>
        <v>0</v>
      </c>
      <c r="T222" s="79"/>
      <c r="U222" s="79"/>
    </row>
    <row r="223" spans="6:21" x14ac:dyDescent="0.25">
      <c r="F223" s="28" t="s">
        <v>178</v>
      </c>
      <c r="G223" s="72" t="s">
        <v>343</v>
      </c>
      <c r="H223" s="101">
        <f t="shared" si="71"/>
        <v>1.036</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0</v>
      </c>
      <c r="Q223" s="101">
        <f>OR(SUM(Q111:$S111) = 1, SUM(Q111:$S111) = -1) * Q$29</f>
        <v>1.036</v>
      </c>
      <c r="R223" s="101">
        <f>OR(SUM(R111:$S111) = 1, SUM(R111:$S111) = -1) * R$29</f>
        <v>0</v>
      </c>
      <c r="S223" s="101">
        <f>OR(SUM(S111:$S111) = 1, SUM(S111:$S111) = -1) * S$29</f>
        <v>0</v>
      </c>
      <c r="T223" s="79"/>
      <c r="U223" s="79"/>
    </row>
    <row r="224" spans="6:21" x14ac:dyDescent="0.25">
      <c r="F224" s="28" t="s">
        <v>179</v>
      </c>
      <c r="G224" s="72" t="s">
        <v>343</v>
      </c>
      <c r="H224" s="101">
        <f t="shared" si="71"/>
        <v>1.036</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0</v>
      </c>
      <c r="Q224" s="101">
        <f>OR(SUM(Q112:$S112) = 1, SUM(Q112:$S112) = -1) * Q$29</f>
        <v>1.036</v>
      </c>
      <c r="R224" s="101">
        <f>OR(SUM(R112:$S112) = 1, SUM(R112:$S112) = -1) * R$29</f>
        <v>0</v>
      </c>
      <c r="S224" s="101">
        <f>OR(SUM(S112:$S112) = 1, SUM(S112:$S112) = -1) * S$29</f>
        <v>0</v>
      </c>
      <c r="T224" s="79"/>
      <c r="U224" s="79"/>
    </row>
    <row r="225" spans="5:23" x14ac:dyDescent="0.25">
      <c r="F225" s="28" t="s">
        <v>180</v>
      </c>
      <c r="G225" s="72" t="s">
        <v>343</v>
      </c>
      <c r="H225" s="101">
        <f t="shared" si="71"/>
        <v>1.036</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0</v>
      </c>
      <c r="Q225" s="101">
        <f>OR(SUM(Q113:$S113) = 1, SUM(Q113:$S113) = -1) * Q$29</f>
        <v>1.036</v>
      </c>
      <c r="R225" s="101">
        <f>OR(SUM(R113:$S113) = 1, SUM(R113:$S113) = -1) * R$29</f>
        <v>0</v>
      </c>
      <c r="S225" s="101">
        <f>OR(SUM(S113:$S113) = 1, SUM(S113:$S113) = -1) * S$29</f>
        <v>0</v>
      </c>
      <c r="T225" s="79"/>
      <c r="U225" s="79"/>
    </row>
    <row r="226" spans="5:23" x14ac:dyDescent="0.25">
      <c r="F226" s="67" t="s">
        <v>181</v>
      </c>
      <c r="G226" s="80" t="s">
        <v>343</v>
      </c>
      <c r="H226" s="103">
        <f t="shared" si="71"/>
        <v>1.036</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0</v>
      </c>
      <c r="Q226" s="103">
        <f>OR(SUM(Q114:$S114) = 1, SUM(Q114:$S114) = -1) * Q$29</f>
        <v>1.036</v>
      </c>
      <c r="R226" s="103">
        <f>OR(SUM(R114:$S114) = 1, SUM(R114:$S114) = -1) * R$29</f>
        <v>0</v>
      </c>
      <c r="S226" s="103">
        <f>OR(SUM(S114:$S114) = 1, SUM(S114:$S114) = -1) * S$29</f>
        <v>0</v>
      </c>
      <c r="T226" s="81"/>
      <c r="U226" s="81"/>
    </row>
    <row r="227" spans="5:23" x14ac:dyDescent="0.25">
      <c r="G227" s="13"/>
    </row>
    <row r="228" spans="5:23" x14ac:dyDescent="0.25">
      <c r="E228" s="32" t="s">
        <v>469</v>
      </c>
      <c r="G228" s="13"/>
      <c r="I228" t="s">
        <v>191</v>
      </c>
      <c r="W228" s="3" t="s">
        <v>470</v>
      </c>
    </row>
    <row r="229" spans="5:23" x14ac:dyDescent="0.25">
      <c r="E229" s="29" t="s">
        <v>462</v>
      </c>
      <c r="G229" s="13"/>
    </row>
    <row r="230" spans="5:23" x14ac:dyDescent="0.25">
      <c r="F230" s="64" t="s">
        <v>149</v>
      </c>
      <c r="G230" s="78" t="s">
        <v>343</v>
      </c>
      <c r="H230" s="132"/>
      <c r="I230" s="23"/>
      <c r="J230" s="104">
        <f>$H194 * J155</f>
        <v>1.0780000000000001</v>
      </c>
      <c r="K230" s="104">
        <f t="shared" ref="K230:S230" si="72">$H194 * K155</f>
        <v>1.0780000000000001</v>
      </c>
      <c r="L230" s="104">
        <f t="shared" si="72"/>
        <v>1.0780000000000001</v>
      </c>
      <c r="M230" s="104">
        <f t="shared" si="72"/>
        <v>0.99710219855719762</v>
      </c>
      <c r="N230" s="104">
        <f t="shared" si="72"/>
        <v>0.99710219855719762</v>
      </c>
      <c r="O230" s="104">
        <f t="shared" si="72"/>
        <v>0.99710219855719762</v>
      </c>
      <c r="P230" s="104">
        <f t="shared" si="72"/>
        <v>8.0897801442802481E-2</v>
      </c>
      <c r="Q230" s="104">
        <f t="shared" si="72"/>
        <v>1.0780000000000001</v>
      </c>
      <c r="R230" s="104">
        <f t="shared" si="72"/>
        <v>1.0780000000000001</v>
      </c>
      <c r="S230" s="104">
        <f t="shared" si="72"/>
        <v>1.0780000000000001</v>
      </c>
      <c r="T230" s="83"/>
      <c r="U230" s="83"/>
    </row>
    <row r="231" spans="5:23" x14ac:dyDescent="0.25">
      <c r="F231" s="28" t="s">
        <v>150</v>
      </c>
      <c r="G231" s="72" t="s">
        <v>343</v>
      </c>
      <c r="H231" s="63"/>
      <c r="J231" s="124">
        <f t="shared" ref="J231:S231" si="73">$H195 * J156</f>
        <v>1.0780000000000001</v>
      </c>
      <c r="K231" s="124">
        <f t="shared" si="73"/>
        <v>1.0780000000000001</v>
      </c>
      <c r="L231" s="124">
        <f t="shared" si="73"/>
        <v>1.0780000000000001</v>
      </c>
      <c r="M231" s="124">
        <f t="shared" si="73"/>
        <v>0.99710219855719762</v>
      </c>
      <c r="N231" s="124">
        <f t="shared" si="73"/>
        <v>0.99710219855719762</v>
      </c>
      <c r="O231" s="124">
        <f t="shared" si="73"/>
        <v>0.99710219855719762</v>
      </c>
      <c r="P231" s="124">
        <f t="shared" si="73"/>
        <v>8.0897801442802481E-2</v>
      </c>
      <c r="Q231" s="124">
        <f t="shared" si="73"/>
        <v>1.0780000000000001</v>
      </c>
      <c r="R231" s="124">
        <f t="shared" si="73"/>
        <v>1.0780000000000001</v>
      </c>
      <c r="S231" s="124">
        <f t="shared" si="73"/>
        <v>1.0780000000000001</v>
      </c>
      <c r="T231" s="79"/>
      <c r="U231" s="79"/>
      <c r="W231" s="3"/>
    </row>
    <row r="232" spans="5:23" x14ac:dyDescent="0.25">
      <c r="F232" s="28" t="s">
        <v>151</v>
      </c>
      <c r="G232" s="72" t="s">
        <v>343</v>
      </c>
      <c r="H232" s="63"/>
      <c r="J232" s="124">
        <f t="shared" ref="J232:S232" si="74">$H196 * J157</f>
        <v>1.0780000000000001</v>
      </c>
      <c r="K232" s="124">
        <f t="shared" si="74"/>
        <v>1.0780000000000001</v>
      </c>
      <c r="L232" s="124">
        <f t="shared" si="74"/>
        <v>1.0780000000000001</v>
      </c>
      <c r="M232" s="124">
        <f t="shared" si="74"/>
        <v>0.99710219855719762</v>
      </c>
      <c r="N232" s="124">
        <f t="shared" si="74"/>
        <v>0.99710219855719762</v>
      </c>
      <c r="O232" s="124">
        <f t="shared" si="74"/>
        <v>0.99710219855719762</v>
      </c>
      <c r="P232" s="124">
        <f t="shared" si="74"/>
        <v>8.0897801442802481E-2</v>
      </c>
      <c r="Q232" s="124">
        <f t="shared" si="74"/>
        <v>1.0780000000000001</v>
      </c>
      <c r="R232" s="124">
        <f t="shared" si="74"/>
        <v>1.0780000000000001</v>
      </c>
      <c r="S232" s="124">
        <f t="shared" si="74"/>
        <v>1.0780000000000001</v>
      </c>
      <c r="T232" s="79"/>
      <c r="U232" s="79"/>
      <c r="W232" s="3"/>
    </row>
    <row r="233" spans="5:23" x14ac:dyDescent="0.25">
      <c r="F233" s="28" t="s">
        <v>152</v>
      </c>
      <c r="G233" s="72" t="s">
        <v>343</v>
      </c>
      <c r="H233" s="63"/>
      <c r="J233" s="124">
        <f t="shared" ref="J233:S233" si="75">$H197 * J158</f>
        <v>1.0780000000000001</v>
      </c>
      <c r="K233" s="124">
        <f t="shared" si="75"/>
        <v>1.0780000000000001</v>
      </c>
      <c r="L233" s="124">
        <f t="shared" si="75"/>
        <v>1.0780000000000001</v>
      </c>
      <c r="M233" s="124">
        <f t="shared" si="75"/>
        <v>0.99710219855719762</v>
      </c>
      <c r="N233" s="124">
        <f t="shared" si="75"/>
        <v>0.99710219855719762</v>
      </c>
      <c r="O233" s="124">
        <f t="shared" si="75"/>
        <v>0.99710219855719762</v>
      </c>
      <c r="P233" s="124">
        <f t="shared" si="75"/>
        <v>8.0897801442802481E-2</v>
      </c>
      <c r="Q233" s="124">
        <f t="shared" si="75"/>
        <v>1.0780000000000001</v>
      </c>
      <c r="R233" s="124">
        <f t="shared" si="75"/>
        <v>1.0780000000000001</v>
      </c>
      <c r="S233" s="124">
        <f t="shared" si="75"/>
        <v>1.0780000000000001</v>
      </c>
      <c r="T233" s="79"/>
      <c r="U233" s="79"/>
    </row>
    <row r="234" spans="5:23" x14ac:dyDescent="0.25">
      <c r="F234" s="28" t="s">
        <v>153</v>
      </c>
      <c r="G234" s="72" t="s">
        <v>343</v>
      </c>
      <c r="H234" s="63"/>
      <c r="J234" s="124">
        <f t="shared" ref="J234:S234" si="76">$H198 * J159</f>
        <v>1.0780000000000001</v>
      </c>
      <c r="K234" s="124">
        <f t="shared" si="76"/>
        <v>1.0780000000000001</v>
      </c>
      <c r="L234" s="124">
        <f t="shared" si="76"/>
        <v>1.0780000000000001</v>
      </c>
      <c r="M234" s="124">
        <f t="shared" si="76"/>
        <v>0.99710219855719762</v>
      </c>
      <c r="N234" s="124">
        <f t="shared" si="76"/>
        <v>0.99710219855719762</v>
      </c>
      <c r="O234" s="124">
        <f t="shared" si="76"/>
        <v>0.99710219855719762</v>
      </c>
      <c r="P234" s="124">
        <f t="shared" si="76"/>
        <v>8.0897801442802481E-2</v>
      </c>
      <c r="Q234" s="124">
        <f t="shared" si="76"/>
        <v>1.0780000000000001</v>
      </c>
      <c r="R234" s="124">
        <f t="shared" si="76"/>
        <v>1.0780000000000001</v>
      </c>
      <c r="S234" s="124">
        <f t="shared" si="76"/>
        <v>1.0780000000000001</v>
      </c>
      <c r="T234" s="79"/>
      <c r="U234" s="79"/>
    </row>
    <row r="235" spans="5:23" x14ac:dyDescent="0.25">
      <c r="F235" s="28" t="s">
        <v>154</v>
      </c>
      <c r="G235" s="72" t="s">
        <v>343</v>
      </c>
      <c r="H235" s="63"/>
      <c r="J235" s="124">
        <f t="shared" ref="J235:S235" si="77">$H199 * J160</f>
        <v>1.0780000000000001</v>
      </c>
      <c r="K235" s="124">
        <f t="shared" si="77"/>
        <v>1.0780000000000001</v>
      </c>
      <c r="L235" s="124">
        <f t="shared" si="77"/>
        <v>1.0780000000000001</v>
      </c>
      <c r="M235" s="124">
        <f t="shared" si="77"/>
        <v>0.99710219855719762</v>
      </c>
      <c r="N235" s="124">
        <f t="shared" si="77"/>
        <v>0.99710219855719762</v>
      </c>
      <c r="O235" s="124">
        <f t="shared" si="77"/>
        <v>0.99710219855719762</v>
      </c>
      <c r="P235" s="124">
        <f t="shared" si="77"/>
        <v>8.0897801442802481E-2</v>
      </c>
      <c r="Q235" s="124">
        <f t="shared" si="77"/>
        <v>1.0780000000000001</v>
      </c>
      <c r="R235" s="124">
        <f t="shared" si="77"/>
        <v>1.0780000000000001</v>
      </c>
      <c r="S235" s="124">
        <f t="shared" si="77"/>
        <v>1.0780000000000001</v>
      </c>
      <c r="T235" s="79"/>
      <c r="U235" s="79"/>
    </row>
    <row r="236" spans="5:23" x14ac:dyDescent="0.25">
      <c r="F236" s="28" t="s">
        <v>155</v>
      </c>
      <c r="G236" s="72" t="s">
        <v>343</v>
      </c>
      <c r="H236" s="63"/>
      <c r="J236" s="124">
        <f t="shared" ref="J236:S236" si="78">$H200 * J161</f>
        <v>1.0780000000000001</v>
      </c>
      <c r="K236" s="124">
        <f t="shared" si="78"/>
        <v>1.0780000000000001</v>
      </c>
      <c r="L236" s="124">
        <f t="shared" si="78"/>
        <v>1.0780000000000001</v>
      </c>
      <c r="M236" s="124">
        <f t="shared" si="78"/>
        <v>0.99710219855719762</v>
      </c>
      <c r="N236" s="124">
        <f t="shared" si="78"/>
        <v>0.99710219855719762</v>
      </c>
      <c r="O236" s="124">
        <f t="shared" si="78"/>
        <v>0.99710219855719762</v>
      </c>
      <c r="P236" s="124">
        <f t="shared" si="78"/>
        <v>8.0897801442802481E-2</v>
      </c>
      <c r="Q236" s="124">
        <f t="shared" si="78"/>
        <v>1.0780000000000001</v>
      </c>
      <c r="R236" s="124">
        <f t="shared" si="78"/>
        <v>1.0780000000000001</v>
      </c>
      <c r="S236" s="124">
        <f t="shared" si="78"/>
        <v>1.0780000000000001</v>
      </c>
      <c r="T236" s="79"/>
      <c r="U236" s="79"/>
    </row>
    <row r="237" spans="5:23" x14ac:dyDescent="0.25">
      <c r="F237" s="28" t="s">
        <v>156</v>
      </c>
      <c r="G237" s="72" t="s">
        <v>343</v>
      </c>
      <c r="H237" s="63"/>
      <c r="J237" s="124">
        <f t="shared" ref="J237:S237" si="79">$H201 * J162</f>
        <v>1.0469999999999999</v>
      </c>
      <c r="K237" s="124">
        <f t="shared" si="79"/>
        <v>1.0469999999999999</v>
      </c>
      <c r="L237" s="124">
        <f t="shared" si="79"/>
        <v>1.0469999999999999</v>
      </c>
      <c r="M237" s="124">
        <f t="shared" si="79"/>
        <v>0.96842857318124842</v>
      </c>
      <c r="N237" s="124">
        <f t="shared" si="79"/>
        <v>0.96842857318124842</v>
      </c>
      <c r="O237" s="124">
        <f t="shared" si="79"/>
        <v>0.96842857318124842</v>
      </c>
      <c r="P237" s="124">
        <f t="shared" si="79"/>
        <v>7.8571426818751552E-2</v>
      </c>
      <c r="Q237" s="124">
        <f t="shared" si="79"/>
        <v>1.0469999999999999</v>
      </c>
      <c r="R237" s="124">
        <f t="shared" si="79"/>
        <v>1.0469999999999999</v>
      </c>
      <c r="S237" s="124">
        <f t="shared" si="79"/>
        <v>0</v>
      </c>
      <c r="T237" s="79"/>
      <c r="U237" s="79"/>
    </row>
    <row r="238" spans="5:23" x14ac:dyDescent="0.25">
      <c r="F238" s="28" t="s">
        <v>157</v>
      </c>
      <c r="G238" s="72" t="s">
        <v>343</v>
      </c>
      <c r="H238" s="63"/>
      <c r="J238" s="124">
        <f t="shared" ref="J238:S238" si="80">$H202 * J163</f>
        <v>1.036</v>
      </c>
      <c r="K238" s="124">
        <f t="shared" si="80"/>
        <v>1.036</v>
      </c>
      <c r="L238" s="124">
        <f t="shared" si="80"/>
        <v>1.036</v>
      </c>
      <c r="M238" s="124">
        <f t="shared" si="80"/>
        <v>0.95825406095107302</v>
      </c>
      <c r="N238" s="124">
        <f t="shared" si="80"/>
        <v>0.95825406095107302</v>
      </c>
      <c r="O238" s="124">
        <f t="shared" si="80"/>
        <v>0.95825406095107302</v>
      </c>
      <c r="P238" s="124">
        <f t="shared" si="80"/>
        <v>7.7745939048927057E-2</v>
      </c>
      <c r="Q238" s="124">
        <f t="shared" si="80"/>
        <v>1.036</v>
      </c>
      <c r="R238" s="124">
        <f t="shared" si="80"/>
        <v>0</v>
      </c>
      <c r="S238" s="124">
        <f t="shared" si="80"/>
        <v>0</v>
      </c>
      <c r="T238" s="79"/>
      <c r="U238" s="79"/>
    </row>
    <row r="239" spans="5:23" x14ac:dyDescent="0.25">
      <c r="F239" s="28" t="s">
        <v>158</v>
      </c>
      <c r="G239" s="72" t="s">
        <v>343</v>
      </c>
      <c r="H239" s="63"/>
      <c r="J239" s="124">
        <f t="shared" ref="J239:S239" si="81">$H203 * J164</f>
        <v>1.0780000000000001</v>
      </c>
      <c r="K239" s="124">
        <f t="shared" si="81"/>
        <v>1.0780000000000001</v>
      </c>
      <c r="L239" s="124">
        <f t="shared" si="81"/>
        <v>1.0780000000000001</v>
      </c>
      <c r="M239" s="124">
        <f t="shared" si="81"/>
        <v>0.99710219855719762</v>
      </c>
      <c r="N239" s="124">
        <f t="shared" si="81"/>
        <v>0.99710219855719762</v>
      </c>
      <c r="O239" s="124">
        <f t="shared" si="81"/>
        <v>0.99710219855719762</v>
      </c>
      <c r="P239" s="124">
        <f t="shared" si="81"/>
        <v>8.0897801442802481E-2</v>
      </c>
      <c r="Q239" s="124">
        <f t="shared" si="81"/>
        <v>1.0780000000000001</v>
      </c>
      <c r="R239" s="124">
        <f t="shared" si="81"/>
        <v>1.0780000000000001</v>
      </c>
      <c r="S239" s="124">
        <f t="shared" si="81"/>
        <v>1.0780000000000001</v>
      </c>
      <c r="T239" s="79"/>
      <c r="U239" s="79"/>
    </row>
    <row r="240" spans="5:23" x14ac:dyDescent="0.25">
      <c r="F240" s="28" t="s">
        <v>159</v>
      </c>
      <c r="G240" s="72" t="s">
        <v>343</v>
      </c>
      <c r="H240" s="63"/>
      <c r="J240" s="124">
        <f t="shared" ref="J240:S240" si="82">$H204 * J165</f>
        <v>1.0780000000000001</v>
      </c>
      <c r="K240" s="124">
        <f t="shared" si="82"/>
        <v>1.0780000000000001</v>
      </c>
      <c r="L240" s="124">
        <f t="shared" si="82"/>
        <v>1.0780000000000001</v>
      </c>
      <c r="M240" s="124">
        <f t="shared" si="82"/>
        <v>0.99710219855719762</v>
      </c>
      <c r="N240" s="124">
        <f t="shared" si="82"/>
        <v>0.99710219855719762</v>
      </c>
      <c r="O240" s="124">
        <f t="shared" si="82"/>
        <v>0.99710219855719762</v>
      </c>
      <c r="P240" s="124">
        <f t="shared" si="82"/>
        <v>8.0897801442802481E-2</v>
      </c>
      <c r="Q240" s="124">
        <f t="shared" si="82"/>
        <v>1.0780000000000001</v>
      </c>
      <c r="R240" s="124">
        <f t="shared" si="82"/>
        <v>1.0780000000000001</v>
      </c>
      <c r="S240" s="124">
        <f t="shared" si="82"/>
        <v>1.0780000000000001</v>
      </c>
      <c r="T240" s="79"/>
      <c r="U240" s="79"/>
    </row>
    <row r="241" spans="6:21" x14ac:dyDescent="0.25">
      <c r="F241" s="28" t="s">
        <v>160</v>
      </c>
      <c r="G241" s="72" t="s">
        <v>343</v>
      </c>
      <c r="H241" s="63"/>
      <c r="J241" s="124">
        <f t="shared" ref="J241:S241" si="83">$H205 * J166</f>
        <v>1.0780000000000001</v>
      </c>
      <c r="K241" s="124">
        <f t="shared" si="83"/>
        <v>1.0780000000000001</v>
      </c>
      <c r="L241" s="124">
        <f t="shared" si="83"/>
        <v>1.0780000000000001</v>
      </c>
      <c r="M241" s="124">
        <f t="shared" si="83"/>
        <v>0.99710219855719762</v>
      </c>
      <c r="N241" s="124">
        <f t="shared" si="83"/>
        <v>0.99710219855719762</v>
      </c>
      <c r="O241" s="124">
        <f t="shared" si="83"/>
        <v>0.99710219855719762</v>
      </c>
      <c r="P241" s="124">
        <f t="shared" si="83"/>
        <v>8.0897801442802481E-2</v>
      </c>
      <c r="Q241" s="124">
        <f t="shared" si="83"/>
        <v>1.0780000000000001</v>
      </c>
      <c r="R241" s="124">
        <f t="shared" si="83"/>
        <v>1.0780000000000001</v>
      </c>
      <c r="S241" s="124">
        <f t="shared" si="83"/>
        <v>1.0780000000000001</v>
      </c>
      <c r="T241" s="79"/>
      <c r="U241" s="79"/>
    </row>
    <row r="242" spans="6:21" x14ac:dyDescent="0.25">
      <c r="F242" s="28" t="s">
        <v>161</v>
      </c>
      <c r="G242" s="72" t="s">
        <v>343</v>
      </c>
      <c r="H242" s="63"/>
      <c r="J242" s="124">
        <f t="shared" ref="J242:S242" si="84">$H206 * J167</f>
        <v>1.0469999999999999</v>
      </c>
      <c r="K242" s="124">
        <f t="shared" si="84"/>
        <v>1.0469999999999999</v>
      </c>
      <c r="L242" s="124">
        <f t="shared" si="84"/>
        <v>1.0469999999999999</v>
      </c>
      <c r="M242" s="124">
        <f t="shared" si="84"/>
        <v>0.96842857318124842</v>
      </c>
      <c r="N242" s="124">
        <f t="shared" si="84"/>
        <v>0.96842857318124842</v>
      </c>
      <c r="O242" s="124">
        <f t="shared" si="84"/>
        <v>0.96842857318124842</v>
      </c>
      <c r="P242" s="124">
        <f t="shared" si="84"/>
        <v>7.8571426818751552E-2</v>
      </c>
      <c r="Q242" s="124">
        <f t="shared" si="84"/>
        <v>1.0469999999999999</v>
      </c>
      <c r="R242" s="124">
        <f t="shared" si="84"/>
        <v>1.0469999999999999</v>
      </c>
      <c r="S242" s="124">
        <f t="shared" si="84"/>
        <v>0</v>
      </c>
      <c r="T242" s="79"/>
      <c r="U242" s="79"/>
    </row>
    <row r="243" spans="6:21" x14ac:dyDescent="0.25">
      <c r="F243" s="28" t="s">
        <v>162</v>
      </c>
      <c r="G243" s="72" t="s">
        <v>343</v>
      </c>
      <c r="H243" s="63"/>
      <c r="J243" s="124">
        <f t="shared" ref="J243:S243" si="85">$H207 * J168</f>
        <v>1.036</v>
      </c>
      <c r="K243" s="124">
        <f t="shared" si="85"/>
        <v>1.036</v>
      </c>
      <c r="L243" s="124">
        <f t="shared" si="85"/>
        <v>1.036</v>
      </c>
      <c r="M243" s="124">
        <f t="shared" si="85"/>
        <v>0.95825406095107302</v>
      </c>
      <c r="N243" s="124">
        <f t="shared" si="85"/>
        <v>0.95825406095107302</v>
      </c>
      <c r="O243" s="124">
        <f t="shared" si="85"/>
        <v>0.95825406095107302</v>
      </c>
      <c r="P243" s="124">
        <f t="shared" si="85"/>
        <v>7.7745939048927057E-2</v>
      </c>
      <c r="Q243" s="124">
        <f t="shared" si="85"/>
        <v>1.036</v>
      </c>
      <c r="R243" s="124">
        <f t="shared" si="85"/>
        <v>0</v>
      </c>
      <c r="S243" s="124">
        <f t="shared" si="85"/>
        <v>0</v>
      </c>
      <c r="T243" s="79"/>
      <c r="U243" s="79"/>
    </row>
    <row r="244" spans="6:21" x14ac:dyDescent="0.25">
      <c r="F244" s="28" t="s">
        <v>163</v>
      </c>
      <c r="G244" s="72" t="s">
        <v>343</v>
      </c>
      <c r="H244" s="63"/>
      <c r="J244" s="124">
        <f t="shared" ref="J244:S244" si="86">$H208 * J169</f>
        <v>1.0780000000000001</v>
      </c>
      <c r="K244" s="124">
        <f t="shared" si="86"/>
        <v>1.0780000000000001</v>
      </c>
      <c r="L244" s="124">
        <f t="shared" si="86"/>
        <v>1.0780000000000001</v>
      </c>
      <c r="M244" s="124">
        <f t="shared" si="86"/>
        <v>0.99710219855719762</v>
      </c>
      <c r="N244" s="124">
        <f t="shared" si="86"/>
        <v>0.99710219855719762</v>
      </c>
      <c r="O244" s="124">
        <f t="shared" si="86"/>
        <v>0.99710219855719762</v>
      </c>
      <c r="P244" s="124">
        <f t="shared" si="86"/>
        <v>8.0897801442802481E-2</v>
      </c>
      <c r="Q244" s="124">
        <f t="shared" si="86"/>
        <v>1.0780000000000001</v>
      </c>
      <c r="R244" s="124">
        <f t="shared" si="86"/>
        <v>1.0780000000000001</v>
      </c>
      <c r="S244" s="124">
        <f t="shared" si="86"/>
        <v>1.0780000000000001</v>
      </c>
      <c r="T244" s="79"/>
      <c r="U244" s="79"/>
    </row>
    <row r="245" spans="6:21" x14ac:dyDescent="0.25">
      <c r="F245" s="28" t="s">
        <v>164</v>
      </c>
      <c r="G245" s="72" t="s">
        <v>343</v>
      </c>
      <c r="H245" s="63"/>
      <c r="J245" s="124">
        <f t="shared" ref="J245:S245" si="87">$H209 * J170</f>
        <v>1.0780000000000001</v>
      </c>
      <c r="K245" s="124">
        <f t="shared" si="87"/>
        <v>1.0780000000000001</v>
      </c>
      <c r="L245" s="124">
        <f t="shared" si="87"/>
        <v>1.0780000000000001</v>
      </c>
      <c r="M245" s="124">
        <f t="shared" si="87"/>
        <v>0.99710219855719762</v>
      </c>
      <c r="N245" s="124">
        <f t="shared" si="87"/>
        <v>0.99710219855719762</v>
      </c>
      <c r="O245" s="124">
        <f t="shared" si="87"/>
        <v>0.99710219855719762</v>
      </c>
      <c r="P245" s="124">
        <f t="shared" si="87"/>
        <v>8.0897801442802481E-2</v>
      </c>
      <c r="Q245" s="124">
        <f t="shared" si="87"/>
        <v>1.0780000000000001</v>
      </c>
      <c r="R245" s="124">
        <f t="shared" si="87"/>
        <v>1.0780000000000001</v>
      </c>
      <c r="S245" s="124">
        <f t="shared" si="87"/>
        <v>1.0780000000000001</v>
      </c>
      <c r="T245" s="79"/>
      <c r="U245" s="79"/>
    </row>
    <row r="246" spans="6:21" x14ac:dyDescent="0.25">
      <c r="F246" s="28" t="s">
        <v>165</v>
      </c>
      <c r="G246" s="72" t="s">
        <v>343</v>
      </c>
      <c r="H246" s="63"/>
      <c r="J246" s="124">
        <f t="shared" ref="J246:S246" si="88">$H210 * J171</f>
        <v>1.0780000000000001</v>
      </c>
      <c r="K246" s="124">
        <f t="shared" si="88"/>
        <v>1.0780000000000001</v>
      </c>
      <c r="L246" s="124">
        <f t="shared" si="88"/>
        <v>1.0780000000000001</v>
      </c>
      <c r="M246" s="124">
        <f t="shared" si="88"/>
        <v>0.99710219855719762</v>
      </c>
      <c r="N246" s="124">
        <f t="shared" si="88"/>
        <v>0.99710219855719762</v>
      </c>
      <c r="O246" s="124">
        <f t="shared" si="88"/>
        <v>0.99710219855719762</v>
      </c>
      <c r="P246" s="124">
        <f t="shared" si="88"/>
        <v>8.0897801442802481E-2</v>
      </c>
      <c r="Q246" s="124">
        <f t="shared" si="88"/>
        <v>1.0780000000000001</v>
      </c>
      <c r="R246" s="124">
        <f t="shared" si="88"/>
        <v>1.0780000000000001</v>
      </c>
      <c r="S246" s="124">
        <f t="shared" si="88"/>
        <v>1.0780000000000001</v>
      </c>
      <c r="T246" s="79"/>
      <c r="U246" s="79"/>
    </row>
    <row r="247" spans="6:21" x14ac:dyDescent="0.25">
      <c r="F247" s="28" t="s">
        <v>166</v>
      </c>
      <c r="G247" s="72" t="s">
        <v>343</v>
      </c>
      <c r="H247" s="63"/>
      <c r="J247" s="124">
        <f t="shared" ref="J247:S247" si="89">$H211 * J172</f>
        <v>1.0780000000000001</v>
      </c>
      <c r="K247" s="124">
        <f t="shared" si="89"/>
        <v>1.0780000000000001</v>
      </c>
      <c r="L247" s="124">
        <f t="shared" si="89"/>
        <v>1.0780000000000001</v>
      </c>
      <c r="M247" s="124">
        <f t="shared" si="89"/>
        <v>0.99710219855719762</v>
      </c>
      <c r="N247" s="124">
        <f t="shared" si="89"/>
        <v>0.99710219855719762</v>
      </c>
      <c r="O247" s="124">
        <f t="shared" si="89"/>
        <v>0.99710219855719762</v>
      </c>
      <c r="P247" s="124">
        <f t="shared" si="89"/>
        <v>8.0897801442802481E-2</v>
      </c>
      <c r="Q247" s="124">
        <f t="shared" si="89"/>
        <v>1.0780000000000001</v>
      </c>
      <c r="R247" s="124">
        <f t="shared" si="89"/>
        <v>1.0780000000000001</v>
      </c>
      <c r="S247" s="124">
        <f t="shared" si="89"/>
        <v>1.0780000000000001</v>
      </c>
      <c r="T247" s="79"/>
      <c r="U247" s="79"/>
    </row>
    <row r="248" spans="6:21" x14ac:dyDescent="0.25">
      <c r="F248" s="28" t="s">
        <v>167</v>
      </c>
      <c r="G248" s="72" t="s">
        <v>343</v>
      </c>
      <c r="H248" s="63"/>
      <c r="J248" s="124">
        <f t="shared" ref="J248:S248" si="90">$H212 * J173</f>
        <v>1.0780000000000001</v>
      </c>
      <c r="K248" s="124">
        <f t="shared" si="90"/>
        <v>1.0780000000000001</v>
      </c>
      <c r="L248" s="124">
        <f t="shared" si="90"/>
        <v>1.0780000000000001</v>
      </c>
      <c r="M248" s="124">
        <f t="shared" si="90"/>
        <v>0.99710219855719762</v>
      </c>
      <c r="N248" s="124">
        <f t="shared" si="90"/>
        <v>0.99710219855719762</v>
      </c>
      <c r="O248" s="124">
        <f t="shared" si="90"/>
        <v>0.99710219855719762</v>
      </c>
      <c r="P248" s="124">
        <f t="shared" si="90"/>
        <v>8.0897801442802481E-2</v>
      </c>
      <c r="Q248" s="124">
        <f t="shared" si="90"/>
        <v>1.0780000000000001</v>
      </c>
      <c r="R248" s="124">
        <f t="shared" si="90"/>
        <v>1.0780000000000001</v>
      </c>
      <c r="S248" s="124">
        <f t="shared" si="90"/>
        <v>1.0780000000000001</v>
      </c>
      <c r="T248" s="79"/>
      <c r="U248" s="79"/>
    </row>
    <row r="249" spans="6:21" x14ac:dyDescent="0.25">
      <c r="F249" s="28" t="s">
        <v>168</v>
      </c>
      <c r="G249" s="72" t="s">
        <v>343</v>
      </c>
      <c r="H249" s="63"/>
      <c r="J249" s="124">
        <f t="shared" ref="J249:S249" si="91">$H213 * J174</f>
        <v>-1.0780000000000001</v>
      </c>
      <c r="K249" s="124">
        <f t="shared" si="91"/>
        <v>-1.0780000000000001</v>
      </c>
      <c r="L249" s="124">
        <f t="shared" si="91"/>
        <v>-1.0780000000000001</v>
      </c>
      <c r="M249" s="124">
        <f t="shared" si="91"/>
        <v>-0.99710219855719762</v>
      </c>
      <c r="N249" s="124">
        <f t="shared" si="91"/>
        <v>-0.99710219855719762</v>
      </c>
      <c r="O249" s="124">
        <f t="shared" si="91"/>
        <v>-0.99710219855719762</v>
      </c>
      <c r="P249" s="124">
        <f t="shared" si="91"/>
        <v>-8.0897801442802481E-2</v>
      </c>
      <c r="Q249" s="124">
        <f t="shared" si="91"/>
        <v>-1.0780000000000001</v>
      </c>
      <c r="R249" s="124">
        <f t="shared" si="91"/>
        <v>-1.0780000000000001</v>
      </c>
      <c r="S249" s="124">
        <f t="shared" si="91"/>
        <v>0</v>
      </c>
      <c r="T249" s="79"/>
      <c r="U249" s="79"/>
    </row>
    <row r="250" spans="6:21" x14ac:dyDescent="0.25">
      <c r="F250" s="28" t="s">
        <v>169</v>
      </c>
      <c r="G250" s="72" t="s">
        <v>343</v>
      </c>
      <c r="H250" s="63"/>
      <c r="J250" s="124">
        <f t="shared" ref="J250:S250" si="92">$H214 * J175</f>
        <v>-1.0469999999999999</v>
      </c>
      <c r="K250" s="124">
        <f t="shared" si="92"/>
        <v>-1.0469999999999999</v>
      </c>
      <c r="L250" s="124">
        <f t="shared" si="92"/>
        <v>-1.0469999999999999</v>
      </c>
      <c r="M250" s="124">
        <f t="shared" si="92"/>
        <v>-0.96842857318124842</v>
      </c>
      <c r="N250" s="124">
        <f t="shared" si="92"/>
        <v>-0.96842857318124842</v>
      </c>
      <c r="O250" s="124">
        <f t="shared" si="92"/>
        <v>-0.96842857318124842</v>
      </c>
      <c r="P250" s="124">
        <f t="shared" si="92"/>
        <v>-7.8571426818751552E-2</v>
      </c>
      <c r="Q250" s="124">
        <f t="shared" si="92"/>
        <v>-1.0469999999999999</v>
      </c>
      <c r="R250" s="124">
        <f t="shared" si="92"/>
        <v>0</v>
      </c>
      <c r="S250" s="124">
        <f t="shared" si="92"/>
        <v>0</v>
      </c>
      <c r="T250" s="79"/>
      <c r="U250" s="79"/>
    </row>
    <row r="251" spans="6:21" x14ac:dyDescent="0.25">
      <c r="F251" s="28" t="s">
        <v>170</v>
      </c>
      <c r="G251" s="72" t="s">
        <v>343</v>
      </c>
      <c r="H251" s="63"/>
      <c r="J251" s="124">
        <f t="shared" ref="J251:S251" si="93">$H215 * J176</f>
        <v>-1.0780000000000001</v>
      </c>
      <c r="K251" s="124">
        <f t="shared" si="93"/>
        <v>-1.0780000000000001</v>
      </c>
      <c r="L251" s="124">
        <f t="shared" si="93"/>
        <v>-1.0780000000000001</v>
      </c>
      <c r="M251" s="124">
        <f t="shared" si="93"/>
        <v>-0.99710219855719762</v>
      </c>
      <c r="N251" s="124">
        <f t="shared" si="93"/>
        <v>-0.99710219855719762</v>
      </c>
      <c r="O251" s="124">
        <f t="shared" si="93"/>
        <v>-0.99710219855719762</v>
      </c>
      <c r="P251" s="124">
        <f t="shared" si="93"/>
        <v>-8.0897801442802481E-2</v>
      </c>
      <c r="Q251" s="124">
        <f t="shared" si="93"/>
        <v>-1.0780000000000001</v>
      </c>
      <c r="R251" s="124">
        <f t="shared" si="93"/>
        <v>-1.0780000000000001</v>
      </c>
      <c r="S251" s="124">
        <f t="shared" si="93"/>
        <v>0</v>
      </c>
      <c r="T251" s="79"/>
      <c r="U251" s="79"/>
    </row>
    <row r="252" spans="6:21" x14ac:dyDescent="0.25">
      <c r="F252" s="28" t="s">
        <v>171</v>
      </c>
      <c r="G252" s="72" t="s">
        <v>343</v>
      </c>
      <c r="H252" s="63"/>
      <c r="J252" s="124">
        <f t="shared" ref="J252:S252" si="94">$H216 * J177</f>
        <v>-1.0780000000000001</v>
      </c>
      <c r="K252" s="124">
        <f t="shared" si="94"/>
        <v>-1.0780000000000001</v>
      </c>
      <c r="L252" s="124">
        <f t="shared" si="94"/>
        <v>-1.0780000000000001</v>
      </c>
      <c r="M252" s="124">
        <f t="shared" si="94"/>
        <v>-0.99710219855719762</v>
      </c>
      <c r="N252" s="124">
        <f t="shared" si="94"/>
        <v>-0.99710219855719762</v>
      </c>
      <c r="O252" s="124">
        <f t="shared" si="94"/>
        <v>-0.99710219855719762</v>
      </c>
      <c r="P252" s="124">
        <f t="shared" si="94"/>
        <v>-8.0897801442802481E-2</v>
      </c>
      <c r="Q252" s="124">
        <f t="shared" si="94"/>
        <v>-1.0780000000000001</v>
      </c>
      <c r="R252" s="124">
        <f t="shared" si="94"/>
        <v>-1.0780000000000001</v>
      </c>
      <c r="S252" s="124">
        <f t="shared" si="94"/>
        <v>0</v>
      </c>
      <c r="T252" s="79"/>
      <c r="U252" s="79"/>
    </row>
    <row r="253" spans="6:21" x14ac:dyDescent="0.25">
      <c r="F253" s="28" t="s">
        <v>172</v>
      </c>
      <c r="G253" s="72" t="s">
        <v>343</v>
      </c>
      <c r="H253" s="63"/>
      <c r="J253" s="124">
        <f t="shared" ref="J253:S253" si="95">$H217 * J178</f>
        <v>-1.0780000000000001</v>
      </c>
      <c r="K253" s="124">
        <f t="shared" si="95"/>
        <v>-1.0780000000000001</v>
      </c>
      <c r="L253" s="124">
        <f t="shared" si="95"/>
        <v>-1.0780000000000001</v>
      </c>
      <c r="M253" s="124">
        <f t="shared" si="95"/>
        <v>-0.99710219855719762</v>
      </c>
      <c r="N253" s="124">
        <f t="shared" si="95"/>
        <v>-0.99710219855719762</v>
      </c>
      <c r="O253" s="124">
        <f t="shared" si="95"/>
        <v>-0.99710219855719762</v>
      </c>
      <c r="P253" s="124">
        <f t="shared" si="95"/>
        <v>-8.0897801442802481E-2</v>
      </c>
      <c r="Q253" s="124">
        <f t="shared" si="95"/>
        <v>-1.0780000000000001</v>
      </c>
      <c r="R253" s="124">
        <f t="shared" si="95"/>
        <v>-1.0780000000000001</v>
      </c>
      <c r="S253" s="124">
        <f t="shared" si="95"/>
        <v>0</v>
      </c>
      <c r="T253" s="79"/>
      <c r="U253" s="79"/>
    </row>
    <row r="254" spans="6:21" x14ac:dyDescent="0.25">
      <c r="F254" s="28" t="s">
        <v>173</v>
      </c>
      <c r="G254" s="72" t="s">
        <v>343</v>
      </c>
      <c r="H254" s="63"/>
      <c r="J254" s="124">
        <f t="shared" ref="J254:S254" si="96">$H218 * J179</f>
        <v>-1.0780000000000001</v>
      </c>
      <c r="K254" s="124">
        <f t="shared" si="96"/>
        <v>-1.0780000000000001</v>
      </c>
      <c r="L254" s="124">
        <f t="shared" si="96"/>
        <v>-1.0780000000000001</v>
      </c>
      <c r="M254" s="124">
        <f t="shared" si="96"/>
        <v>-0.99710219855719762</v>
      </c>
      <c r="N254" s="124">
        <f t="shared" si="96"/>
        <v>-0.99710219855719762</v>
      </c>
      <c r="O254" s="124">
        <f t="shared" si="96"/>
        <v>-0.99710219855719762</v>
      </c>
      <c r="P254" s="124">
        <f t="shared" si="96"/>
        <v>-8.0897801442802481E-2</v>
      </c>
      <c r="Q254" s="124">
        <f t="shared" si="96"/>
        <v>-1.0780000000000001</v>
      </c>
      <c r="R254" s="124">
        <f t="shared" si="96"/>
        <v>-1.0780000000000001</v>
      </c>
      <c r="S254" s="124">
        <f t="shared" si="96"/>
        <v>0</v>
      </c>
      <c r="T254" s="79"/>
      <c r="U254" s="79"/>
    </row>
    <row r="255" spans="6:21" x14ac:dyDescent="0.25">
      <c r="F255" s="28" t="s">
        <v>174</v>
      </c>
      <c r="G255" s="72" t="s">
        <v>343</v>
      </c>
      <c r="H255" s="63"/>
      <c r="J255" s="124">
        <f t="shared" ref="J255:S255" si="97">$H219 * J180</f>
        <v>-1.0469999999999999</v>
      </c>
      <c r="K255" s="124">
        <f t="shared" si="97"/>
        <v>-1.0469999999999999</v>
      </c>
      <c r="L255" s="124">
        <f t="shared" si="97"/>
        <v>-1.0469999999999999</v>
      </c>
      <c r="M255" s="124">
        <f t="shared" si="97"/>
        <v>-0.96842857318124842</v>
      </c>
      <c r="N255" s="124">
        <f t="shared" si="97"/>
        <v>-0.96842857318124842</v>
      </c>
      <c r="O255" s="124">
        <f t="shared" si="97"/>
        <v>-0.96842857318124842</v>
      </c>
      <c r="P255" s="124">
        <f t="shared" si="97"/>
        <v>-7.8571426818751552E-2</v>
      </c>
      <c r="Q255" s="124">
        <f t="shared" si="97"/>
        <v>-1.0469999999999999</v>
      </c>
      <c r="R255" s="124">
        <f t="shared" si="97"/>
        <v>0</v>
      </c>
      <c r="S255" s="124">
        <f t="shared" si="97"/>
        <v>0</v>
      </c>
      <c r="T255" s="79"/>
      <c r="U255" s="79"/>
    </row>
    <row r="256" spans="6:21" x14ac:dyDescent="0.25">
      <c r="F256" s="28" t="s">
        <v>175</v>
      </c>
      <c r="G256" s="72" t="s">
        <v>343</v>
      </c>
      <c r="H256" s="63"/>
      <c r="J256" s="124">
        <f t="shared" ref="J256:S256" si="98">$H220 * J181</f>
        <v>-1.0469999999999999</v>
      </c>
      <c r="K256" s="124">
        <f t="shared" si="98"/>
        <v>-1.0469999999999999</v>
      </c>
      <c r="L256" s="124">
        <f t="shared" si="98"/>
        <v>-1.0469999999999999</v>
      </c>
      <c r="M256" s="124">
        <f t="shared" si="98"/>
        <v>-0.96842857318124842</v>
      </c>
      <c r="N256" s="124">
        <f t="shared" si="98"/>
        <v>-0.96842857318124842</v>
      </c>
      <c r="O256" s="124">
        <f t="shared" si="98"/>
        <v>-0.96842857318124842</v>
      </c>
      <c r="P256" s="124">
        <f t="shared" si="98"/>
        <v>-7.8571426818751552E-2</v>
      </c>
      <c r="Q256" s="124">
        <f t="shared" si="98"/>
        <v>-1.0469999999999999</v>
      </c>
      <c r="R256" s="124">
        <f t="shared" si="98"/>
        <v>0</v>
      </c>
      <c r="S256" s="124">
        <f t="shared" si="98"/>
        <v>0</v>
      </c>
      <c r="T256" s="79"/>
      <c r="U256" s="79"/>
    </row>
    <row r="257" spans="5:23" x14ac:dyDescent="0.25">
      <c r="F257" s="28" t="s">
        <v>176</v>
      </c>
      <c r="G257" s="72" t="s">
        <v>343</v>
      </c>
      <c r="H257" s="63"/>
      <c r="J257" s="124">
        <f t="shared" ref="J257:S257" si="99">$H221 * J182</f>
        <v>-1.0469999999999999</v>
      </c>
      <c r="K257" s="124">
        <f t="shared" si="99"/>
        <v>-1.0469999999999999</v>
      </c>
      <c r="L257" s="124">
        <f t="shared" si="99"/>
        <v>-1.0469999999999999</v>
      </c>
      <c r="M257" s="124">
        <f t="shared" si="99"/>
        <v>-0.96842857318124842</v>
      </c>
      <c r="N257" s="124">
        <f t="shared" si="99"/>
        <v>-0.96842857318124842</v>
      </c>
      <c r="O257" s="124">
        <f t="shared" si="99"/>
        <v>-0.96842857318124842</v>
      </c>
      <c r="P257" s="124">
        <f t="shared" si="99"/>
        <v>-7.8571426818751552E-2</v>
      </c>
      <c r="Q257" s="124">
        <f t="shared" si="99"/>
        <v>-1.0469999999999999</v>
      </c>
      <c r="R257" s="124">
        <f t="shared" si="99"/>
        <v>0</v>
      </c>
      <c r="S257" s="124">
        <f t="shared" si="99"/>
        <v>0</v>
      </c>
      <c r="T257" s="79"/>
      <c r="U257" s="79"/>
    </row>
    <row r="258" spans="5:23" x14ac:dyDescent="0.25">
      <c r="F258" s="28" t="s">
        <v>177</v>
      </c>
      <c r="G258" s="72" t="s">
        <v>343</v>
      </c>
      <c r="H258" s="63"/>
      <c r="J258" s="124">
        <f t="shared" ref="J258:S258" si="100">$H222 * J183</f>
        <v>-1.0469999999999999</v>
      </c>
      <c r="K258" s="124">
        <f t="shared" si="100"/>
        <v>-1.0469999999999999</v>
      </c>
      <c r="L258" s="124">
        <f t="shared" si="100"/>
        <v>-1.0469999999999999</v>
      </c>
      <c r="M258" s="124">
        <f t="shared" si="100"/>
        <v>-0.96842857318124842</v>
      </c>
      <c r="N258" s="124">
        <f t="shared" si="100"/>
        <v>-0.96842857318124842</v>
      </c>
      <c r="O258" s="124">
        <f t="shared" si="100"/>
        <v>-0.96842857318124842</v>
      </c>
      <c r="P258" s="124">
        <f t="shared" si="100"/>
        <v>-7.8571426818751552E-2</v>
      </c>
      <c r="Q258" s="124">
        <f t="shared" si="100"/>
        <v>-1.0469999999999999</v>
      </c>
      <c r="R258" s="124">
        <f t="shared" si="100"/>
        <v>0</v>
      </c>
      <c r="S258" s="124">
        <f t="shared" si="100"/>
        <v>0</v>
      </c>
      <c r="T258" s="79"/>
      <c r="U258" s="79"/>
    </row>
    <row r="259" spans="5:23" x14ac:dyDescent="0.25">
      <c r="F259" s="28" t="s">
        <v>178</v>
      </c>
      <c r="G259" s="72" t="s">
        <v>343</v>
      </c>
      <c r="H259" s="63"/>
      <c r="J259" s="124">
        <f t="shared" ref="J259:S259" si="101">$H223 * J184</f>
        <v>-1.036</v>
      </c>
      <c r="K259" s="124">
        <f t="shared" si="101"/>
        <v>-1.036</v>
      </c>
      <c r="L259" s="124">
        <f t="shared" si="101"/>
        <v>-1.036</v>
      </c>
      <c r="M259" s="124">
        <f t="shared" si="101"/>
        <v>-0.95825406095107302</v>
      </c>
      <c r="N259" s="124">
        <f t="shared" si="101"/>
        <v>-0.95825406095107302</v>
      </c>
      <c r="O259" s="124">
        <f t="shared" si="101"/>
        <v>-0.95825406095107302</v>
      </c>
      <c r="P259" s="124">
        <f t="shared" si="101"/>
        <v>-7.7745939048927057E-2</v>
      </c>
      <c r="Q259" s="124">
        <f t="shared" si="101"/>
        <v>0</v>
      </c>
      <c r="R259" s="124">
        <f t="shared" si="101"/>
        <v>0</v>
      </c>
      <c r="S259" s="124">
        <f t="shared" si="101"/>
        <v>0</v>
      </c>
      <c r="T259" s="79"/>
      <c r="U259" s="79"/>
    </row>
    <row r="260" spans="5:23" x14ac:dyDescent="0.25">
      <c r="F260" s="28" t="s">
        <v>179</v>
      </c>
      <c r="G260" s="72" t="s">
        <v>343</v>
      </c>
      <c r="H260" s="63"/>
      <c r="J260" s="124">
        <f t="shared" ref="J260:S260" si="102">$H224 * J185</f>
        <v>-1.036</v>
      </c>
      <c r="K260" s="124">
        <f t="shared" si="102"/>
        <v>-1.036</v>
      </c>
      <c r="L260" s="124">
        <f t="shared" si="102"/>
        <v>-1.036</v>
      </c>
      <c r="M260" s="124">
        <f t="shared" si="102"/>
        <v>-0.95825406095107302</v>
      </c>
      <c r="N260" s="124">
        <f t="shared" si="102"/>
        <v>-0.95825406095107302</v>
      </c>
      <c r="O260" s="124">
        <f t="shared" si="102"/>
        <v>-0.95825406095107302</v>
      </c>
      <c r="P260" s="124">
        <f t="shared" si="102"/>
        <v>-7.7745939048927057E-2</v>
      </c>
      <c r="Q260" s="124">
        <f t="shared" si="102"/>
        <v>0</v>
      </c>
      <c r="R260" s="124">
        <f t="shared" si="102"/>
        <v>0</v>
      </c>
      <c r="S260" s="124">
        <f t="shared" si="102"/>
        <v>0</v>
      </c>
      <c r="T260" s="79"/>
      <c r="U260" s="79"/>
    </row>
    <row r="261" spans="5:23" x14ac:dyDescent="0.25">
      <c r="F261" s="28" t="s">
        <v>180</v>
      </c>
      <c r="G261" s="72" t="s">
        <v>343</v>
      </c>
      <c r="H261" s="63"/>
      <c r="J261" s="124">
        <f t="shared" ref="J261:S261" si="103">$H225 * J186</f>
        <v>-1.036</v>
      </c>
      <c r="K261" s="124">
        <f t="shared" si="103"/>
        <v>-1.036</v>
      </c>
      <c r="L261" s="124">
        <f t="shared" si="103"/>
        <v>-1.036</v>
      </c>
      <c r="M261" s="124">
        <f t="shared" si="103"/>
        <v>-0.95825406095107302</v>
      </c>
      <c r="N261" s="124">
        <f t="shared" si="103"/>
        <v>-0.95825406095107302</v>
      </c>
      <c r="O261" s="124">
        <f t="shared" si="103"/>
        <v>-0.95825406095107302</v>
      </c>
      <c r="P261" s="124">
        <f t="shared" si="103"/>
        <v>-7.7745939048927057E-2</v>
      </c>
      <c r="Q261" s="124">
        <f t="shared" si="103"/>
        <v>0</v>
      </c>
      <c r="R261" s="124">
        <f t="shared" si="103"/>
        <v>0</v>
      </c>
      <c r="S261" s="124">
        <f t="shared" si="103"/>
        <v>0</v>
      </c>
      <c r="T261" s="79"/>
      <c r="U261" s="79"/>
    </row>
    <row r="262" spans="5:23" x14ac:dyDescent="0.25">
      <c r="F262" s="67" t="s">
        <v>181</v>
      </c>
      <c r="G262" s="80" t="s">
        <v>343</v>
      </c>
      <c r="H262" s="133"/>
      <c r="I262" s="37"/>
      <c r="J262" s="134">
        <f t="shared" ref="J262:S262" si="104">$H226 * J187</f>
        <v>-1.036</v>
      </c>
      <c r="K262" s="134">
        <f t="shared" si="104"/>
        <v>-1.036</v>
      </c>
      <c r="L262" s="134">
        <f t="shared" si="104"/>
        <v>-1.036</v>
      </c>
      <c r="M262" s="134">
        <f t="shared" si="104"/>
        <v>-0.95825406095107302</v>
      </c>
      <c r="N262" s="134">
        <f t="shared" si="104"/>
        <v>-0.95825406095107302</v>
      </c>
      <c r="O262" s="134">
        <f t="shared" si="104"/>
        <v>-0.95825406095107302</v>
      </c>
      <c r="P262" s="134">
        <f t="shared" si="104"/>
        <v>-7.7745939048927057E-2</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465</v>
      </c>
      <c r="G264" s="13"/>
      <c r="I264" t="s">
        <v>191</v>
      </c>
      <c r="J264" s="92"/>
      <c r="K264" s="92"/>
      <c r="L264" s="92"/>
      <c r="M264" s="92"/>
      <c r="N264" s="92"/>
      <c r="O264" s="92"/>
      <c r="P264" s="92"/>
      <c r="Q264" s="92"/>
      <c r="R264" s="92"/>
      <c r="S264" s="92"/>
      <c r="T264" s="92"/>
      <c r="U264" s="92"/>
      <c r="W264" s="3" t="s">
        <v>470</v>
      </c>
    </row>
    <row r="265" spans="5:23" x14ac:dyDescent="0.25">
      <c r="E265" s="29" t="s">
        <v>462</v>
      </c>
      <c r="G265" s="13"/>
      <c r="J265" s="92"/>
      <c r="K265" s="92"/>
      <c r="L265" s="92"/>
      <c r="M265" s="92"/>
      <c r="N265" s="92"/>
      <c r="O265" s="92"/>
      <c r="P265" s="92"/>
      <c r="Q265" s="92"/>
      <c r="R265" s="92"/>
      <c r="S265" s="92"/>
      <c r="T265" s="92"/>
      <c r="U265" s="92"/>
    </row>
    <row r="266" spans="5:23" x14ac:dyDescent="0.25">
      <c r="F266" s="64" t="s">
        <v>149</v>
      </c>
      <c r="G266" s="78" t="s">
        <v>343</v>
      </c>
      <c r="H266" s="132"/>
      <c r="I266" s="23"/>
      <c r="J266" s="83"/>
      <c r="K266" s="83"/>
      <c r="L266" s="83"/>
      <c r="M266" s="83"/>
      <c r="N266" s="83"/>
      <c r="O266" s="83"/>
      <c r="P266" s="83"/>
      <c r="Q266" s="83"/>
      <c r="R266" s="83"/>
      <c r="S266" s="83"/>
      <c r="T266" s="83"/>
      <c r="U266" s="83"/>
    </row>
    <row r="267" spans="5:23" x14ac:dyDescent="0.25">
      <c r="F267" s="28" t="s">
        <v>150</v>
      </c>
      <c r="G267" s="72" t="s">
        <v>343</v>
      </c>
      <c r="H267" s="63"/>
      <c r="J267" s="79"/>
      <c r="K267" s="79"/>
      <c r="L267" s="79"/>
      <c r="M267" s="79"/>
      <c r="N267" s="79"/>
      <c r="O267" s="79"/>
      <c r="P267" s="79"/>
      <c r="Q267" s="79"/>
      <c r="R267" s="79"/>
      <c r="S267" s="79"/>
      <c r="T267" s="79"/>
      <c r="U267" s="79"/>
      <c r="W267" s="3"/>
    </row>
    <row r="268" spans="5:23" x14ac:dyDescent="0.25">
      <c r="F268" s="28" t="s">
        <v>151</v>
      </c>
      <c r="G268" s="72" t="s">
        <v>343</v>
      </c>
      <c r="H268" s="63"/>
      <c r="J268" s="79"/>
      <c r="K268" s="79"/>
      <c r="L268" s="79"/>
      <c r="M268" s="79"/>
      <c r="N268" s="79"/>
      <c r="O268" s="79"/>
      <c r="P268" s="79"/>
      <c r="Q268" s="79"/>
      <c r="R268" s="79"/>
      <c r="S268" s="79"/>
      <c r="T268" s="79"/>
      <c r="U268" s="79"/>
      <c r="W268" s="3"/>
    </row>
    <row r="269" spans="5:23" x14ac:dyDescent="0.25">
      <c r="F269" s="28" t="s">
        <v>152</v>
      </c>
      <c r="G269" s="72" t="s">
        <v>343</v>
      </c>
      <c r="H269" s="63"/>
      <c r="J269" s="79"/>
      <c r="K269" s="79"/>
      <c r="L269" s="79"/>
      <c r="M269" s="79"/>
      <c r="N269" s="79"/>
      <c r="O269" s="79"/>
      <c r="P269" s="79"/>
      <c r="Q269" s="79"/>
      <c r="R269" s="79"/>
      <c r="S269" s="79"/>
      <c r="T269" s="79"/>
      <c r="U269" s="79"/>
    </row>
    <row r="270" spans="5:23" x14ac:dyDescent="0.25">
      <c r="F270" s="28" t="s">
        <v>153</v>
      </c>
      <c r="G270" s="72" t="s">
        <v>343</v>
      </c>
      <c r="H270" s="63"/>
      <c r="J270" s="79"/>
      <c r="K270" s="79"/>
      <c r="L270" s="79"/>
      <c r="M270" s="79"/>
      <c r="N270" s="79"/>
      <c r="O270" s="79"/>
      <c r="P270" s="79"/>
      <c r="Q270" s="79"/>
      <c r="R270" s="79"/>
      <c r="S270" s="79"/>
      <c r="T270" s="79"/>
      <c r="U270" s="79"/>
    </row>
    <row r="271" spans="5:23" x14ac:dyDescent="0.25">
      <c r="F271" s="28" t="s">
        <v>154</v>
      </c>
      <c r="G271" s="72" t="s">
        <v>343</v>
      </c>
      <c r="H271" s="63"/>
      <c r="J271" s="79"/>
      <c r="K271" s="79"/>
      <c r="L271" s="79"/>
      <c r="M271" s="79"/>
      <c r="N271" s="79"/>
      <c r="O271" s="79"/>
      <c r="P271" s="79"/>
      <c r="Q271" s="79"/>
      <c r="R271" s="79"/>
      <c r="S271" s="79"/>
      <c r="T271" s="79"/>
      <c r="U271" s="79"/>
    </row>
    <row r="272" spans="5:23" x14ac:dyDescent="0.25">
      <c r="F272" s="28" t="s">
        <v>155</v>
      </c>
      <c r="G272" s="72" t="s">
        <v>343</v>
      </c>
      <c r="H272" s="63"/>
      <c r="J272" s="79"/>
      <c r="K272" s="79"/>
      <c r="L272" s="79"/>
      <c r="M272" s="79"/>
      <c r="N272" s="79"/>
      <c r="O272" s="79"/>
      <c r="P272" s="79"/>
      <c r="Q272" s="79"/>
      <c r="R272" s="79"/>
      <c r="S272" s="79"/>
      <c r="T272" s="79"/>
      <c r="U272" s="79"/>
    </row>
    <row r="273" spans="6:21" x14ac:dyDescent="0.25">
      <c r="F273" s="28" t="s">
        <v>156</v>
      </c>
      <c r="G273" s="72" t="s">
        <v>343</v>
      </c>
      <c r="H273" s="63"/>
      <c r="J273" s="79"/>
      <c r="K273" s="79"/>
      <c r="L273" s="79"/>
      <c r="M273" s="79"/>
      <c r="N273" s="79"/>
      <c r="O273" s="79"/>
      <c r="P273" s="79"/>
      <c r="Q273" s="79"/>
      <c r="R273" s="79"/>
      <c r="S273" s="79"/>
      <c r="T273" s="79"/>
      <c r="U273" s="79"/>
    </row>
    <row r="274" spans="6:21" x14ac:dyDescent="0.25">
      <c r="F274" s="28" t="s">
        <v>157</v>
      </c>
      <c r="G274" s="72" t="s">
        <v>343</v>
      </c>
      <c r="H274" s="63"/>
      <c r="J274" s="79"/>
      <c r="K274" s="79"/>
      <c r="L274" s="79"/>
      <c r="M274" s="79"/>
      <c r="N274" s="79"/>
      <c r="O274" s="79"/>
      <c r="P274" s="79"/>
      <c r="Q274" s="79"/>
      <c r="R274" s="79"/>
      <c r="S274" s="79"/>
      <c r="T274" s="79"/>
      <c r="U274" s="79"/>
    </row>
    <row r="275" spans="6:21" x14ac:dyDescent="0.25">
      <c r="F275" s="28" t="s">
        <v>158</v>
      </c>
      <c r="G275" s="72" t="s">
        <v>343</v>
      </c>
      <c r="H275" s="63"/>
      <c r="J275" s="79"/>
      <c r="K275" s="79"/>
      <c r="L275" s="79"/>
      <c r="M275" s="79"/>
      <c r="N275" s="79"/>
      <c r="O275" s="79"/>
      <c r="P275" s="79"/>
      <c r="Q275" s="79"/>
      <c r="R275" s="79"/>
      <c r="S275" s="79"/>
      <c r="T275" s="79"/>
      <c r="U275" s="79"/>
    </row>
    <row r="276" spans="6:21" x14ac:dyDescent="0.25">
      <c r="F276" s="28" t="s">
        <v>159</v>
      </c>
      <c r="G276" s="72" t="s">
        <v>343</v>
      </c>
      <c r="H276" s="63"/>
      <c r="J276" s="79"/>
      <c r="K276" s="79"/>
      <c r="L276" s="79"/>
      <c r="M276" s="79"/>
      <c r="N276" s="79"/>
      <c r="O276" s="79"/>
      <c r="P276" s="79"/>
      <c r="Q276" s="79"/>
      <c r="R276" s="79"/>
      <c r="S276" s="79"/>
      <c r="T276" s="79"/>
      <c r="U276" s="79"/>
    </row>
    <row r="277" spans="6:21" x14ac:dyDescent="0.25">
      <c r="F277" s="28" t="s">
        <v>160</v>
      </c>
      <c r="G277" s="72" t="s">
        <v>343</v>
      </c>
      <c r="H277" s="63"/>
      <c r="J277" s="79"/>
      <c r="K277" s="79"/>
      <c r="L277" s="79"/>
      <c r="M277" s="79"/>
      <c r="N277" s="79"/>
      <c r="O277" s="79"/>
      <c r="P277" s="79"/>
      <c r="Q277" s="79"/>
      <c r="R277" s="79"/>
      <c r="S277" s="79"/>
      <c r="T277" s="79"/>
      <c r="U277" s="79"/>
    </row>
    <row r="278" spans="6:21" x14ac:dyDescent="0.25">
      <c r="F278" s="28" t="s">
        <v>161</v>
      </c>
      <c r="G278" s="72" t="s">
        <v>343</v>
      </c>
      <c r="H278" s="63"/>
      <c r="J278" s="79"/>
      <c r="K278" s="79"/>
      <c r="L278" s="79"/>
      <c r="M278" s="79"/>
      <c r="N278" s="79"/>
      <c r="O278" s="79"/>
      <c r="P278" s="79"/>
      <c r="Q278" s="79"/>
      <c r="R278" s="79"/>
      <c r="S278" s="79"/>
      <c r="T278" s="79"/>
      <c r="U278" s="79"/>
    </row>
    <row r="279" spans="6:21" x14ac:dyDescent="0.25">
      <c r="F279" s="28" t="s">
        <v>162</v>
      </c>
      <c r="G279" s="72" t="s">
        <v>343</v>
      </c>
      <c r="H279" s="63"/>
      <c r="J279" s="79"/>
      <c r="K279" s="79"/>
      <c r="L279" s="79"/>
      <c r="M279" s="79"/>
      <c r="N279" s="79"/>
      <c r="O279" s="79"/>
      <c r="P279" s="79"/>
      <c r="Q279" s="79"/>
      <c r="R279" s="79"/>
      <c r="S279" s="79"/>
      <c r="T279" s="79"/>
      <c r="U279" s="79"/>
    </row>
    <row r="280" spans="6:21" x14ac:dyDescent="0.25">
      <c r="F280" s="28" t="s">
        <v>163</v>
      </c>
      <c r="G280" s="72" t="s">
        <v>343</v>
      </c>
      <c r="H280" s="63"/>
      <c r="J280" s="79"/>
      <c r="K280" s="79"/>
      <c r="L280" s="79"/>
      <c r="M280" s="79"/>
      <c r="N280" s="79"/>
      <c r="O280" s="79"/>
      <c r="P280" s="79"/>
      <c r="Q280" s="79"/>
      <c r="R280" s="79"/>
      <c r="S280" s="79"/>
      <c r="T280" s="79"/>
      <c r="U280" s="79"/>
    </row>
    <row r="281" spans="6:21" x14ac:dyDescent="0.25">
      <c r="F281" s="28" t="s">
        <v>164</v>
      </c>
      <c r="G281" s="72" t="s">
        <v>343</v>
      </c>
      <c r="H281" s="63"/>
      <c r="J281" s="79"/>
      <c r="K281" s="79"/>
      <c r="L281" s="79"/>
      <c r="M281" s="79"/>
      <c r="N281" s="79"/>
      <c r="O281" s="79"/>
      <c r="P281" s="79"/>
      <c r="Q281" s="79"/>
      <c r="R281" s="79"/>
      <c r="S281" s="79"/>
      <c r="T281" s="79"/>
      <c r="U281" s="79"/>
    </row>
    <row r="282" spans="6:21" x14ac:dyDescent="0.25">
      <c r="F282" s="28" t="s">
        <v>165</v>
      </c>
      <c r="G282" s="72" t="s">
        <v>343</v>
      </c>
      <c r="H282" s="63"/>
      <c r="J282" s="79"/>
      <c r="K282" s="79"/>
      <c r="L282" s="79"/>
      <c r="M282" s="79"/>
      <c r="N282" s="79"/>
      <c r="O282" s="79"/>
      <c r="P282" s="79"/>
      <c r="Q282" s="79"/>
      <c r="R282" s="79"/>
      <c r="S282" s="79"/>
      <c r="T282" s="79"/>
      <c r="U282" s="79"/>
    </row>
    <row r="283" spans="6:21" x14ac:dyDescent="0.25">
      <c r="F283" s="28" t="s">
        <v>166</v>
      </c>
      <c r="G283" s="72" t="s">
        <v>343</v>
      </c>
      <c r="H283" s="63"/>
      <c r="J283" s="79"/>
      <c r="K283" s="79"/>
      <c r="L283" s="79"/>
      <c r="M283" s="79"/>
      <c r="N283" s="79"/>
      <c r="O283" s="79"/>
      <c r="P283" s="79"/>
      <c r="Q283" s="79"/>
      <c r="R283" s="79"/>
      <c r="S283" s="79"/>
      <c r="T283" s="79"/>
      <c r="U283" s="79"/>
    </row>
    <row r="284" spans="6:21" x14ac:dyDescent="0.25">
      <c r="F284" s="28" t="s">
        <v>167</v>
      </c>
      <c r="G284" s="72" t="s">
        <v>343</v>
      </c>
      <c r="H284" s="63"/>
      <c r="J284" s="79"/>
      <c r="K284" s="79"/>
      <c r="L284" s="79"/>
      <c r="M284" s="79"/>
      <c r="N284" s="79"/>
      <c r="O284" s="79"/>
      <c r="P284" s="79"/>
      <c r="Q284" s="79"/>
      <c r="R284" s="79"/>
      <c r="S284" s="79"/>
      <c r="T284" s="79"/>
      <c r="U284" s="79"/>
    </row>
    <row r="285" spans="6:21" x14ac:dyDescent="0.25">
      <c r="F285" s="28" t="s">
        <v>168</v>
      </c>
      <c r="G285" s="72" t="s">
        <v>343</v>
      </c>
      <c r="H285" s="63"/>
      <c r="J285" s="124">
        <f>$H213 * J101</f>
        <v>-1.0780000000000001</v>
      </c>
      <c r="K285" s="124">
        <f t="shared" ref="K285:S285" si="105">$H213 * K101</f>
        <v>-1.0780000000000001</v>
      </c>
      <c r="L285" s="124">
        <f t="shared" si="105"/>
        <v>-1.0780000000000001</v>
      </c>
      <c r="M285" s="124">
        <f t="shared" si="105"/>
        <v>-0.99710219855719762</v>
      </c>
      <c r="N285" s="124">
        <f t="shared" si="105"/>
        <v>-0.99710219855719762</v>
      </c>
      <c r="O285" s="124">
        <f t="shared" si="105"/>
        <v>-0.99710219855719762</v>
      </c>
      <c r="P285" s="124">
        <f t="shared" si="105"/>
        <v>-8.0897801442802481E-2</v>
      </c>
      <c r="Q285" s="124">
        <f t="shared" si="105"/>
        <v>-1.0780000000000001</v>
      </c>
      <c r="R285" s="124">
        <f t="shared" si="105"/>
        <v>-1.0780000000000001</v>
      </c>
      <c r="S285" s="124">
        <f t="shared" si="105"/>
        <v>-1.0780000000000001</v>
      </c>
      <c r="T285" s="79"/>
      <c r="U285" s="79"/>
    </row>
    <row r="286" spans="6:21" x14ac:dyDescent="0.25">
      <c r="F286" s="28" t="s">
        <v>169</v>
      </c>
      <c r="G286" s="72" t="s">
        <v>343</v>
      </c>
      <c r="H286" s="63"/>
      <c r="J286" s="124">
        <f t="shared" ref="J286:S286" si="106">$H214 * J102</f>
        <v>-1.0469999999999999</v>
      </c>
      <c r="K286" s="124">
        <f t="shared" si="106"/>
        <v>-1.0469999999999999</v>
      </c>
      <c r="L286" s="124">
        <f t="shared" si="106"/>
        <v>-1.0469999999999999</v>
      </c>
      <c r="M286" s="124">
        <f t="shared" si="106"/>
        <v>-0.96842857318124842</v>
      </c>
      <c r="N286" s="124">
        <f t="shared" si="106"/>
        <v>-0.96842857318124842</v>
      </c>
      <c r="O286" s="124">
        <f t="shared" si="106"/>
        <v>-0.96842857318124842</v>
      </c>
      <c r="P286" s="124">
        <f t="shared" si="106"/>
        <v>-7.8571426818751552E-2</v>
      </c>
      <c r="Q286" s="124">
        <f t="shared" si="106"/>
        <v>-1.0469999999999999</v>
      </c>
      <c r="R286" s="124">
        <f t="shared" si="106"/>
        <v>-1.0469999999999999</v>
      </c>
      <c r="S286" s="124">
        <f t="shared" si="106"/>
        <v>0</v>
      </c>
      <c r="T286" s="79"/>
      <c r="U286" s="79"/>
    </row>
    <row r="287" spans="6:21" x14ac:dyDescent="0.25">
      <c r="F287" s="28" t="s">
        <v>170</v>
      </c>
      <c r="G287" s="72" t="s">
        <v>343</v>
      </c>
      <c r="H287" s="63"/>
      <c r="J287" s="124">
        <f t="shared" ref="J287:S287" si="107">$H215 * J103</f>
        <v>-1.0780000000000001</v>
      </c>
      <c r="K287" s="124">
        <f t="shared" si="107"/>
        <v>-1.0780000000000001</v>
      </c>
      <c r="L287" s="124">
        <f t="shared" si="107"/>
        <v>-1.0780000000000001</v>
      </c>
      <c r="M287" s="124">
        <f t="shared" si="107"/>
        <v>-0.99710219855719762</v>
      </c>
      <c r="N287" s="124">
        <f t="shared" si="107"/>
        <v>-0.99710219855719762</v>
      </c>
      <c r="O287" s="124">
        <f t="shared" si="107"/>
        <v>-0.99710219855719762</v>
      </c>
      <c r="P287" s="124">
        <f t="shared" si="107"/>
        <v>-8.0897801442802481E-2</v>
      </c>
      <c r="Q287" s="124">
        <f t="shared" si="107"/>
        <v>-1.0780000000000001</v>
      </c>
      <c r="R287" s="124">
        <f t="shared" si="107"/>
        <v>-1.0780000000000001</v>
      </c>
      <c r="S287" s="124">
        <f t="shared" si="107"/>
        <v>-1.0780000000000001</v>
      </c>
      <c r="T287" s="79"/>
      <c r="U287" s="79"/>
    </row>
    <row r="288" spans="6:21" x14ac:dyDescent="0.25">
      <c r="F288" s="28" t="s">
        <v>171</v>
      </c>
      <c r="G288" s="72" t="s">
        <v>343</v>
      </c>
      <c r="H288" s="63"/>
      <c r="J288" s="124">
        <f t="shared" ref="J288:S288" si="108">$H216 * J104</f>
        <v>-1.0780000000000001</v>
      </c>
      <c r="K288" s="124">
        <f t="shared" si="108"/>
        <v>-1.0780000000000001</v>
      </c>
      <c r="L288" s="124">
        <f t="shared" si="108"/>
        <v>-1.0780000000000001</v>
      </c>
      <c r="M288" s="124">
        <f t="shared" si="108"/>
        <v>-0.99710219855719762</v>
      </c>
      <c r="N288" s="124">
        <f t="shared" si="108"/>
        <v>-0.99710219855719762</v>
      </c>
      <c r="O288" s="124">
        <f t="shared" si="108"/>
        <v>-0.99710219855719762</v>
      </c>
      <c r="P288" s="124">
        <f t="shared" si="108"/>
        <v>-8.0897801442802481E-2</v>
      </c>
      <c r="Q288" s="124">
        <f t="shared" si="108"/>
        <v>-1.0780000000000001</v>
      </c>
      <c r="R288" s="124">
        <f t="shared" si="108"/>
        <v>-1.0780000000000001</v>
      </c>
      <c r="S288" s="124">
        <f t="shared" si="108"/>
        <v>-1.0780000000000001</v>
      </c>
      <c r="T288" s="79"/>
      <c r="U288" s="79"/>
    </row>
    <row r="289" spans="2:44" x14ac:dyDescent="0.25">
      <c r="F289" s="28" t="s">
        <v>172</v>
      </c>
      <c r="G289" s="72" t="s">
        <v>343</v>
      </c>
      <c r="H289" s="63"/>
      <c r="J289" s="124">
        <f t="shared" ref="J289:S289" si="109">$H217 * J105</f>
        <v>-1.0780000000000001</v>
      </c>
      <c r="K289" s="124">
        <f t="shared" si="109"/>
        <v>-1.0780000000000001</v>
      </c>
      <c r="L289" s="124">
        <f t="shared" si="109"/>
        <v>-1.0780000000000001</v>
      </c>
      <c r="M289" s="124">
        <f t="shared" si="109"/>
        <v>-0.99710219855719762</v>
      </c>
      <c r="N289" s="124">
        <f t="shared" si="109"/>
        <v>-0.99710219855719762</v>
      </c>
      <c r="O289" s="124">
        <f t="shared" si="109"/>
        <v>-0.99710219855719762</v>
      </c>
      <c r="P289" s="124">
        <f t="shared" si="109"/>
        <v>-8.0897801442802481E-2</v>
      </c>
      <c r="Q289" s="124">
        <f t="shared" si="109"/>
        <v>-1.0780000000000001</v>
      </c>
      <c r="R289" s="124">
        <f t="shared" si="109"/>
        <v>-1.0780000000000001</v>
      </c>
      <c r="S289" s="124">
        <f t="shared" si="109"/>
        <v>-1.0780000000000001</v>
      </c>
      <c r="T289" s="79"/>
      <c r="U289" s="79"/>
    </row>
    <row r="290" spans="2:44" x14ac:dyDescent="0.25">
      <c r="F290" s="28" t="s">
        <v>173</v>
      </c>
      <c r="G290" s="72" t="s">
        <v>343</v>
      </c>
      <c r="H290" s="63"/>
      <c r="J290" s="124">
        <f t="shared" ref="J290:S290" si="110">$H218 * J106</f>
        <v>-1.0780000000000001</v>
      </c>
      <c r="K290" s="124">
        <f t="shared" si="110"/>
        <v>-1.0780000000000001</v>
      </c>
      <c r="L290" s="124">
        <f t="shared" si="110"/>
        <v>-1.0780000000000001</v>
      </c>
      <c r="M290" s="124">
        <f t="shared" si="110"/>
        <v>-0.99710219855719762</v>
      </c>
      <c r="N290" s="124">
        <f t="shared" si="110"/>
        <v>-0.99710219855719762</v>
      </c>
      <c r="O290" s="124">
        <f t="shared" si="110"/>
        <v>-0.99710219855719762</v>
      </c>
      <c r="P290" s="124">
        <f t="shared" si="110"/>
        <v>-8.0897801442802481E-2</v>
      </c>
      <c r="Q290" s="124">
        <f t="shared" si="110"/>
        <v>-1.0780000000000001</v>
      </c>
      <c r="R290" s="124">
        <f t="shared" si="110"/>
        <v>-1.0780000000000001</v>
      </c>
      <c r="S290" s="124">
        <f t="shared" si="110"/>
        <v>-1.0780000000000001</v>
      </c>
      <c r="T290" s="79"/>
      <c r="U290" s="79"/>
    </row>
    <row r="291" spans="2:44" x14ac:dyDescent="0.25">
      <c r="F291" s="28" t="s">
        <v>174</v>
      </c>
      <c r="G291" s="72" t="s">
        <v>343</v>
      </c>
      <c r="H291" s="63"/>
      <c r="J291" s="124">
        <f t="shared" ref="J291:S291" si="111">$H219 * J107</f>
        <v>-1.0469999999999999</v>
      </c>
      <c r="K291" s="124">
        <f t="shared" si="111"/>
        <v>-1.0469999999999999</v>
      </c>
      <c r="L291" s="124">
        <f t="shared" si="111"/>
        <v>-1.0469999999999999</v>
      </c>
      <c r="M291" s="124">
        <f t="shared" si="111"/>
        <v>-0.96842857318124842</v>
      </c>
      <c r="N291" s="124">
        <f t="shared" si="111"/>
        <v>-0.96842857318124842</v>
      </c>
      <c r="O291" s="124">
        <f t="shared" si="111"/>
        <v>-0.96842857318124842</v>
      </c>
      <c r="P291" s="124">
        <f t="shared" si="111"/>
        <v>-7.8571426818751552E-2</v>
      </c>
      <c r="Q291" s="124">
        <f t="shared" si="111"/>
        <v>-1.0469999999999999</v>
      </c>
      <c r="R291" s="124">
        <f t="shared" si="111"/>
        <v>-1.0469999999999999</v>
      </c>
      <c r="S291" s="124">
        <f t="shared" si="111"/>
        <v>0</v>
      </c>
      <c r="T291" s="79"/>
      <c r="U291" s="79"/>
    </row>
    <row r="292" spans="2:44" x14ac:dyDescent="0.25">
      <c r="F292" s="28" t="s">
        <v>175</v>
      </c>
      <c r="G292" s="72" t="s">
        <v>343</v>
      </c>
      <c r="H292" s="63"/>
      <c r="J292" s="124">
        <f t="shared" ref="J292:S292" si="112">$H220 * J108</f>
        <v>-1.0469999999999999</v>
      </c>
      <c r="K292" s="124">
        <f t="shared" si="112"/>
        <v>-1.0469999999999999</v>
      </c>
      <c r="L292" s="124">
        <f t="shared" si="112"/>
        <v>-1.0469999999999999</v>
      </c>
      <c r="M292" s="124">
        <f t="shared" si="112"/>
        <v>-0.96842857318124842</v>
      </c>
      <c r="N292" s="124">
        <f t="shared" si="112"/>
        <v>-0.96842857318124842</v>
      </c>
      <c r="O292" s="124">
        <f t="shared" si="112"/>
        <v>-0.96842857318124842</v>
      </c>
      <c r="P292" s="124">
        <f t="shared" si="112"/>
        <v>-7.8571426818751552E-2</v>
      </c>
      <c r="Q292" s="124">
        <f t="shared" si="112"/>
        <v>-1.0469999999999999</v>
      </c>
      <c r="R292" s="124">
        <f t="shared" si="112"/>
        <v>-1.0469999999999999</v>
      </c>
      <c r="S292" s="124">
        <f t="shared" si="112"/>
        <v>0</v>
      </c>
      <c r="T292" s="79"/>
      <c r="U292" s="79"/>
    </row>
    <row r="293" spans="2:44" x14ac:dyDescent="0.25">
      <c r="F293" s="28" t="s">
        <v>176</v>
      </c>
      <c r="G293" s="72" t="s">
        <v>343</v>
      </c>
      <c r="H293" s="63"/>
      <c r="J293" s="124">
        <f t="shared" ref="J293:S293" si="113">$H221 * J109</f>
        <v>-1.0469999999999999</v>
      </c>
      <c r="K293" s="124">
        <f t="shared" si="113"/>
        <v>-1.0469999999999999</v>
      </c>
      <c r="L293" s="124">
        <f t="shared" si="113"/>
        <v>-1.0469999999999999</v>
      </c>
      <c r="M293" s="124">
        <f t="shared" si="113"/>
        <v>-0.96842857318124842</v>
      </c>
      <c r="N293" s="124">
        <f t="shared" si="113"/>
        <v>-0.96842857318124842</v>
      </c>
      <c r="O293" s="124">
        <f t="shared" si="113"/>
        <v>-0.96842857318124842</v>
      </c>
      <c r="P293" s="124">
        <f t="shared" si="113"/>
        <v>-7.8571426818751552E-2</v>
      </c>
      <c r="Q293" s="124">
        <f t="shared" si="113"/>
        <v>-1.0469999999999999</v>
      </c>
      <c r="R293" s="124">
        <f t="shared" si="113"/>
        <v>-1.0469999999999999</v>
      </c>
      <c r="S293" s="124">
        <f t="shared" si="113"/>
        <v>0</v>
      </c>
      <c r="T293" s="79"/>
      <c r="U293" s="79"/>
    </row>
    <row r="294" spans="2:44" x14ac:dyDescent="0.25">
      <c r="F294" s="28" t="s">
        <v>177</v>
      </c>
      <c r="G294" s="72" t="s">
        <v>343</v>
      </c>
      <c r="H294" s="63"/>
      <c r="J294" s="124">
        <f t="shared" ref="J294:S294" si="114">$H222 * J110</f>
        <v>-1.0469999999999999</v>
      </c>
      <c r="K294" s="124">
        <f t="shared" si="114"/>
        <v>-1.0469999999999999</v>
      </c>
      <c r="L294" s="124">
        <f t="shared" si="114"/>
        <v>-1.0469999999999999</v>
      </c>
      <c r="M294" s="124">
        <f t="shared" si="114"/>
        <v>-0.96842857318124842</v>
      </c>
      <c r="N294" s="124">
        <f t="shared" si="114"/>
        <v>-0.96842857318124842</v>
      </c>
      <c r="O294" s="124">
        <f t="shared" si="114"/>
        <v>-0.96842857318124842</v>
      </c>
      <c r="P294" s="124">
        <f t="shared" si="114"/>
        <v>-7.8571426818751552E-2</v>
      </c>
      <c r="Q294" s="124">
        <f t="shared" si="114"/>
        <v>-1.0469999999999999</v>
      </c>
      <c r="R294" s="124">
        <f t="shared" si="114"/>
        <v>-1.0469999999999999</v>
      </c>
      <c r="S294" s="124">
        <f t="shared" si="114"/>
        <v>0</v>
      </c>
      <c r="T294" s="79"/>
      <c r="U294" s="79"/>
    </row>
    <row r="295" spans="2:44" x14ac:dyDescent="0.25">
      <c r="F295" s="28" t="s">
        <v>178</v>
      </c>
      <c r="G295" s="72" t="s">
        <v>343</v>
      </c>
      <c r="H295" s="63"/>
      <c r="J295" s="124">
        <f t="shared" ref="J295:S295" si="115">$H223 * J111</f>
        <v>-1.036</v>
      </c>
      <c r="K295" s="124">
        <f t="shared" si="115"/>
        <v>-1.036</v>
      </c>
      <c r="L295" s="124">
        <f t="shared" si="115"/>
        <v>-1.036</v>
      </c>
      <c r="M295" s="124">
        <f t="shared" si="115"/>
        <v>-0.95825406095107302</v>
      </c>
      <c r="N295" s="124">
        <f t="shared" si="115"/>
        <v>-0.95825406095107302</v>
      </c>
      <c r="O295" s="124">
        <f t="shared" si="115"/>
        <v>-0.95825406095107302</v>
      </c>
      <c r="P295" s="124">
        <f t="shared" si="115"/>
        <v>-7.7745939048927057E-2</v>
      </c>
      <c r="Q295" s="124">
        <f t="shared" si="115"/>
        <v>-1.036</v>
      </c>
      <c r="R295" s="124">
        <f t="shared" si="115"/>
        <v>0</v>
      </c>
      <c r="S295" s="124">
        <f t="shared" si="115"/>
        <v>0</v>
      </c>
      <c r="T295" s="79"/>
      <c r="U295" s="79"/>
    </row>
    <row r="296" spans="2:44" x14ac:dyDescent="0.25">
      <c r="F296" s="28" t="s">
        <v>179</v>
      </c>
      <c r="G296" s="72" t="s">
        <v>343</v>
      </c>
      <c r="H296" s="63"/>
      <c r="J296" s="124">
        <f t="shared" ref="J296:S296" si="116">$H224 * J112</f>
        <v>-1.036</v>
      </c>
      <c r="K296" s="124">
        <f t="shared" si="116"/>
        <v>-1.036</v>
      </c>
      <c r="L296" s="124">
        <f t="shared" si="116"/>
        <v>-1.036</v>
      </c>
      <c r="M296" s="124">
        <f t="shared" si="116"/>
        <v>-0.95825406095107302</v>
      </c>
      <c r="N296" s="124">
        <f t="shared" si="116"/>
        <v>-0.95825406095107302</v>
      </c>
      <c r="O296" s="124">
        <f t="shared" si="116"/>
        <v>-0.95825406095107302</v>
      </c>
      <c r="P296" s="124">
        <f t="shared" si="116"/>
        <v>-7.7745939048927057E-2</v>
      </c>
      <c r="Q296" s="124">
        <f t="shared" si="116"/>
        <v>-1.036</v>
      </c>
      <c r="R296" s="124">
        <f t="shared" si="116"/>
        <v>0</v>
      </c>
      <c r="S296" s="124">
        <f t="shared" si="116"/>
        <v>0</v>
      </c>
      <c r="T296" s="79"/>
      <c r="U296" s="79"/>
    </row>
    <row r="297" spans="2:44" x14ac:dyDescent="0.25">
      <c r="F297" s="28" t="s">
        <v>180</v>
      </c>
      <c r="G297" s="72" t="s">
        <v>343</v>
      </c>
      <c r="H297" s="63"/>
      <c r="J297" s="124">
        <f t="shared" ref="J297:S297" si="117">$H225 * J113</f>
        <v>-1.036</v>
      </c>
      <c r="K297" s="124">
        <f t="shared" si="117"/>
        <v>-1.036</v>
      </c>
      <c r="L297" s="124">
        <f t="shared" si="117"/>
        <v>-1.036</v>
      </c>
      <c r="M297" s="124">
        <f t="shared" si="117"/>
        <v>-0.95825406095107302</v>
      </c>
      <c r="N297" s="124">
        <f t="shared" si="117"/>
        <v>-0.95825406095107302</v>
      </c>
      <c r="O297" s="124">
        <f t="shared" si="117"/>
        <v>-0.95825406095107302</v>
      </c>
      <c r="P297" s="124">
        <f t="shared" si="117"/>
        <v>-7.7745939048927057E-2</v>
      </c>
      <c r="Q297" s="124">
        <f t="shared" si="117"/>
        <v>-1.036</v>
      </c>
      <c r="R297" s="124">
        <f t="shared" si="117"/>
        <v>0</v>
      </c>
      <c r="S297" s="124">
        <f t="shared" si="117"/>
        <v>0</v>
      </c>
      <c r="T297" s="79"/>
      <c r="U297" s="79"/>
    </row>
    <row r="298" spans="2:44" x14ac:dyDescent="0.25">
      <c r="F298" s="67" t="s">
        <v>181</v>
      </c>
      <c r="G298" s="80" t="s">
        <v>343</v>
      </c>
      <c r="H298" s="133"/>
      <c r="I298" s="37"/>
      <c r="J298" s="134">
        <f t="shared" ref="J298:S298" si="118">$H226 * J114</f>
        <v>-1.036</v>
      </c>
      <c r="K298" s="134">
        <f t="shared" si="118"/>
        <v>-1.036</v>
      </c>
      <c r="L298" s="134">
        <f t="shared" si="118"/>
        <v>-1.036</v>
      </c>
      <c r="M298" s="134">
        <f t="shared" si="118"/>
        <v>-0.95825406095107302</v>
      </c>
      <c r="N298" s="134">
        <f t="shared" si="118"/>
        <v>-0.95825406095107302</v>
      </c>
      <c r="O298" s="134">
        <f t="shared" si="118"/>
        <v>-0.95825406095107302</v>
      </c>
      <c r="P298" s="134">
        <f t="shared" si="118"/>
        <v>-7.7745939048927057E-2</v>
      </c>
      <c r="Q298" s="134">
        <f t="shared" si="118"/>
        <v>-1.036</v>
      </c>
      <c r="R298" s="134">
        <f t="shared" si="118"/>
        <v>0</v>
      </c>
      <c r="S298" s="134">
        <f t="shared" si="118"/>
        <v>0</v>
      </c>
      <c r="T298" s="81"/>
      <c r="U298" s="81"/>
    </row>
    <row r="299" spans="2:44" x14ac:dyDescent="0.25">
      <c r="G299" s="13"/>
    </row>
    <row r="300" spans="2:44" x14ac:dyDescent="0.25">
      <c r="B300" s="30" t="s">
        <v>281</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282</v>
      </c>
      <c r="G302" s="6" t="s">
        <v>57</v>
      </c>
      <c r="H302" s="26">
        <f t="array" ref="H302">SUM(IF(ISERROR(H19:W300), 1))</f>
        <v>0</v>
      </c>
    </row>
    <row r="304" spans="2:44" x14ac:dyDescent="0.25">
      <c r="B304" s="30" t="s">
        <v>108</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WPD EMEB - [enter data version name]</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W5" s="61" t="s">
        <v>182</v>
      </c>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471</v>
      </c>
    </row>
    <row r="10" spans="1:23" x14ac:dyDescent="0.25">
      <c r="C10" s="29" t="s">
        <v>472</v>
      </c>
    </row>
    <row r="12" spans="1:23" x14ac:dyDescent="0.25">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473</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217</v>
      </c>
      <c r="H18" s="3"/>
      <c r="I18" s="3" t="s">
        <v>191</v>
      </c>
      <c r="J18" s="3"/>
      <c r="K18" s="3"/>
      <c r="L18" s="3"/>
      <c r="M18" s="3"/>
      <c r="N18" s="3"/>
      <c r="O18" s="3"/>
      <c r="P18" s="3"/>
      <c r="Q18" s="3"/>
      <c r="R18" s="3"/>
      <c r="S18" s="3"/>
      <c r="T18" s="3"/>
      <c r="U18" s="3"/>
      <c r="W18" s="3" t="s">
        <v>218</v>
      </c>
    </row>
    <row r="19" spans="5:23" x14ac:dyDescent="0.25">
      <c r="E19" s="29" t="s">
        <v>219</v>
      </c>
      <c r="H19" s="3"/>
      <c r="I19" s="3"/>
      <c r="J19" s="3"/>
      <c r="K19" s="3"/>
      <c r="L19" s="3"/>
      <c r="M19" s="3"/>
      <c r="N19" s="3"/>
      <c r="O19" s="3"/>
      <c r="P19" s="3"/>
      <c r="Q19" s="3"/>
      <c r="R19" s="3"/>
      <c r="S19" s="3"/>
      <c r="T19" s="3"/>
      <c r="U19" s="3"/>
      <c r="W19" s="3"/>
    </row>
    <row r="20" spans="5:23" x14ac:dyDescent="0.25">
      <c r="F20" s="137"/>
      <c r="G20" s="137"/>
      <c r="H20" s="138"/>
      <c r="I20" s="138"/>
      <c r="J20" s="139" t="s">
        <v>220</v>
      </c>
      <c r="K20" s="139" t="s">
        <v>221</v>
      </c>
      <c r="L20" s="139" t="s">
        <v>222</v>
      </c>
      <c r="M20" s="139" t="s">
        <v>223</v>
      </c>
      <c r="O20" s="3"/>
      <c r="P20" s="3"/>
      <c r="Q20" s="3"/>
      <c r="R20" s="3"/>
      <c r="S20" s="3"/>
      <c r="T20" s="3"/>
      <c r="U20" s="3"/>
    </row>
    <row r="21" spans="5:23" x14ac:dyDescent="0.25">
      <c r="F21" s="28" t="s">
        <v>149</v>
      </c>
      <c r="G21" s="13" t="s">
        <v>213</v>
      </c>
      <c r="H21" s="3"/>
      <c r="I21" s="3"/>
      <c r="J21" s="140">
        <f t="array" ref="J21:M53">TRANSPOSE('Fixed inputs'!J53:AP56)</f>
        <v>0</v>
      </c>
      <c r="K21" s="140">
        <v>0</v>
      </c>
      <c r="L21" s="140">
        <v>0</v>
      </c>
      <c r="M21" s="140">
        <v>1</v>
      </c>
      <c r="S21" s="3"/>
      <c r="T21" s="3"/>
      <c r="U21" s="3"/>
      <c r="W21" s="3"/>
    </row>
    <row r="22" spans="5:23" x14ac:dyDescent="0.25">
      <c r="F22" s="28" t="s">
        <v>150</v>
      </c>
      <c r="G22" s="13" t="s">
        <v>213</v>
      </c>
      <c r="H22" s="3"/>
      <c r="I22" s="3"/>
      <c r="J22" s="140">
        <v>0</v>
      </c>
      <c r="K22" s="140">
        <v>0</v>
      </c>
      <c r="L22" s="140">
        <v>0</v>
      </c>
      <c r="M22" s="140">
        <v>1</v>
      </c>
      <c r="S22" s="3"/>
      <c r="T22" s="3"/>
      <c r="U22" s="3"/>
      <c r="W22" s="3"/>
    </row>
    <row r="23" spans="5:23" x14ac:dyDescent="0.25">
      <c r="F23" s="28" t="s">
        <v>151</v>
      </c>
      <c r="G23" s="13" t="s">
        <v>213</v>
      </c>
      <c r="H23" s="3"/>
      <c r="I23" s="3"/>
      <c r="J23" s="140">
        <v>0</v>
      </c>
      <c r="K23" s="140">
        <v>0</v>
      </c>
      <c r="L23" s="140">
        <v>0</v>
      </c>
      <c r="M23" s="140">
        <v>1</v>
      </c>
      <c r="S23" s="3"/>
      <c r="T23" s="3"/>
      <c r="U23" s="3"/>
      <c r="W23" s="3"/>
    </row>
    <row r="24" spans="5:23" x14ac:dyDescent="0.25">
      <c r="F24" s="28" t="s">
        <v>152</v>
      </c>
      <c r="G24" s="13" t="s">
        <v>213</v>
      </c>
      <c r="H24" s="3"/>
      <c r="I24" s="3"/>
      <c r="J24" s="140">
        <v>0</v>
      </c>
      <c r="K24" s="140">
        <v>0</v>
      </c>
      <c r="L24" s="140">
        <v>0</v>
      </c>
      <c r="M24" s="140">
        <v>1</v>
      </c>
      <c r="S24" s="3"/>
      <c r="T24" s="3"/>
      <c r="U24" s="3"/>
      <c r="W24" s="3"/>
    </row>
    <row r="25" spans="5:23" x14ac:dyDescent="0.25">
      <c r="F25" s="28" t="s">
        <v>153</v>
      </c>
      <c r="G25" s="13" t="s">
        <v>213</v>
      </c>
      <c r="H25" s="3"/>
      <c r="I25" s="3"/>
      <c r="J25" s="140">
        <v>0</v>
      </c>
      <c r="K25" s="140">
        <v>0</v>
      </c>
      <c r="L25" s="140">
        <v>0</v>
      </c>
      <c r="M25" s="140">
        <v>1</v>
      </c>
      <c r="S25" s="3"/>
      <c r="T25" s="3"/>
      <c r="U25" s="3"/>
      <c r="W25" s="3"/>
    </row>
    <row r="26" spans="5:23" x14ac:dyDescent="0.25">
      <c r="F26" s="28" t="s">
        <v>154</v>
      </c>
      <c r="G26" s="13" t="s">
        <v>213</v>
      </c>
      <c r="H26" s="3"/>
      <c r="I26" s="3"/>
      <c r="J26" s="140">
        <v>0</v>
      </c>
      <c r="K26" s="140">
        <v>0</v>
      </c>
      <c r="L26" s="140">
        <v>0</v>
      </c>
      <c r="M26" s="140">
        <v>1</v>
      </c>
      <c r="S26" s="3"/>
      <c r="T26" s="3"/>
      <c r="U26" s="3"/>
      <c r="W26" s="3"/>
    </row>
    <row r="27" spans="5:23" x14ac:dyDescent="0.25">
      <c r="F27" s="28" t="s">
        <v>155</v>
      </c>
      <c r="G27" s="13" t="s">
        <v>213</v>
      </c>
      <c r="H27" s="3"/>
      <c r="I27" s="3"/>
      <c r="J27" s="140">
        <v>0</v>
      </c>
      <c r="K27" s="140">
        <v>0</v>
      </c>
      <c r="L27" s="140">
        <v>0</v>
      </c>
      <c r="M27" s="140">
        <v>1</v>
      </c>
      <c r="S27" s="3"/>
      <c r="T27" s="3"/>
      <c r="U27" s="3"/>
      <c r="W27" s="3"/>
    </row>
    <row r="28" spans="5:23" x14ac:dyDescent="0.25">
      <c r="F28" s="28" t="s">
        <v>156</v>
      </c>
      <c r="G28" s="13" t="s">
        <v>213</v>
      </c>
      <c r="H28" s="3"/>
      <c r="I28" s="3"/>
      <c r="J28" s="140">
        <v>0</v>
      </c>
      <c r="K28" s="140">
        <v>0</v>
      </c>
      <c r="L28" s="140">
        <v>1</v>
      </c>
      <c r="M28" s="140">
        <v>0</v>
      </c>
      <c r="S28" s="3"/>
      <c r="T28" s="3"/>
      <c r="U28" s="3"/>
      <c r="W28" s="3"/>
    </row>
    <row r="29" spans="5:23" x14ac:dyDescent="0.25">
      <c r="F29" s="28" t="s">
        <v>157</v>
      </c>
      <c r="G29" s="13" t="s">
        <v>213</v>
      </c>
      <c r="H29" s="3"/>
      <c r="I29" s="3"/>
      <c r="J29" s="140">
        <v>0</v>
      </c>
      <c r="K29" s="140">
        <v>1</v>
      </c>
      <c r="L29" s="140">
        <v>0</v>
      </c>
      <c r="M29" s="140">
        <v>0</v>
      </c>
      <c r="S29" s="3"/>
      <c r="T29" s="3"/>
      <c r="U29" s="3"/>
      <c r="W29" s="3"/>
    </row>
    <row r="30" spans="5:23" x14ac:dyDescent="0.25">
      <c r="F30" s="28" t="s">
        <v>158</v>
      </c>
      <c r="G30" s="13" t="s">
        <v>213</v>
      </c>
      <c r="H30" s="3"/>
      <c r="I30" s="3"/>
      <c r="J30" s="140">
        <v>0</v>
      </c>
      <c r="K30" s="140">
        <v>0</v>
      </c>
      <c r="L30" s="140">
        <v>0</v>
      </c>
      <c r="M30" s="140">
        <v>1</v>
      </c>
      <c r="S30" s="3"/>
      <c r="T30" s="3"/>
      <c r="U30" s="3"/>
      <c r="W30" s="3"/>
    </row>
    <row r="31" spans="5:23" x14ac:dyDescent="0.25">
      <c r="F31" s="28" t="s">
        <v>159</v>
      </c>
      <c r="G31" s="13" t="s">
        <v>213</v>
      </c>
      <c r="H31" s="3"/>
      <c r="I31" s="3"/>
      <c r="J31" s="140">
        <v>0</v>
      </c>
      <c r="K31" s="140">
        <v>0</v>
      </c>
      <c r="L31" s="140">
        <v>0</v>
      </c>
      <c r="M31" s="140">
        <v>1</v>
      </c>
      <c r="S31" s="3"/>
      <c r="T31" s="3"/>
      <c r="U31" s="3"/>
      <c r="W31" s="3"/>
    </row>
    <row r="32" spans="5:23" x14ac:dyDescent="0.25">
      <c r="F32" s="28" t="s">
        <v>160</v>
      </c>
      <c r="G32" s="13" t="s">
        <v>213</v>
      </c>
      <c r="H32" s="3"/>
      <c r="I32" s="3"/>
      <c r="J32" s="140">
        <v>0</v>
      </c>
      <c r="K32" s="140">
        <v>0</v>
      </c>
      <c r="L32" s="140">
        <v>0</v>
      </c>
      <c r="M32" s="140">
        <v>1</v>
      </c>
      <c r="S32" s="3"/>
      <c r="T32" s="3"/>
      <c r="U32" s="3"/>
      <c r="W32" s="3"/>
    </row>
    <row r="33" spans="6:23" x14ac:dyDescent="0.25">
      <c r="F33" s="28" t="s">
        <v>161</v>
      </c>
      <c r="G33" s="13" t="s">
        <v>213</v>
      </c>
      <c r="H33" s="3"/>
      <c r="I33" s="3"/>
      <c r="J33" s="140">
        <v>0</v>
      </c>
      <c r="K33" s="140">
        <v>0</v>
      </c>
      <c r="L33" s="140">
        <v>1</v>
      </c>
      <c r="M33" s="140">
        <v>0</v>
      </c>
      <c r="S33" s="3"/>
      <c r="T33" s="3"/>
      <c r="U33" s="3"/>
      <c r="W33" s="3"/>
    </row>
    <row r="34" spans="6:23" x14ac:dyDescent="0.25">
      <c r="F34" s="28" t="s">
        <v>162</v>
      </c>
      <c r="G34" s="13" t="s">
        <v>213</v>
      </c>
      <c r="H34" s="3"/>
      <c r="I34" s="3"/>
      <c r="J34" s="140">
        <v>0</v>
      </c>
      <c r="K34" s="140">
        <v>1</v>
      </c>
      <c r="L34" s="140">
        <v>0</v>
      </c>
      <c r="M34" s="140">
        <v>0</v>
      </c>
      <c r="S34" s="3"/>
      <c r="T34" s="3"/>
      <c r="U34" s="3"/>
      <c r="W34" s="3"/>
    </row>
    <row r="35" spans="6:23" x14ac:dyDescent="0.25">
      <c r="F35" s="28" t="s">
        <v>163</v>
      </c>
      <c r="G35" s="13" t="s">
        <v>213</v>
      </c>
      <c r="H35" s="3"/>
      <c r="I35" s="3"/>
      <c r="J35" s="140">
        <v>0</v>
      </c>
      <c r="K35" s="140">
        <v>0</v>
      </c>
      <c r="L35" s="140">
        <v>0</v>
      </c>
      <c r="M35" s="140">
        <v>1</v>
      </c>
      <c r="S35" s="3"/>
      <c r="T35" s="3"/>
      <c r="U35" s="3"/>
      <c r="W35" s="3"/>
    </row>
    <row r="36" spans="6:23" x14ac:dyDescent="0.25">
      <c r="F36" s="28" t="s">
        <v>164</v>
      </c>
      <c r="G36" s="13" t="s">
        <v>213</v>
      </c>
      <c r="H36" s="3"/>
      <c r="I36" s="3"/>
      <c r="J36" s="140">
        <v>0</v>
      </c>
      <c r="K36" s="140">
        <v>0</v>
      </c>
      <c r="L36" s="140">
        <v>0</v>
      </c>
      <c r="M36" s="140">
        <v>1</v>
      </c>
      <c r="S36" s="3"/>
      <c r="T36" s="3"/>
      <c r="U36" s="3"/>
      <c r="W36" s="3"/>
    </row>
    <row r="37" spans="6:23" x14ac:dyDescent="0.25">
      <c r="F37" s="28" t="s">
        <v>165</v>
      </c>
      <c r="G37" s="13" t="s">
        <v>213</v>
      </c>
      <c r="H37" s="3"/>
      <c r="I37" s="3"/>
      <c r="J37" s="140">
        <v>0</v>
      </c>
      <c r="K37" s="140">
        <v>0</v>
      </c>
      <c r="L37" s="140">
        <v>0</v>
      </c>
      <c r="M37" s="140">
        <v>1</v>
      </c>
      <c r="S37" s="3"/>
      <c r="T37" s="3"/>
      <c r="U37" s="3"/>
      <c r="W37" s="3"/>
    </row>
    <row r="38" spans="6:23" x14ac:dyDescent="0.25">
      <c r="F38" s="28" t="s">
        <v>166</v>
      </c>
      <c r="G38" s="13" t="s">
        <v>213</v>
      </c>
      <c r="H38" s="3"/>
      <c r="I38" s="3"/>
      <c r="J38" s="140">
        <v>0</v>
      </c>
      <c r="K38" s="140">
        <v>0</v>
      </c>
      <c r="L38" s="140">
        <v>0</v>
      </c>
      <c r="M38" s="140">
        <v>1</v>
      </c>
      <c r="S38" s="3"/>
      <c r="T38" s="3"/>
      <c r="U38" s="3"/>
      <c r="W38" s="3"/>
    </row>
    <row r="39" spans="6:23" x14ac:dyDescent="0.25">
      <c r="F39" s="28" t="s">
        <v>167</v>
      </c>
      <c r="G39" s="13" t="s">
        <v>213</v>
      </c>
      <c r="H39" s="3"/>
      <c r="I39" s="3"/>
      <c r="J39" s="140">
        <v>0</v>
      </c>
      <c r="K39" s="140">
        <v>0</v>
      </c>
      <c r="L39" s="140">
        <v>0</v>
      </c>
      <c r="M39" s="140">
        <v>1</v>
      </c>
      <c r="S39" s="3"/>
      <c r="T39" s="3"/>
      <c r="U39" s="3"/>
      <c r="W39" s="3"/>
    </row>
    <row r="40" spans="6:23" x14ac:dyDescent="0.25">
      <c r="F40" s="28" t="s">
        <v>168</v>
      </c>
      <c r="G40" s="13" t="s">
        <v>213</v>
      </c>
      <c r="H40" s="3"/>
      <c r="I40" s="3"/>
      <c r="J40" s="140">
        <v>0</v>
      </c>
      <c r="K40" s="140">
        <v>0</v>
      </c>
      <c r="L40" s="140">
        <v>0</v>
      </c>
      <c r="M40" s="140">
        <v>1</v>
      </c>
      <c r="S40" s="3"/>
      <c r="T40" s="3"/>
      <c r="U40" s="3"/>
      <c r="W40" s="3"/>
    </row>
    <row r="41" spans="6:23" x14ac:dyDescent="0.25">
      <c r="F41" s="28" t="s">
        <v>169</v>
      </c>
      <c r="G41" s="13" t="s">
        <v>213</v>
      </c>
      <c r="H41" s="3"/>
      <c r="I41" s="3"/>
      <c r="J41" s="140">
        <v>0</v>
      </c>
      <c r="K41" s="140">
        <v>0</v>
      </c>
      <c r="L41" s="140">
        <v>1</v>
      </c>
      <c r="M41" s="140">
        <v>0</v>
      </c>
      <c r="S41" s="3"/>
      <c r="T41" s="3"/>
      <c r="U41" s="3"/>
      <c r="W41" s="3"/>
    </row>
    <row r="42" spans="6:23" x14ac:dyDescent="0.25">
      <c r="F42" s="28" t="s">
        <v>170</v>
      </c>
      <c r="G42" s="13" t="s">
        <v>213</v>
      </c>
      <c r="H42" s="3"/>
      <c r="I42" s="3"/>
      <c r="J42" s="140">
        <v>0</v>
      </c>
      <c r="K42" s="140">
        <v>0</v>
      </c>
      <c r="L42" s="140">
        <v>0</v>
      </c>
      <c r="M42" s="140">
        <v>1</v>
      </c>
      <c r="S42" s="3"/>
      <c r="T42" s="3"/>
      <c r="U42" s="3"/>
      <c r="W42" s="3"/>
    </row>
    <row r="43" spans="6:23" x14ac:dyDescent="0.25">
      <c r="F43" s="28" t="s">
        <v>171</v>
      </c>
      <c r="G43" s="13" t="s">
        <v>213</v>
      </c>
      <c r="H43" s="3"/>
      <c r="I43" s="3"/>
      <c r="J43" s="140">
        <v>0</v>
      </c>
      <c r="K43" s="140">
        <v>0</v>
      </c>
      <c r="L43" s="140">
        <v>0</v>
      </c>
      <c r="M43" s="140">
        <v>1</v>
      </c>
      <c r="S43" s="3"/>
      <c r="T43" s="3"/>
      <c r="U43" s="3"/>
      <c r="W43" s="3"/>
    </row>
    <row r="44" spans="6:23" x14ac:dyDescent="0.25">
      <c r="F44" s="28" t="s">
        <v>172</v>
      </c>
      <c r="G44" s="13" t="s">
        <v>213</v>
      </c>
      <c r="H44" s="3"/>
      <c r="I44" s="3"/>
      <c r="J44" s="140">
        <v>0</v>
      </c>
      <c r="K44" s="140">
        <v>0</v>
      </c>
      <c r="L44" s="140">
        <v>0</v>
      </c>
      <c r="M44" s="140">
        <v>1</v>
      </c>
      <c r="S44" s="3"/>
      <c r="T44" s="3"/>
      <c r="U44" s="3"/>
      <c r="W44" s="3"/>
    </row>
    <row r="45" spans="6:23" x14ac:dyDescent="0.25">
      <c r="F45" s="28" t="s">
        <v>173</v>
      </c>
      <c r="G45" s="13" t="s">
        <v>213</v>
      </c>
      <c r="H45" s="3"/>
      <c r="I45" s="3"/>
      <c r="J45" s="140">
        <v>0</v>
      </c>
      <c r="K45" s="140">
        <v>0</v>
      </c>
      <c r="L45" s="140">
        <v>0</v>
      </c>
      <c r="M45" s="140">
        <v>1</v>
      </c>
      <c r="S45" s="3"/>
      <c r="T45" s="3"/>
      <c r="U45" s="3"/>
      <c r="W45" s="3"/>
    </row>
    <row r="46" spans="6:23" x14ac:dyDescent="0.25">
      <c r="F46" s="28" t="s">
        <v>174</v>
      </c>
      <c r="G46" s="13" t="s">
        <v>213</v>
      </c>
      <c r="H46" s="3"/>
      <c r="I46" s="3"/>
      <c r="J46" s="140">
        <v>0</v>
      </c>
      <c r="K46" s="140">
        <v>0</v>
      </c>
      <c r="L46" s="140">
        <v>1</v>
      </c>
      <c r="M46" s="140">
        <v>0</v>
      </c>
      <c r="S46" s="3"/>
      <c r="T46" s="3"/>
      <c r="U46" s="3"/>
      <c r="W46" s="3"/>
    </row>
    <row r="47" spans="6:23" x14ac:dyDescent="0.25">
      <c r="F47" s="28" t="s">
        <v>175</v>
      </c>
      <c r="G47" s="13" t="s">
        <v>213</v>
      </c>
      <c r="H47" s="3"/>
      <c r="I47" s="3"/>
      <c r="J47" s="140">
        <v>0</v>
      </c>
      <c r="K47" s="140">
        <v>0</v>
      </c>
      <c r="L47" s="140">
        <v>1</v>
      </c>
      <c r="M47" s="140">
        <v>0</v>
      </c>
      <c r="S47" s="3"/>
      <c r="T47" s="3"/>
      <c r="U47" s="3"/>
      <c r="W47" s="3"/>
    </row>
    <row r="48" spans="6:23" x14ac:dyDescent="0.25">
      <c r="F48" s="28" t="s">
        <v>176</v>
      </c>
      <c r="G48" s="13" t="s">
        <v>213</v>
      </c>
      <c r="H48" s="3"/>
      <c r="I48" s="3"/>
      <c r="J48" s="140">
        <v>0</v>
      </c>
      <c r="K48" s="140">
        <v>0</v>
      </c>
      <c r="L48" s="140">
        <v>1</v>
      </c>
      <c r="M48" s="140">
        <v>0</v>
      </c>
      <c r="S48" s="3"/>
      <c r="T48" s="3"/>
      <c r="U48" s="3"/>
      <c r="W48" s="3"/>
    </row>
    <row r="49" spans="3:23" x14ac:dyDescent="0.25">
      <c r="F49" s="28" t="s">
        <v>177</v>
      </c>
      <c r="G49" s="13" t="s">
        <v>213</v>
      </c>
      <c r="H49" s="3"/>
      <c r="I49" s="3"/>
      <c r="J49" s="140">
        <v>0</v>
      </c>
      <c r="K49" s="140">
        <v>0</v>
      </c>
      <c r="L49" s="140">
        <v>1</v>
      </c>
      <c r="M49" s="140">
        <v>0</v>
      </c>
      <c r="S49" s="3"/>
      <c r="T49" s="3"/>
      <c r="U49" s="3"/>
      <c r="W49" s="3"/>
    </row>
    <row r="50" spans="3:23" x14ac:dyDescent="0.25">
      <c r="F50" s="28" t="s">
        <v>178</v>
      </c>
      <c r="G50" s="13" t="s">
        <v>213</v>
      </c>
      <c r="H50" s="3"/>
      <c r="I50" s="3"/>
      <c r="J50" s="140">
        <v>0</v>
      </c>
      <c r="K50" s="140">
        <v>1</v>
      </c>
      <c r="L50" s="140">
        <v>0</v>
      </c>
      <c r="M50" s="140">
        <v>0</v>
      </c>
      <c r="S50" s="3"/>
      <c r="T50" s="3"/>
      <c r="U50" s="3"/>
      <c r="W50" s="3"/>
    </row>
    <row r="51" spans="3:23" x14ac:dyDescent="0.25">
      <c r="F51" s="28" t="s">
        <v>179</v>
      </c>
      <c r="G51" s="13" t="s">
        <v>213</v>
      </c>
      <c r="H51" s="3"/>
      <c r="I51" s="3"/>
      <c r="J51" s="140">
        <v>0</v>
      </c>
      <c r="K51" s="140">
        <v>1</v>
      </c>
      <c r="L51" s="140">
        <v>0</v>
      </c>
      <c r="M51" s="140">
        <v>0</v>
      </c>
      <c r="S51" s="3"/>
      <c r="T51" s="3"/>
      <c r="U51" s="3"/>
      <c r="W51" s="3"/>
    </row>
    <row r="52" spans="3:23" x14ac:dyDescent="0.25">
      <c r="F52" s="28" t="s">
        <v>180</v>
      </c>
      <c r="G52" s="13" t="s">
        <v>213</v>
      </c>
      <c r="H52" s="3"/>
      <c r="I52" s="3"/>
      <c r="J52" s="140">
        <v>0</v>
      </c>
      <c r="K52" s="140">
        <v>1</v>
      </c>
      <c r="L52" s="140">
        <v>0</v>
      </c>
      <c r="M52" s="140">
        <v>0</v>
      </c>
      <c r="S52" s="3"/>
      <c r="T52" s="3"/>
      <c r="U52" s="3"/>
      <c r="W52" s="3"/>
    </row>
    <row r="53" spans="3:23" x14ac:dyDescent="0.25">
      <c r="F53" s="67" t="s">
        <v>181</v>
      </c>
      <c r="G53" s="87" t="s">
        <v>213</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474</v>
      </c>
      <c r="H57" s="3"/>
      <c r="I57" s="3" t="s">
        <v>191</v>
      </c>
      <c r="J57" s="3"/>
      <c r="K57" s="3"/>
      <c r="L57" s="3"/>
      <c r="M57" s="3"/>
      <c r="N57" s="3"/>
      <c r="O57" s="3"/>
      <c r="P57" s="3"/>
      <c r="Q57" s="3"/>
      <c r="R57" s="3"/>
      <c r="S57" s="3"/>
      <c r="T57" s="3"/>
      <c r="U57" s="3"/>
      <c r="W57" s="3" t="s">
        <v>475</v>
      </c>
    </row>
    <row r="58" spans="3:23" x14ac:dyDescent="0.25">
      <c r="E58" s="29" t="s">
        <v>476</v>
      </c>
      <c r="H58" s="3"/>
      <c r="I58" s="3"/>
      <c r="J58" s="3"/>
      <c r="K58" s="3"/>
      <c r="L58" s="3"/>
      <c r="M58" s="3"/>
      <c r="N58" s="3"/>
      <c r="O58" s="3"/>
      <c r="P58" s="3"/>
      <c r="Q58" s="3"/>
      <c r="R58" s="3"/>
      <c r="S58" s="3"/>
      <c r="T58" s="3"/>
      <c r="U58" s="3"/>
      <c r="W58" s="3"/>
    </row>
    <row r="59" spans="3:23" x14ac:dyDescent="0.25">
      <c r="E59" s="32"/>
      <c r="F59" s="142"/>
      <c r="G59" s="142"/>
      <c r="H59" s="142"/>
      <c r="I59" s="142"/>
      <c r="J59" s="142" t="s">
        <v>226</v>
      </c>
      <c r="K59" s="143" t="s">
        <v>228</v>
      </c>
      <c r="L59" s="143" t="s">
        <v>229</v>
      </c>
      <c r="M59" s="143" t="s">
        <v>230</v>
      </c>
      <c r="N59" s="143" t="s">
        <v>231</v>
      </c>
      <c r="O59" s="143" t="s">
        <v>232</v>
      </c>
      <c r="P59" s="143" t="s">
        <v>233</v>
      </c>
      <c r="Q59" s="143" t="s">
        <v>234</v>
      </c>
      <c r="R59" s="143" t="s">
        <v>235</v>
      </c>
      <c r="S59" s="143" t="s">
        <v>236</v>
      </c>
      <c r="T59" s="143" t="s">
        <v>437</v>
      </c>
      <c r="U59" s="143" t="s">
        <v>438</v>
      </c>
    </row>
    <row r="60" spans="3:23" x14ac:dyDescent="0.25">
      <c r="F60" s="28" t="s">
        <v>223</v>
      </c>
      <c r="G60" s="72" t="s">
        <v>204</v>
      </c>
      <c r="H60" s="3"/>
      <c r="I60" s="3"/>
      <c r="J60" s="66"/>
      <c r="K60" s="66"/>
      <c r="L60" s="25">
        <f>'Inputs by network level'!L26</f>
        <v>0</v>
      </c>
      <c r="M60" s="25">
        <f>'Inputs by network level'!M26</f>
        <v>0</v>
      </c>
      <c r="N60" s="25">
        <f>'Inputs by network level'!N26</f>
        <v>0</v>
      </c>
      <c r="O60" s="25">
        <f>'Inputs by network level'!O26</f>
        <v>0</v>
      </c>
      <c r="P60" s="25">
        <f>'Inputs by network level'!P26</f>
        <v>0</v>
      </c>
      <c r="Q60" s="25">
        <f>'Inputs by network level'!Q26</f>
        <v>0.47913351897273304</v>
      </c>
      <c r="R60" s="25">
        <f>'Inputs by network level'!R26</f>
        <v>0.70892384564689981</v>
      </c>
      <c r="S60" s="25">
        <f>'Inputs by network level'!S26</f>
        <v>0.93871417232106646</v>
      </c>
      <c r="T60" s="66"/>
      <c r="U60" s="66"/>
      <c r="W60" s="3"/>
    </row>
    <row r="61" spans="3:23" x14ac:dyDescent="0.25">
      <c r="F61" s="28" t="s">
        <v>222</v>
      </c>
      <c r="G61" s="72" t="s">
        <v>204</v>
      </c>
      <c r="H61" s="3"/>
      <c r="I61" s="3"/>
      <c r="J61" s="66"/>
      <c r="K61" s="66"/>
      <c r="L61" s="25">
        <f>'Inputs by network level'!L27</f>
        <v>0</v>
      </c>
      <c r="M61" s="25">
        <f>'Inputs by network level'!M27</f>
        <v>0</v>
      </c>
      <c r="N61" s="25">
        <f>'Inputs by network level'!N27</f>
        <v>0</v>
      </c>
      <c r="O61" s="25">
        <f>'Inputs by network level'!O27</f>
        <v>0</v>
      </c>
      <c r="P61" s="25">
        <f>'Inputs by network level'!P27</f>
        <v>0</v>
      </c>
      <c r="Q61" s="25">
        <f>'Inputs by network level'!Q27</f>
        <v>0.47913351897273304</v>
      </c>
      <c r="R61" s="25">
        <f>'Inputs by network level'!R27</f>
        <v>0.70892384564689981</v>
      </c>
      <c r="S61" s="25">
        <f>'Inputs by network level'!S27</f>
        <v>0</v>
      </c>
      <c r="T61" s="66"/>
      <c r="U61" s="66"/>
      <c r="W61" s="3"/>
    </row>
    <row r="62" spans="3:23" x14ac:dyDescent="0.25">
      <c r="F62" s="28" t="s">
        <v>221</v>
      </c>
      <c r="G62" s="72" t="s">
        <v>204</v>
      </c>
      <c r="H62" s="3"/>
      <c r="I62" s="3"/>
      <c r="J62" s="66"/>
      <c r="K62" s="66"/>
      <c r="L62" s="25">
        <f>'Inputs by network level'!L28</f>
        <v>0</v>
      </c>
      <c r="M62" s="25">
        <f>'Inputs by network level'!M28</f>
        <v>0</v>
      </c>
      <c r="N62" s="25">
        <f>'Inputs by network level'!N28</f>
        <v>6.5420049562801799E-2</v>
      </c>
      <c r="O62" s="25">
        <f>'Inputs by network level'!O28</f>
        <v>0.35162962287700078</v>
      </c>
      <c r="P62" s="25">
        <f>'Inputs by network level'!P28</f>
        <v>0.35162962287700078</v>
      </c>
      <c r="Q62" s="25">
        <f>'Inputs by network level'!Q28</f>
        <v>0.63783919619119978</v>
      </c>
      <c r="R62" s="25">
        <f>'Inputs by network level'!R28</f>
        <v>0</v>
      </c>
      <c r="S62" s="25">
        <f>'Inputs by network level'!S28</f>
        <v>0</v>
      </c>
      <c r="T62" s="66"/>
      <c r="U62" s="66"/>
      <c r="W62" s="3"/>
    </row>
    <row r="63" spans="3:23" x14ac:dyDescent="0.25">
      <c r="F63" s="67" t="s">
        <v>220</v>
      </c>
      <c r="G63" s="80" t="s">
        <v>204</v>
      </c>
      <c r="H63" s="76"/>
      <c r="I63" s="76"/>
      <c r="J63" s="68"/>
      <c r="K63" s="68"/>
      <c r="L63" s="144">
        <f>'Inputs by network level'!L29</f>
        <v>0</v>
      </c>
      <c r="M63" s="144">
        <f>'Inputs by network level'!M29</f>
        <v>0</v>
      </c>
      <c r="N63" s="144">
        <f>'Inputs by network level'!N29</f>
        <v>6.5420049562801799E-2</v>
      </c>
      <c r="O63" s="144">
        <f>'Inputs by network level'!O29</f>
        <v>0.35162962287700078</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477</v>
      </c>
      <c r="H65" s="13"/>
      <c r="I65" s="3"/>
      <c r="J65" s="3"/>
      <c r="K65" s="3"/>
      <c r="L65" s="3"/>
      <c r="M65" s="3"/>
      <c r="N65" s="3"/>
      <c r="O65" s="3"/>
      <c r="P65" s="3"/>
      <c r="Q65" s="3"/>
      <c r="R65" s="3"/>
      <c r="S65" s="3"/>
      <c r="T65" s="3"/>
      <c r="U65" s="3"/>
      <c r="W65" s="3"/>
    </row>
    <row r="66" spans="5:23" x14ac:dyDescent="0.25">
      <c r="E66" s="29" t="s">
        <v>478</v>
      </c>
      <c r="H66" s="13"/>
      <c r="I66" s="3"/>
      <c r="J66" s="3"/>
      <c r="K66" s="3"/>
      <c r="L66" s="3"/>
      <c r="M66" s="3"/>
      <c r="N66" s="3"/>
      <c r="O66" s="3"/>
      <c r="P66" s="3"/>
      <c r="Q66" s="3"/>
      <c r="R66" s="3"/>
      <c r="S66" s="3"/>
      <c r="T66" s="3"/>
      <c r="U66" s="3"/>
      <c r="W66" s="3"/>
    </row>
    <row r="67" spans="5:23" x14ac:dyDescent="0.25">
      <c r="F67" s="142"/>
      <c r="G67" s="142"/>
      <c r="H67" s="145"/>
      <c r="I67" s="142"/>
      <c r="J67" s="142" t="s">
        <v>226</v>
      </c>
      <c r="K67" s="143" t="s">
        <v>228</v>
      </c>
      <c r="L67" s="143" t="s">
        <v>229</v>
      </c>
      <c r="M67" s="143" t="s">
        <v>230</v>
      </c>
      <c r="N67" s="143" t="s">
        <v>231</v>
      </c>
      <c r="O67" s="143" t="s">
        <v>232</v>
      </c>
      <c r="P67" s="143" t="s">
        <v>233</v>
      </c>
      <c r="Q67" s="143" t="s">
        <v>234</v>
      </c>
      <c r="R67" s="143" t="s">
        <v>235</v>
      </c>
      <c r="S67" s="143" t="s">
        <v>236</v>
      </c>
      <c r="T67" s="143" t="s">
        <v>437</v>
      </c>
      <c r="U67" s="143" t="s">
        <v>438</v>
      </c>
      <c r="W67" s="3"/>
    </row>
    <row r="68" spans="5:23" x14ac:dyDescent="0.25">
      <c r="F68" s="28" t="s">
        <v>149</v>
      </c>
      <c r="G68" s="28"/>
      <c r="H68" s="72" t="s">
        <v>204</v>
      </c>
      <c r="J68" s="70"/>
      <c r="K68" s="70"/>
      <c r="L68" s="114">
        <f t="shared" ref="L68:S77" si="0">$M21 * L$60 + $L21 * L$61 + $K21 * L$62 + $J21 * L$63</f>
        <v>0</v>
      </c>
      <c r="M68" s="114">
        <f t="shared" si="0"/>
        <v>0</v>
      </c>
      <c r="N68" s="114">
        <f t="shared" si="0"/>
        <v>0</v>
      </c>
      <c r="O68" s="114">
        <f t="shared" si="0"/>
        <v>0</v>
      </c>
      <c r="P68" s="114">
        <f t="shared" si="0"/>
        <v>0</v>
      </c>
      <c r="Q68" s="114">
        <f t="shared" si="0"/>
        <v>0.47913351897273304</v>
      </c>
      <c r="R68" s="114">
        <f t="shared" si="0"/>
        <v>0.70892384564689981</v>
      </c>
      <c r="S68" s="114">
        <f t="shared" si="0"/>
        <v>0.93871417232106646</v>
      </c>
      <c r="T68" s="70"/>
      <c r="U68" s="70"/>
    </row>
    <row r="69" spans="5:23" x14ac:dyDescent="0.25">
      <c r="F69" s="28" t="s">
        <v>150</v>
      </c>
      <c r="G69" s="28"/>
      <c r="H69" s="72" t="s">
        <v>204</v>
      </c>
      <c r="J69" s="70"/>
      <c r="K69" s="70"/>
      <c r="L69" s="114">
        <f t="shared" si="0"/>
        <v>0</v>
      </c>
      <c r="M69" s="114">
        <f t="shared" si="0"/>
        <v>0</v>
      </c>
      <c r="N69" s="114">
        <f t="shared" si="0"/>
        <v>0</v>
      </c>
      <c r="O69" s="114">
        <f t="shared" si="0"/>
        <v>0</v>
      </c>
      <c r="P69" s="114">
        <f t="shared" si="0"/>
        <v>0</v>
      </c>
      <c r="Q69" s="114">
        <f t="shared" si="0"/>
        <v>0.47913351897273304</v>
      </c>
      <c r="R69" s="114">
        <f t="shared" si="0"/>
        <v>0.70892384564689981</v>
      </c>
      <c r="S69" s="114">
        <f t="shared" si="0"/>
        <v>0.93871417232106646</v>
      </c>
      <c r="T69" s="70"/>
      <c r="U69" s="70"/>
    </row>
    <row r="70" spans="5:23" x14ac:dyDescent="0.25">
      <c r="F70" s="28" t="s">
        <v>151</v>
      </c>
      <c r="G70" s="28"/>
      <c r="H70" s="72" t="s">
        <v>204</v>
      </c>
      <c r="J70" s="70"/>
      <c r="K70" s="70"/>
      <c r="L70" s="114">
        <f t="shared" si="0"/>
        <v>0</v>
      </c>
      <c r="M70" s="114">
        <f t="shared" si="0"/>
        <v>0</v>
      </c>
      <c r="N70" s="114">
        <f t="shared" si="0"/>
        <v>0</v>
      </c>
      <c r="O70" s="114">
        <f t="shared" si="0"/>
        <v>0</v>
      </c>
      <c r="P70" s="114">
        <f t="shared" si="0"/>
        <v>0</v>
      </c>
      <c r="Q70" s="114">
        <f t="shared" si="0"/>
        <v>0.47913351897273304</v>
      </c>
      <c r="R70" s="114">
        <f t="shared" si="0"/>
        <v>0.70892384564689981</v>
      </c>
      <c r="S70" s="114">
        <f t="shared" si="0"/>
        <v>0.93871417232106646</v>
      </c>
      <c r="T70" s="70"/>
      <c r="U70" s="70"/>
    </row>
    <row r="71" spans="5:23" x14ac:dyDescent="0.25">
      <c r="F71" s="28" t="s">
        <v>152</v>
      </c>
      <c r="G71" s="28"/>
      <c r="H71" s="72" t="s">
        <v>204</v>
      </c>
      <c r="J71" s="70"/>
      <c r="K71" s="70"/>
      <c r="L71" s="114">
        <f t="shared" si="0"/>
        <v>0</v>
      </c>
      <c r="M71" s="114">
        <f t="shared" si="0"/>
        <v>0</v>
      </c>
      <c r="N71" s="114">
        <f t="shared" si="0"/>
        <v>0</v>
      </c>
      <c r="O71" s="114">
        <f t="shared" si="0"/>
        <v>0</v>
      </c>
      <c r="P71" s="114">
        <f t="shared" si="0"/>
        <v>0</v>
      </c>
      <c r="Q71" s="114">
        <f t="shared" si="0"/>
        <v>0.47913351897273304</v>
      </c>
      <c r="R71" s="114">
        <f t="shared" si="0"/>
        <v>0.70892384564689981</v>
      </c>
      <c r="S71" s="114">
        <f t="shared" si="0"/>
        <v>0.93871417232106646</v>
      </c>
      <c r="T71" s="70"/>
      <c r="U71" s="70"/>
    </row>
    <row r="72" spans="5:23" x14ac:dyDescent="0.25">
      <c r="F72" s="28" t="s">
        <v>153</v>
      </c>
      <c r="G72" s="28"/>
      <c r="H72" s="72" t="s">
        <v>204</v>
      </c>
      <c r="J72" s="70"/>
      <c r="K72" s="70"/>
      <c r="L72" s="114">
        <f t="shared" si="0"/>
        <v>0</v>
      </c>
      <c r="M72" s="114">
        <f t="shared" si="0"/>
        <v>0</v>
      </c>
      <c r="N72" s="114">
        <f t="shared" si="0"/>
        <v>0</v>
      </c>
      <c r="O72" s="114">
        <f t="shared" si="0"/>
        <v>0</v>
      </c>
      <c r="P72" s="114">
        <f t="shared" si="0"/>
        <v>0</v>
      </c>
      <c r="Q72" s="114">
        <f t="shared" si="0"/>
        <v>0.47913351897273304</v>
      </c>
      <c r="R72" s="114">
        <f t="shared" si="0"/>
        <v>0.70892384564689981</v>
      </c>
      <c r="S72" s="114">
        <f t="shared" si="0"/>
        <v>0.93871417232106646</v>
      </c>
      <c r="T72" s="70"/>
      <c r="U72" s="70"/>
    </row>
    <row r="73" spans="5:23" x14ac:dyDescent="0.25">
      <c r="F73" s="28" t="s">
        <v>154</v>
      </c>
      <c r="G73" s="28"/>
      <c r="H73" s="72" t="s">
        <v>204</v>
      </c>
      <c r="J73" s="70"/>
      <c r="K73" s="70"/>
      <c r="L73" s="114">
        <f t="shared" si="0"/>
        <v>0</v>
      </c>
      <c r="M73" s="114">
        <f t="shared" si="0"/>
        <v>0</v>
      </c>
      <c r="N73" s="114">
        <f t="shared" si="0"/>
        <v>0</v>
      </c>
      <c r="O73" s="114">
        <f t="shared" si="0"/>
        <v>0</v>
      </c>
      <c r="P73" s="114">
        <f t="shared" si="0"/>
        <v>0</v>
      </c>
      <c r="Q73" s="114">
        <f t="shared" si="0"/>
        <v>0.47913351897273304</v>
      </c>
      <c r="R73" s="114">
        <f t="shared" si="0"/>
        <v>0.70892384564689981</v>
      </c>
      <c r="S73" s="114">
        <f t="shared" si="0"/>
        <v>0.93871417232106646</v>
      </c>
      <c r="T73" s="70"/>
      <c r="U73" s="70"/>
    </row>
    <row r="74" spans="5:23" x14ac:dyDescent="0.25">
      <c r="F74" s="28" t="s">
        <v>155</v>
      </c>
      <c r="G74" s="28"/>
      <c r="H74" s="72" t="s">
        <v>204</v>
      </c>
      <c r="J74" s="70"/>
      <c r="K74" s="70"/>
      <c r="L74" s="114">
        <f t="shared" si="0"/>
        <v>0</v>
      </c>
      <c r="M74" s="114">
        <f t="shared" si="0"/>
        <v>0</v>
      </c>
      <c r="N74" s="114">
        <f t="shared" si="0"/>
        <v>0</v>
      </c>
      <c r="O74" s="114">
        <f t="shared" si="0"/>
        <v>0</v>
      </c>
      <c r="P74" s="114">
        <f t="shared" si="0"/>
        <v>0</v>
      </c>
      <c r="Q74" s="114">
        <f t="shared" si="0"/>
        <v>0.47913351897273304</v>
      </c>
      <c r="R74" s="114">
        <f t="shared" si="0"/>
        <v>0.70892384564689981</v>
      </c>
      <c r="S74" s="114">
        <f t="shared" si="0"/>
        <v>0.93871417232106646</v>
      </c>
      <c r="T74" s="70"/>
      <c r="U74" s="70"/>
    </row>
    <row r="75" spans="5:23" x14ac:dyDescent="0.25">
      <c r="F75" s="28" t="s">
        <v>156</v>
      </c>
      <c r="G75" s="28"/>
      <c r="H75" s="72" t="s">
        <v>204</v>
      </c>
      <c r="J75" s="70"/>
      <c r="K75" s="70"/>
      <c r="L75" s="114">
        <f t="shared" si="0"/>
        <v>0</v>
      </c>
      <c r="M75" s="114">
        <f t="shared" si="0"/>
        <v>0</v>
      </c>
      <c r="N75" s="114">
        <f t="shared" si="0"/>
        <v>0</v>
      </c>
      <c r="O75" s="114">
        <f t="shared" si="0"/>
        <v>0</v>
      </c>
      <c r="P75" s="114">
        <f t="shared" si="0"/>
        <v>0</v>
      </c>
      <c r="Q75" s="114">
        <f t="shared" si="0"/>
        <v>0.47913351897273304</v>
      </c>
      <c r="R75" s="114">
        <f t="shared" si="0"/>
        <v>0.70892384564689981</v>
      </c>
      <c r="S75" s="114">
        <f t="shared" si="0"/>
        <v>0</v>
      </c>
      <c r="T75" s="70"/>
      <c r="U75" s="70"/>
    </row>
    <row r="76" spans="5:23" x14ac:dyDescent="0.25">
      <c r="F76" s="28" t="s">
        <v>157</v>
      </c>
      <c r="G76" s="28"/>
      <c r="H76" s="72" t="s">
        <v>204</v>
      </c>
      <c r="J76" s="70"/>
      <c r="K76" s="70"/>
      <c r="L76" s="114">
        <f t="shared" si="0"/>
        <v>0</v>
      </c>
      <c r="M76" s="114">
        <f t="shared" si="0"/>
        <v>0</v>
      </c>
      <c r="N76" s="114">
        <f t="shared" si="0"/>
        <v>6.5420049562801799E-2</v>
      </c>
      <c r="O76" s="114">
        <f t="shared" si="0"/>
        <v>0.35162962287700078</v>
      </c>
      <c r="P76" s="114">
        <f t="shared" si="0"/>
        <v>0.35162962287700078</v>
      </c>
      <c r="Q76" s="114">
        <f t="shared" si="0"/>
        <v>0.63783919619119978</v>
      </c>
      <c r="R76" s="114">
        <f t="shared" si="0"/>
        <v>0</v>
      </c>
      <c r="S76" s="114">
        <f t="shared" si="0"/>
        <v>0</v>
      </c>
      <c r="T76" s="70"/>
      <c r="U76" s="70"/>
    </row>
    <row r="77" spans="5:23" x14ac:dyDescent="0.25">
      <c r="F77" s="28" t="s">
        <v>158</v>
      </c>
      <c r="G77" s="28"/>
      <c r="H77" s="72" t="s">
        <v>204</v>
      </c>
      <c r="J77" s="70"/>
      <c r="K77" s="70"/>
      <c r="L77" s="114">
        <f t="shared" si="0"/>
        <v>0</v>
      </c>
      <c r="M77" s="114">
        <f t="shared" si="0"/>
        <v>0</v>
      </c>
      <c r="N77" s="114">
        <f t="shared" si="0"/>
        <v>0</v>
      </c>
      <c r="O77" s="114">
        <f t="shared" si="0"/>
        <v>0</v>
      </c>
      <c r="P77" s="114">
        <f t="shared" si="0"/>
        <v>0</v>
      </c>
      <c r="Q77" s="114">
        <f t="shared" si="0"/>
        <v>0.47913351897273304</v>
      </c>
      <c r="R77" s="114">
        <f t="shared" si="0"/>
        <v>0.70892384564689981</v>
      </c>
      <c r="S77" s="114">
        <f t="shared" si="0"/>
        <v>0.93871417232106646</v>
      </c>
      <c r="T77" s="70"/>
      <c r="U77" s="70"/>
    </row>
    <row r="78" spans="5:23" x14ac:dyDescent="0.25">
      <c r="F78" s="28" t="s">
        <v>159</v>
      </c>
      <c r="G78" s="28"/>
      <c r="H78" s="72" t="s">
        <v>204</v>
      </c>
      <c r="J78" s="70"/>
      <c r="K78" s="70"/>
      <c r="L78" s="114">
        <f t="shared" ref="L78:S87" si="1">$M31 * L$60 + $L31 * L$61 + $K31 * L$62 + $J31 * L$63</f>
        <v>0</v>
      </c>
      <c r="M78" s="114">
        <f t="shared" si="1"/>
        <v>0</v>
      </c>
      <c r="N78" s="114">
        <f t="shared" si="1"/>
        <v>0</v>
      </c>
      <c r="O78" s="114">
        <f t="shared" si="1"/>
        <v>0</v>
      </c>
      <c r="P78" s="114">
        <f t="shared" si="1"/>
        <v>0</v>
      </c>
      <c r="Q78" s="114">
        <f t="shared" si="1"/>
        <v>0.47913351897273304</v>
      </c>
      <c r="R78" s="114">
        <f t="shared" si="1"/>
        <v>0.70892384564689981</v>
      </c>
      <c r="S78" s="114">
        <f t="shared" si="1"/>
        <v>0.93871417232106646</v>
      </c>
      <c r="T78" s="70"/>
      <c r="U78" s="70"/>
    </row>
    <row r="79" spans="5:23" x14ac:dyDescent="0.25">
      <c r="F79" s="28" t="s">
        <v>160</v>
      </c>
      <c r="G79" s="28"/>
      <c r="H79" s="72" t="s">
        <v>204</v>
      </c>
      <c r="J79" s="70"/>
      <c r="K79" s="70"/>
      <c r="L79" s="114">
        <f t="shared" si="1"/>
        <v>0</v>
      </c>
      <c r="M79" s="114">
        <f t="shared" si="1"/>
        <v>0</v>
      </c>
      <c r="N79" s="114">
        <f t="shared" si="1"/>
        <v>0</v>
      </c>
      <c r="O79" s="114">
        <f t="shared" si="1"/>
        <v>0</v>
      </c>
      <c r="P79" s="114">
        <f t="shared" si="1"/>
        <v>0</v>
      </c>
      <c r="Q79" s="114">
        <f t="shared" si="1"/>
        <v>0.47913351897273304</v>
      </c>
      <c r="R79" s="114">
        <f t="shared" si="1"/>
        <v>0.70892384564689981</v>
      </c>
      <c r="S79" s="114">
        <f t="shared" si="1"/>
        <v>0.93871417232106646</v>
      </c>
      <c r="T79" s="70"/>
      <c r="U79" s="70"/>
    </row>
    <row r="80" spans="5:23" x14ac:dyDescent="0.25">
      <c r="F80" s="28" t="s">
        <v>161</v>
      </c>
      <c r="G80" s="28"/>
      <c r="H80" s="72" t="s">
        <v>204</v>
      </c>
      <c r="J80" s="70"/>
      <c r="K80" s="70"/>
      <c r="L80" s="114">
        <f t="shared" si="1"/>
        <v>0</v>
      </c>
      <c r="M80" s="114">
        <f t="shared" si="1"/>
        <v>0</v>
      </c>
      <c r="N80" s="114">
        <f t="shared" si="1"/>
        <v>0</v>
      </c>
      <c r="O80" s="114">
        <f t="shared" si="1"/>
        <v>0</v>
      </c>
      <c r="P80" s="114">
        <f t="shared" si="1"/>
        <v>0</v>
      </c>
      <c r="Q80" s="114">
        <f t="shared" si="1"/>
        <v>0.47913351897273304</v>
      </c>
      <c r="R80" s="114">
        <f t="shared" si="1"/>
        <v>0.70892384564689981</v>
      </c>
      <c r="S80" s="114">
        <f t="shared" si="1"/>
        <v>0</v>
      </c>
      <c r="T80" s="70"/>
      <c r="U80" s="70"/>
    </row>
    <row r="81" spans="6:21" x14ac:dyDescent="0.25">
      <c r="F81" s="28" t="s">
        <v>162</v>
      </c>
      <c r="G81" s="28"/>
      <c r="H81" s="72" t="s">
        <v>204</v>
      </c>
      <c r="J81" s="70"/>
      <c r="K81" s="70"/>
      <c r="L81" s="114">
        <f t="shared" si="1"/>
        <v>0</v>
      </c>
      <c r="M81" s="114">
        <f t="shared" si="1"/>
        <v>0</v>
      </c>
      <c r="N81" s="114">
        <f t="shared" si="1"/>
        <v>6.5420049562801799E-2</v>
      </c>
      <c r="O81" s="114">
        <f t="shared" si="1"/>
        <v>0.35162962287700078</v>
      </c>
      <c r="P81" s="114">
        <f t="shared" si="1"/>
        <v>0.35162962287700078</v>
      </c>
      <c r="Q81" s="114">
        <f t="shared" si="1"/>
        <v>0.63783919619119978</v>
      </c>
      <c r="R81" s="114">
        <f t="shared" si="1"/>
        <v>0</v>
      </c>
      <c r="S81" s="114">
        <f t="shared" si="1"/>
        <v>0</v>
      </c>
      <c r="T81" s="70"/>
      <c r="U81" s="70"/>
    </row>
    <row r="82" spans="6:21" x14ac:dyDescent="0.25">
      <c r="F82" s="28" t="s">
        <v>163</v>
      </c>
      <c r="G82" s="28"/>
      <c r="H82" s="72" t="s">
        <v>204</v>
      </c>
      <c r="J82" s="70"/>
      <c r="K82" s="70"/>
      <c r="L82" s="114">
        <f t="shared" si="1"/>
        <v>0</v>
      </c>
      <c r="M82" s="114">
        <f t="shared" si="1"/>
        <v>0</v>
      </c>
      <c r="N82" s="114">
        <f t="shared" si="1"/>
        <v>0</v>
      </c>
      <c r="O82" s="114">
        <f t="shared" si="1"/>
        <v>0</v>
      </c>
      <c r="P82" s="114">
        <f t="shared" si="1"/>
        <v>0</v>
      </c>
      <c r="Q82" s="114">
        <f t="shared" si="1"/>
        <v>0.47913351897273304</v>
      </c>
      <c r="R82" s="114">
        <f t="shared" si="1"/>
        <v>0.70892384564689981</v>
      </c>
      <c r="S82" s="114">
        <f t="shared" si="1"/>
        <v>0.93871417232106646</v>
      </c>
      <c r="T82" s="70"/>
      <c r="U82" s="70"/>
    </row>
    <row r="83" spans="6:21" x14ac:dyDescent="0.25">
      <c r="F83" s="28" t="s">
        <v>164</v>
      </c>
      <c r="G83" s="28"/>
      <c r="H83" s="72" t="s">
        <v>204</v>
      </c>
      <c r="J83" s="70"/>
      <c r="K83" s="70"/>
      <c r="L83" s="114">
        <f t="shared" si="1"/>
        <v>0</v>
      </c>
      <c r="M83" s="114">
        <f t="shared" si="1"/>
        <v>0</v>
      </c>
      <c r="N83" s="114">
        <f t="shared" si="1"/>
        <v>0</v>
      </c>
      <c r="O83" s="114">
        <f t="shared" si="1"/>
        <v>0</v>
      </c>
      <c r="P83" s="114">
        <f t="shared" si="1"/>
        <v>0</v>
      </c>
      <c r="Q83" s="114">
        <f t="shared" si="1"/>
        <v>0.47913351897273304</v>
      </c>
      <c r="R83" s="114">
        <f t="shared" si="1"/>
        <v>0.70892384564689981</v>
      </c>
      <c r="S83" s="114">
        <f t="shared" si="1"/>
        <v>0.93871417232106646</v>
      </c>
      <c r="T83" s="70"/>
      <c r="U83" s="70"/>
    </row>
    <row r="84" spans="6:21" x14ac:dyDescent="0.25">
      <c r="F84" s="28" t="s">
        <v>165</v>
      </c>
      <c r="G84" s="28"/>
      <c r="H84" s="72" t="s">
        <v>204</v>
      </c>
      <c r="J84" s="70"/>
      <c r="K84" s="70"/>
      <c r="L84" s="114">
        <f t="shared" si="1"/>
        <v>0</v>
      </c>
      <c r="M84" s="114">
        <f t="shared" si="1"/>
        <v>0</v>
      </c>
      <c r="N84" s="114">
        <f t="shared" si="1"/>
        <v>0</v>
      </c>
      <c r="O84" s="114">
        <f t="shared" si="1"/>
        <v>0</v>
      </c>
      <c r="P84" s="114">
        <f t="shared" si="1"/>
        <v>0</v>
      </c>
      <c r="Q84" s="114">
        <f t="shared" si="1"/>
        <v>0.47913351897273304</v>
      </c>
      <c r="R84" s="114">
        <f t="shared" si="1"/>
        <v>0.70892384564689981</v>
      </c>
      <c r="S84" s="114">
        <f t="shared" si="1"/>
        <v>0.93871417232106646</v>
      </c>
      <c r="T84" s="70"/>
      <c r="U84" s="70"/>
    </row>
    <row r="85" spans="6:21" x14ac:dyDescent="0.25">
      <c r="F85" s="28" t="s">
        <v>166</v>
      </c>
      <c r="G85" s="28"/>
      <c r="H85" s="72" t="s">
        <v>204</v>
      </c>
      <c r="J85" s="70"/>
      <c r="K85" s="70"/>
      <c r="L85" s="114">
        <f t="shared" si="1"/>
        <v>0</v>
      </c>
      <c r="M85" s="114">
        <f t="shared" si="1"/>
        <v>0</v>
      </c>
      <c r="N85" s="114">
        <f t="shared" si="1"/>
        <v>0</v>
      </c>
      <c r="O85" s="114">
        <f t="shared" si="1"/>
        <v>0</v>
      </c>
      <c r="P85" s="114">
        <f t="shared" si="1"/>
        <v>0</v>
      </c>
      <c r="Q85" s="114">
        <f t="shared" si="1"/>
        <v>0.47913351897273304</v>
      </c>
      <c r="R85" s="114">
        <f t="shared" si="1"/>
        <v>0.70892384564689981</v>
      </c>
      <c r="S85" s="114">
        <f t="shared" si="1"/>
        <v>0.93871417232106646</v>
      </c>
      <c r="T85" s="70"/>
      <c r="U85" s="70"/>
    </row>
    <row r="86" spans="6:21" x14ac:dyDescent="0.25">
      <c r="F86" s="28" t="s">
        <v>167</v>
      </c>
      <c r="G86" s="28"/>
      <c r="H86" s="72" t="s">
        <v>204</v>
      </c>
      <c r="J86" s="70"/>
      <c r="K86" s="70"/>
      <c r="L86" s="114">
        <f t="shared" si="1"/>
        <v>0</v>
      </c>
      <c r="M86" s="114">
        <f t="shared" si="1"/>
        <v>0</v>
      </c>
      <c r="N86" s="114">
        <f t="shared" si="1"/>
        <v>0</v>
      </c>
      <c r="O86" s="114">
        <f t="shared" si="1"/>
        <v>0</v>
      </c>
      <c r="P86" s="114">
        <f t="shared" si="1"/>
        <v>0</v>
      </c>
      <c r="Q86" s="114">
        <f t="shared" si="1"/>
        <v>0.47913351897273304</v>
      </c>
      <c r="R86" s="114">
        <f t="shared" si="1"/>
        <v>0.70892384564689981</v>
      </c>
      <c r="S86" s="114">
        <f t="shared" si="1"/>
        <v>0.93871417232106646</v>
      </c>
      <c r="T86" s="70"/>
      <c r="U86" s="70"/>
    </row>
    <row r="87" spans="6:21" x14ac:dyDescent="0.25">
      <c r="F87" s="28" t="s">
        <v>168</v>
      </c>
      <c r="G87" s="28"/>
      <c r="H87" s="72" t="s">
        <v>204</v>
      </c>
      <c r="J87" s="70"/>
      <c r="K87" s="70"/>
      <c r="L87" s="114">
        <f t="shared" si="1"/>
        <v>0</v>
      </c>
      <c r="M87" s="114">
        <f t="shared" si="1"/>
        <v>0</v>
      </c>
      <c r="N87" s="114">
        <f t="shared" si="1"/>
        <v>0</v>
      </c>
      <c r="O87" s="114">
        <f t="shared" si="1"/>
        <v>0</v>
      </c>
      <c r="P87" s="114">
        <f t="shared" si="1"/>
        <v>0</v>
      </c>
      <c r="Q87" s="114">
        <f t="shared" si="1"/>
        <v>0.47913351897273304</v>
      </c>
      <c r="R87" s="114">
        <f t="shared" si="1"/>
        <v>0.70892384564689981</v>
      </c>
      <c r="S87" s="114">
        <f t="shared" si="1"/>
        <v>0.93871417232106646</v>
      </c>
      <c r="T87" s="70"/>
      <c r="U87" s="70"/>
    </row>
    <row r="88" spans="6:21" x14ac:dyDescent="0.25">
      <c r="F88" s="28" t="s">
        <v>169</v>
      </c>
      <c r="G88" s="28"/>
      <c r="H88" s="72" t="s">
        <v>204</v>
      </c>
      <c r="J88" s="70"/>
      <c r="K88" s="70"/>
      <c r="L88" s="114">
        <f t="shared" ref="L88:S97" si="2">$M41 * L$60 + $L41 * L$61 + $K41 * L$62 + $J41 * L$63</f>
        <v>0</v>
      </c>
      <c r="M88" s="114">
        <f t="shared" si="2"/>
        <v>0</v>
      </c>
      <c r="N88" s="114">
        <f t="shared" si="2"/>
        <v>0</v>
      </c>
      <c r="O88" s="114">
        <f t="shared" si="2"/>
        <v>0</v>
      </c>
      <c r="P88" s="114">
        <f t="shared" si="2"/>
        <v>0</v>
      </c>
      <c r="Q88" s="114">
        <f t="shared" si="2"/>
        <v>0.47913351897273304</v>
      </c>
      <c r="R88" s="114">
        <f t="shared" si="2"/>
        <v>0.70892384564689981</v>
      </c>
      <c r="S88" s="114">
        <f t="shared" si="2"/>
        <v>0</v>
      </c>
      <c r="T88" s="70"/>
      <c r="U88" s="70"/>
    </row>
    <row r="89" spans="6:21" x14ac:dyDescent="0.25">
      <c r="F89" s="28" t="s">
        <v>170</v>
      </c>
      <c r="G89" s="28"/>
      <c r="H89" s="72" t="s">
        <v>204</v>
      </c>
      <c r="J89" s="70"/>
      <c r="K89" s="70"/>
      <c r="L89" s="114">
        <f t="shared" si="2"/>
        <v>0</v>
      </c>
      <c r="M89" s="114">
        <f t="shared" si="2"/>
        <v>0</v>
      </c>
      <c r="N89" s="114">
        <f t="shared" si="2"/>
        <v>0</v>
      </c>
      <c r="O89" s="114">
        <f t="shared" si="2"/>
        <v>0</v>
      </c>
      <c r="P89" s="114">
        <f t="shared" si="2"/>
        <v>0</v>
      </c>
      <c r="Q89" s="114">
        <f t="shared" si="2"/>
        <v>0.47913351897273304</v>
      </c>
      <c r="R89" s="114">
        <f t="shared" si="2"/>
        <v>0.70892384564689981</v>
      </c>
      <c r="S89" s="114">
        <f t="shared" si="2"/>
        <v>0.93871417232106646</v>
      </c>
      <c r="T89" s="70"/>
      <c r="U89" s="70"/>
    </row>
    <row r="90" spans="6:21" x14ac:dyDescent="0.25">
      <c r="F90" s="28" t="s">
        <v>171</v>
      </c>
      <c r="G90" s="28"/>
      <c r="H90" s="72" t="s">
        <v>204</v>
      </c>
      <c r="J90" s="70"/>
      <c r="K90" s="70"/>
      <c r="L90" s="114">
        <f t="shared" si="2"/>
        <v>0</v>
      </c>
      <c r="M90" s="114">
        <f t="shared" si="2"/>
        <v>0</v>
      </c>
      <c r="N90" s="114">
        <f t="shared" si="2"/>
        <v>0</v>
      </c>
      <c r="O90" s="114">
        <f t="shared" si="2"/>
        <v>0</v>
      </c>
      <c r="P90" s="114">
        <f t="shared" si="2"/>
        <v>0</v>
      </c>
      <c r="Q90" s="114">
        <f t="shared" si="2"/>
        <v>0.47913351897273304</v>
      </c>
      <c r="R90" s="114">
        <f t="shared" si="2"/>
        <v>0.70892384564689981</v>
      </c>
      <c r="S90" s="114">
        <f t="shared" si="2"/>
        <v>0.93871417232106646</v>
      </c>
      <c r="T90" s="70"/>
      <c r="U90" s="70"/>
    </row>
    <row r="91" spans="6:21" x14ac:dyDescent="0.25">
      <c r="F91" s="28" t="s">
        <v>172</v>
      </c>
      <c r="G91" s="28"/>
      <c r="H91" s="72" t="s">
        <v>204</v>
      </c>
      <c r="J91" s="70"/>
      <c r="K91" s="70"/>
      <c r="L91" s="114">
        <f t="shared" si="2"/>
        <v>0</v>
      </c>
      <c r="M91" s="114">
        <f t="shared" si="2"/>
        <v>0</v>
      </c>
      <c r="N91" s="114">
        <f t="shared" si="2"/>
        <v>0</v>
      </c>
      <c r="O91" s="114">
        <f t="shared" si="2"/>
        <v>0</v>
      </c>
      <c r="P91" s="114">
        <f t="shared" si="2"/>
        <v>0</v>
      </c>
      <c r="Q91" s="114">
        <f t="shared" si="2"/>
        <v>0.47913351897273304</v>
      </c>
      <c r="R91" s="114">
        <f t="shared" si="2"/>
        <v>0.70892384564689981</v>
      </c>
      <c r="S91" s="114">
        <f t="shared" si="2"/>
        <v>0.93871417232106646</v>
      </c>
      <c r="T91" s="70"/>
      <c r="U91" s="70"/>
    </row>
    <row r="92" spans="6:21" x14ac:dyDescent="0.25">
      <c r="F92" s="28" t="s">
        <v>173</v>
      </c>
      <c r="G92" s="28"/>
      <c r="H92" s="72" t="s">
        <v>204</v>
      </c>
      <c r="J92" s="70"/>
      <c r="K92" s="70"/>
      <c r="L92" s="114">
        <f t="shared" si="2"/>
        <v>0</v>
      </c>
      <c r="M92" s="114">
        <f t="shared" si="2"/>
        <v>0</v>
      </c>
      <c r="N92" s="114">
        <f t="shared" si="2"/>
        <v>0</v>
      </c>
      <c r="O92" s="114">
        <f t="shared" si="2"/>
        <v>0</v>
      </c>
      <c r="P92" s="114">
        <f t="shared" si="2"/>
        <v>0</v>
      </c>
      <c r="Q92" s="114">
        <f t="shared" si="2"/>
        <v>0.47913351897273304</v>
      </c>
      <c r="R92" s="114">
        <f t="shared" si="2"/>
        <v>0.70892384564689981</v>
      </c>
      <c r="S92" s="114">
        <f t="shared" si="2"/>
        <v>0.93871417232106646</v>
      </c>
      <c r="T92" s="70"/>
      <c r="U92" s="70"/>
    </row>
    <row r="93" spans="6:21" x14ac:dyDescent="0.25">
      <c r="F93" s="28" t="s">
        <v>174</v>
      </c>
      <c r="G93" s="28"/>
      <c r="H93" s="72" t="s">
        <v>204</v>
      </c>
      <c r="J93" s="70"/>
      <c r="K93" s="70"/>
      <c r="L93" s="114">
        <f t="shared" si="2"/>
        <v>0</v>
      </c>
      <c r="M93" s="114">
        <f t="shared" si="2"/>
        <v>0</v>
      </c>
      <c r="N93" s="114">
        <f t="shared" si="2"/>
        <v>0</v>
      </c>
      <c r="O93" s="114">
        <f t="shared" si="2"/>
        <v>0</v>
      </c>
      <c r="P93" s="114">
        <f t="shared" si="2"/>
        <v>0</v>
      </c>
      <c r="Q93" s="114">
        <f t="shared" si="2"/>
        <v>0.47913351897273304</v>
      </c>
      <c r="R93" s="114">
        <f t="shared" si="2"/>
        <v>0.70892384564689981</v>
      </c>
      <c r="S93" s="114">
        <f t="shared" si="2"/>
        <v>0</v>
      </c>
      <c r="T93" s="70"/>
      <c r="U93" s="70"/>
    </row>
    <row r="94" spans="6:21" x14ac:dyDescent="0.25">
      <c r="F94" s="28" t="s">
        <v>175</v>
      </c>
      <c r="G94" s="28"/>
      <c r="H94" s="72" t="s">
        <v>204</v>
      </c>
      <c r="J94" s="70"/>
      <c r="K94" s="70"/>
      <c r="L94" s="114">
        <f t="shared" si="2"/>
        <v>0</v>
      </c>
      <c r="M94" s="114">
        <f t="shared" si="2"/>
        <v>0</v>
      </c>
      <c r="N94" s="114">
        <f t="shared" si="2"/>
        <v>0</v>
      </c>
      <c r="O94" s="114">
        <f t="shared" si="2"/>
        <v>0</v>
      </c>
      <c r="P94" s="114">
        <f t="shared" si="2"/>
        <v>0</v>
      </c>
      <c r="Q94" s="114">
        <f t="shared" si="2"/>
        <v>0.47913351897273304</v>
      </c>
      <c r="R94" s="114">
        <f t="shared" si="2"/>
        <v>0.70892384564689981</v>
      </c>
      <c r="S94" s="114">
        <f t="shared" si="2"/>
        <v>0</v>
      </c>
      <c r="T94" s="70"/>
      <c r="U94" s="70"/>
    </row>
    <row r="95" spans="6:21" x14ac:dyDescent="0.25">
      <c r="F95" s="28" t="s">
        <v>176</v>
      </c>
      <c r="G95" s="28"/>
      <c r="H95" s="72" t="s">
        <v>204</v>
      </c>
      <c r="J95" s="70"/>
      <c r="K95" s="70"/>
      <c r="L95" s="114">
        <f t="shared" si="2"/>
        <v>0</v>
      </c>
      <c r="M95" s="114">
        <f t="shared" si="2"/>
        <v>0</v>
      </c>
      <c r="N95" s="114">
        <f t="shared" si="2"/>
        <v>0</v>
      </c>
      <c r="O95" s="114">
        <f t="shared" si="2"/>
        <v>0</v>
      </c>
      <c r="P95" s="114">
        <f t="shared" si="2"/>
        <v>0</v>
      </c>
      <c r="Q95" s="114">
        <f t="shared" si="2"/>
        <v>0.47913351897273304</v>
      </c>
      <c r="R95" s="114">
        <f t="shared" si="2"/>
        <v>0.70892384564689981</v>
      </c>
      <c r="S95" s="114">
        <f t="shared" si="2"/>
        <v>0</v>
      </c>
      <c r="T95" s="70"/>
      <c r="U95" s="70"/>
    </row>
    <row r="96" spans="6:21" x14ac:dyDescent="0.25">
      <c r="F96" s="28" t="s">
        <v>177</v>
      </c>
      <c r="G96" s="28"/>
      <c r="H96" s="72" t="s">
        <v>204</v>
      </c>
      <c r="J96" s="70"/>
      <c r="K96" s="70"/>
      <c r="L96" s="114">
        <f t="shared" si="2"/>
        <v>0</v>
      </c>
      <c r="M96" s="114">
        <f t="shared" si="2"/>
        <v>0</v>
      </c>
      <c r="N96" s="114">
        <f t="shared" si="2"/>
        <v>0</v>
      </c>
      <c r="O96" s="114">
        <f t="shared" si="2"/>
        <v>0</v>
      </c>
      <c r="P96" s="114">
        <f t="shared" si="2"/>
        <v>0</v>
      </c>
      <c r="Q96" s="114">
        <f t="shared" si="2"/>
        <v>0.47913351897273304</v>
      </c>
      <c r="R96" s="114">
        <f t="shared" si="2"/>
        <v>0.70892384564689981</v>
      </c>
      <c r="S96" s="114">
        <f t="shared" si="2"/>
        <v>0</v>
      </c>
      <c r="T96" s="70"/>
      <c r="U96" s="70"/>
    </row>
    <row r="97" spans="2:23" x14ac:dyDescent="0.25">
      <c r="F97" s="28" t="s">
        <v>178</v>
      </c>
      <c r="G97" s="28"/>
      <c r="H97" s="72" t="s">
        <v>204</v>
      </c>
      <c r="J97" s="70"/>
      <c r="K97" s="70"/>
      <c r="L97" s="114">
        <f t="shared" si="2"/>
        <v>0</v>
      </c>
      <c r="M97" s="114">
        <f t="shared" si="2"/>
        <v>0</v>
      </c>
      <c r="N97" s="114">
        <f t="shared" si="2"/>
        <v>6.5420049562801799E-2</v>
      </c>
      <c r="O97" s="114">
        <f t="shared" si="2"/>
        <v>0.35162962287700078</v>
      </c>
      <c r="P97" s="114">
        <f t="shared" si="2"/>
        <v>0.35162962287700078</v>
      </c>
      <c r="Q97" s="114">
        <f t="shared" si="2"/>
        <v>0.63783919619119978</v>
      </c>
      <c r="R97" s="114">
        <f t="shared" si="2"/>
        <v>0</v>
      </c>
      <c r="S97" s="114">
        <f t="shared" si="2"/>
        <v>0</v>
      </c>
      <c r="T97" s="70"/>
      <c r="U97" s="70"/>
    </row>
    <row r="98" spans="2:23" x14ac:dyDescent="0.25">
      <c r="F98" s="28" t="s">
        <v>179</v>
      </c>
      <c r="G98" s="28"/>
      <c r="H98" s="72" t="s">
        <v>204</v>
      </c>
      <c r="J98" s="70"/>
      <c r="K98" s="70"/>
      <c r="L98" s="114">
        <f t="shared" ref="L98:S100" si="3">$M51 * L$60 + $L51 * L$61 + $K51 * L$62 + $J51 * L$63</f>
        <v>0</v>
      </c>
      <c r="M98" s="114">
        <f t="shared" si="3"/>
        <v>0</v>
      </c>
      <c r="N98" s="114">
        <f t="shared" si="3"/>
        <v>6.5420049562801799E-2</v>
      </c>
      <c r="O98" s="114">
        <f t="shared" si="3"/>
        <v>0.35162962287700078</v>
      </c>
      <c r="P98" s="114">
        <f t="shared" si="3"/>
        <v>0.35162962287700078</v>
      </c>
      <c r="Q98" s="114">
        <f t="shared" si="3"/>
        <v>0.63783919619119978</v>
      </c>
      <c r="R98" s="114">
        <f t="shared" si="3"/>
        <v>0</v>
      </c>
      <c r="S98" s="114">
        <f t="shared" si="3"/>
        <v>0</v>
      </c>
      <c r="T98" s="70"/>
      <c r="U98" s="70"/>
    </row>
    <row r="99" spans="2:23" x14ac:dyDescent="0.25">
      <c r="F99" s="28" t="s">
        <v>180</v>
      </c>
      <c r="G99" s="28"/>
      <c r="H99" s="72" t="s">
        <v>204</v>
      </c>
      <c r="J99" s="70"/>
      <c r="K99" s="70"/>
      <c r="L99" s="114">
        <f t="shared" si="3"/>
        <v>0</v>
      </c>
      <c r="M99" s="114">
        <f t="shared" si="3"/>
        <v>0</v>
      </c>
      <c r="N99" s="114">
        <f t="shared" si="3"/>
        <v>6.5420049562801799E-2</v>
      </c>
      <c r="O99" s="114">
        <f t="shared" si="3"/>
        <v>0.35162962287700078</v>
      </c>
      <c r="P99" s="114">
        <f t="shared" si="3"/>
        <v>0.35162962287700078</v>
      </c>
      <c r="Q99" s="114">
        <f t="shared" si="3"/>
        <v>0.63783919619119978</v>
      </c>
      <c r="R99" s="114">
        <f t="shared" si="3"/>
        <v>0</v>
      </c>
      <c r="S99" s="114">
        <f t="shared" si="3"/>
        <v>0</v>
      </c>
      <c r="T99" s="70"/>
      <c r="U99" s="70"/>
    </row>
    <row r="100" spans="2:23" x14ac:dyDescent="0.25">
      <c r="F100" s="67" t="s">
        <v>181</v>
      </c>
      <c r="G100" s="67"/>
      <c r="H100" s="80" t="s">
        <v>204</v>
      </c>
      <c r="I100" s="37"/>
      <c r="J100" s="71"/>
      <c r="K100" s="71"/>
      <c r="L100" s="146">
        <f t="shared" si="3"/>
        <v>0</v>
      </c>
      <c r="M100" s="146">
        <f t="shared" si="3"/>
        <v>0</v>
      </c>
      <c r="N100" s="146">
        <f t="shared" si="3"/>
        <v>6.5420049562801799E-2</v>
      </c>
      <c r="O100" s="146">
        <f t="shared" si="3"/>
        <v>0.35162962287700078</v>
      </c>
      <c r="P100" s="146">
        <f t="shared" si="3"/>
        <v>0.35162962287700078</v>
      </c>
      <c r="Q100" s="146">
        <f t="shared" si="3"/>
        <v>0.63783919619119978</v>
      </c>
      <c r="R100" s="146">
        <f t="shared" si="3"/>
        <v>0</v>
      </c>
      <c r="S100" s="146">
        <f t="shared" si="3"/>
        <v>0</v>
      </c>
      <c r="T100" s="71"/>
      <c r="U100" s="71"/>
    </row>
    <row r="102" spans="2:23" x14ac:dyDescent="0.25">
      <c r="B102" s="107" t="s">
        <v>281</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282</v>
      </c>
      <c r="G104" s="6" t="s">
        <v>57</v>
      </c>
      <c r="H104" s="26">
        <f t="array" ref="H104">SUM(IF(ISERROR(H21:U100), 1))</f>
        <v>0</v>
      </c>
    </row>
    <row r="106" spans="2:23" x14ac:dyDescent="0.25">
      <c r="B106" s="107" t="s">
        <v>108</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WPD EMEB - [enter data version name]</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479</v>
      </c>
    </row>
    <row r="10" spans="1:60" x14ac:dyDescent="0.25">
      <c r="C10" s="29" t="s">
        <v>480</v>
      </c>
    </row>
    <row r="11" spans="1:60" x14ac:dyDescent="0.25">
      <c r="C11" s="29" t="s">
        <v>481</v>
      </c>
    </row>
    <row r="13" spans="1:60" x14ac:dyDescent="0.25">
      <c r="B13" s="30" t="s">
        <v>482</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483</v>
      </c>
    </row>
    <row r="18" spans="4:60" x14ac:dyDescent="0.25">
      <c r="D18" s="29" t="s">
        <v>484</v>
      </c>
    </row>
    <row r="19" spans="4:60" x14ac:dyDescent="0.25">
      <c r="D19" s="29"/>
    </row>
    <row r="20" spans="4:60" x14ac:dyDescent="0.25">
      <c r="E20" s="91" t="s">
        <v>485</v>
      </c>
      <c r="I20" t="s">
        <v>191</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486</v>
      </c>
      <c r="AR21" t="s">
        <v>487</v>
      </c>
    </row>
    <row r="22" spans="4:60" x14ac:dyDescent="0.25">
      <c r="F22" s="23" t="s">
        <v>212</v>
      </c>
      <c r="G22" s="23" t="s">
        <v>204</v>
      </c>
      <c r="H22" s="110">
        <f>'General inputs'!H30</f>
        <v>0.30448390017089322</v>
      </c>
      <c r="L22" s="63"/>
      <c r="M22" s="63"/>
      <c r="BH22" s="3"/>
    </row>
    <row r="23" spans="4:60" x14ac:dyDescent="0.25">
      <c r="F23" t="s">
        <v>214</v>
      </c>
      <c r="G23" t="s">
        <v>204</v>
      </c>
      <c r="H23" s="25">
        <f>'General inputs'!H31</f>
        <v>0.47123400364058998</v>
      </c>
      <c r="L23" s="63"/>
      <c r="M23" s="63"/>
      <c r="BH23" s="3"/>
    </row>
    <row r="24" spans="4:60" x14ac:dyDescent="0.25">
      <c r="F24" t="s">
        <v>215</v>
      </c>
      <c r="G24" t="s">
        <v>204</v>
      </c>
      <c r="H24" s="25">
        <f>'General inputs'!H32</f>
        <v>0.22825407639898521</v>
      </c>
      <c r="L24" s="63"/>
      <c r="M24" s="63"/>
      <c r="BH24" s="3"/>
    </row>
    <row r="25" spans="4:60" x14ac:dyDescent="0.25">
      <c r="F25" s="37" t="s">
        <v>216</v>
      </c>
      <c r="G25" s="37" t="s">
        <v>204</v>
      </c>
      <c r="H25" s="144">
        <f>'General inputs'!H33</f>
        <v>0.12559312203105261</v>
      </c>
      <c r="L25" s="63"/>
      <c r="M25" s="63"/>
      <c r="BH25" s="3"/>
    </row>
    <row r="27" spans="4:60" x14ac:dyDescent="0.25">
      <c r="E27" s="32" t="s">
        <v>488</v>
      </c>
      <c r="I27" t="s">
        <v>191</v>
      </c>
      <c r="L27" s="63"/>
      <c r="M27" s="63"/>
      <c r="AR27" t="s">
        <v>489</v>
      </c>
      <c r="BH27" s="3"/>
    </row>
    <row r="28" spans="4:60" x14ac:dyDescent="0.25">
      <c r="E28" s="29" t="s">
        <v>490</v>
      </c>
    </row>
    <row r="29" spans="4:60" x14ac:dyDescent="0.25">
      <c r="E29" s="29" t="s">
        <v>491</v>
      </c>
    </row>
    <row r="30" spans="4:60" x14ac:dyDescent="0.25">
      <c r="F30" s="23" t="s">
        <v>212</v>
      </c>
      <c r="G30" s="23" t="s">
        <v>213</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214</v>
      </c>
      <c r="G31" t="s">
        <v>213</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215</v>
      </c>
      <c r="G32" t="s">
        <v>213</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216</v>
      </c>
      <c r="G33" s="37" t="s">
        <v>213</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492</v>
      </c>
      <c r="G34" s="28" t="s">
        <v>204</v>
      </c>
      <c r="J34" s="148">
        <f>J30 * $H$22</f>
        <v>0.30448390017089322</v>
      </c>
      <c r="K34" s="148">
        <f t="shared" ref="K34:AP34" si="0">K30 * $H$22</f>
        <v>0.30448390017089322</v>
      </c>
      <c r="L34" s="148">
        <f t="shared" si="0"/>
        <v>0.30448390017089322</v>
      </c>
      <c r="M34" s="148">
        <f t="shared" si="0"/>
        <v>0.30448390017089322</v>
      </c>
      <c r="N34" s="148">
        <f t="shared" si="0"/>
        <v>0.30448390017089322</v>
      </c>
      <c r="O34" s="148">
        <f t="shared" si="0"/>
        <v>0.30448390017089322</v>
      </c>
      <c r="P34" s="148">
        <f t="shared" si="0"/>
        <v>0.30448390017089322</v>
      </c>
      <c r="Q34" s="148">
        <f t="shared" si="0"/>
        <v>0</v>
      </c>
      <c r="R34" s="148">
        <f t="shared" si="0"/>
        <v>0</v>
      </c>
      <c r="S34" s="148">
        <f t="shared" si="0"/>
        <v>0.30448390017089322</v>
      </c>
      <c r="T34" s="148">
        <f t="shared" si="0"/>
        <v>0.30448390017089322</v>
      </c>
      <c r="U34" s="148">
        <f t="shared" si="0"/>
        <v>0.30448390017089322</v>
      </c>
      <c r="V34" s="148">
        <f t="shared" ref="V34" si="1">V30 * $H$22</f>
        <v>0</v>
      </c>
      <c r="W34" s="148">
        <f t="shared" si="0"/>
        <v>0</v>
      </c>
      <c r="X34" s="148">
        <f t="shared" si="0"/>
        <v>0.30448390017089322</v>
      </c>
      <c r="Y34" s="148">
        <f t="shared" si="0"/>
        <v>0.30448390017089322</v>
      </c>
      <c r="Z34" s="148">
        <f t="shared" si="0"/>
        <v>0.30448390017089322</v>
      </c>
      <c r="AA34" s="148">
        <f t="shared" si="0"/>
        <v>0.30448390017089322</v>
      </c>
      <c r="AB34" s="148">
        <f t="shared" si="0"/>
        <v>0.30448390017089322</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493</v>
      </c>
      <c r="G35" s="28" t="s">
        <v>204</v>
      </c>
      <c r="J35" s="148">
        <f>SUMPRODUCT(J31:J33,$H$23:$H$25)</f>
        <v>0.47123400364058998</v>
      </c>
      <c r="K35" s="148">
        <f t="shared" ref="K35:AP35" si="2">SUMPRODUCT(K31:K33,$H$23:$H$25)</f>
        <v>0.47123400364058998</v>
      </c>
      <c r="L35" s="148">
        <f t="shared" si="2"/>
        <v>0.47123400364058998</v>
      </c>
      <c r="M35" s="148">
        <f t="shared" si="2"/>
        <v>0.47123400364058998</v>
      </c>
      <c r="N35" s="148">
        <f t="shared" si="2"/>
        <v>0.47123400364058998</v>
      </c>
      <c r="O35" s="148">
        <f t="shared" si="2"/>
        <v>0.47123400364058998</v>
      </c>
      <c r="P35" s="148">
        <f t="shared" si="2"/>
        <v>0.47123400364058998</v>
      </c>
      <c r="Q35" s="148">
        <f t="shared" si="2"/>
        <v>0</v>
      </c>
      <c r="R35" s="148">
        <f t="shared" si="2"/>
        <v>0</v>
      </c>
      <c r="S35" s="148">
        <f t="shared" si="2"/>
        <v>0.47123400364058998</v>
      </c>
      <c r="T35" s="148">
        <f t="shared" si="2"/>
        <v>0.47123400364058998</v>
      </c>
      <c r="U35" s="148">
        <f t="shared" si="2"/>
        <v>0.47123400364058998</v>
      </c>
      <c r="V35" s="148">
        <f t="shared" ref="V35" si="3">SUMPRODUCT(V31:V33,$H$23:$H$25)</f>
        <v>0.22825407639898521</v>
      </c>
      <c r="W35" s="148">
        <f t="shared" si="2"/>
        <v>0.12559312203105261</v>
      </c>
      <c r="X35" s="148">
        <f t="shared" si="2"/>
        <v>0.47123400364058998</v>
      </c>
      <c r="Y35" s="148">
        <f t="shared" si="2"/>
        <v>0.47123400364058998</v>
      </c>
      <c r="Z35" s="148">
        <f t="shared" si="2"/>
        <v>0.47123400364058998</v>
      </c>
      <c r="AA35" s="148">
        <f t="shared" si="2"/>
        <v>0.47123400364058998</v>
      </c>
      <c r="AB35" s="148">
        <f t="shared" si="2"/>
        <v>0.47123400364058998</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494</v>
      </c>
      <c r="I37" t="s">
        <v>191</v>
      </c>
      <c r="L37" s="63"/>
      <c r="M37" s="63"/>
      <c r="AR37" t="s">
        <v>489</v>
      </c>
      <c r="BH37" s="3"/>
    </row>
    <row r="38" spans="4:60" x14ac:dyDescent="0.25">
      <c r="E38" s="29" t="s">
        <v>495</v>
      </c>
    </row>
    <row r="39" spans="4:60" x14ac:dyDescent="0.25">
      <c r="F39" s="28" t="s">
        <v>496</v>
      </c>
      <c r="G39" s="28" t="s">
        <v>246</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497</v>
      </c>
      <c r="G40" s="28" t="s">
        <v>246</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498</v>
      </c>
      <c r="G41" s="28" t="s">
        <v>246</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499</v>
      </c>
      <c r="G42" s="28" t="s">
        <v>246</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500</v>
      </c>
      <c r="G43" s="28" t="s">
        <v>246</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501</v>
      </c>
      <c r="G45" s="28" t="s">
        <v>204</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502</v>
      </c>
      <c r="G46" s="28" t="s">
        <v>204</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503</v>
      </c>
      <c r="G47" s="28" t="s">
        <v>204</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504</v>
      </c>
      <c r="G48" s="28" t="s">
        <v>204</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505</v>
      </c>
      <c r="G49" s="28" t="s">
        <v>204</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507</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193</v>
      </c>
      <c r="I57" t="s">
        <v>191</v>
      </c>
      <c r="L57" s="63"/>
      <c r="M57" s="63"/>
      <c r="AR57" t="s">
        <v>369</v>
      </c>
      <c r="BH57" s="3"/>
    </row>
    <row r="58" spans="2:60" x14ac:dyDescent="0.25">
      <c r="C58" s="29"/>
      <c r="E58" s="32"/>
      <c r="L58" s="63"/>
      <c r="M58" s="63"/>
      <c r="BH58" s="3"/>
    </row>
    <row r="59" spans="2:60" x14ac:dyDescent="0.25">
      <c r="F59" s="28" t="s">
        <v>508</v>
      </c>
      <c r="G59" s="28" t="s">
        <v>244</v>
      </c>
      <c r="J59" s="123">
        <f>'Inputs by customer type'!J21</f>
        <v>5727223.5546060232</v>
      </c>
      <c r="K59" s="123">
        <f>'Inputs by customer type'!K21</f>
        <v>2246637.0202637264</v>
      </c>
      <c r="L59" s="123">
        <f>'Inputs by customer type'!L21</f>
        <v>23777.812108679751</v>
      </c>
      <c r="M59" s="123">
        <f>'Inputs by customer type'!M21</f>
        <v>1151038.4249265536</v>
      </c>
      <c r="N59" s="123">
        <f>'Inputs by customer type'!N21</f>
        <v>1501419.1038109311</v>
      </c>
      <c r="O59" s="123">
        <f>'Inputs by customer type'!O21</f>
        <v>2608.5296353034564</v>
      </c>
      <c r="P59" s="123">
        <f>'Inputs by customer type'!P21</f>
        <v>14960.241897686794</v>
      </c>
      <c r="Q59" s="123">
        <f>'Inputs by customer type'!Q21</f>
        <v>0.43263699199999994</v>
      </c>
      <c r="R59" s="123">
        <f>'Inputs by customer type'!R21</f>
        <v>2548.6086671293438</v>
      </c>
      <c r="S59" s="123">
        <f>'Inputs by customer type'!S21</f>
        <v>2657.3370184328815</v>
      </c>
      <c r="T59" s="123">
        <f>'Inputs by customer type'!T21</f>
        <v>19645.290695455911</v>
      </c>
      <c r="U59" s="123">
        <f>'Inputs by customer type'!U21</f>
        <v>374701.02025964757</v>
      </c>
      <c r="V59" s="123">
        <f>'Inputs by customer type'!V21</f>
        <v>30204.612139499506</v>
      </c>
      <c r="W59" s="123">
        <f>'Inputs by customer type'!W21</f>
        <v>737611.94825904525</v>
      </c>
      <c r="X59" s="123">
        <f>'Inputs by customer type'!X21</f>
        <v>29025.063649476611</v>
      </c>
      <c r="Y59" s="123">
        <f>'Inputs by customer type'!Y21</f>
        <v>22350.368811724031</v>
      </c>
      <c r="Z59" s="123">
        <f>'Inputs by customer type'!Z21</f>
        <v>395.39625709926401</v>
      </c>
      <c r="AA59" s="123">
        <f>'Inputs by customer type'!AA21</f>
        <v>7679.7163795824645</v>
      </c>
      <c r="AB59" s="123">
        <f>'Inputs by customer type'!AB21</f>
        <v>10625.864662770657</v>
      </c>
      <c r="AC59" s="123">
        <f>'Inputs by customer type'!AC21</f>
        <v>1441.4409999999998</v>
      </c>
      <c r="AD59" s="123">
        <f>'Inputs by customer type'!AD21</f>
        <v>0</v>
      </c>
      <c r="AE59" s="123">
        <f>'Inputs by customer type'!AE21</f>
        <v>31028.512000000002</v>
      </c>
      <c r="AF59" s="123">
        <f>'Inputs by customer type'!AF21</f>
        <v>0</v>
      </c>
      <c r="AG59" s="123">
        <f>'Inputs by customer type'!AG21</f>
        <v>1530.0617253920277</v>
      </c>
      <c r="AH59" s="123">
        <f>'Inputs by customer type'!AH21</f>
        <v>0</v>
      </c>
      <c r="AI59" s="123">
        <f>'Inputs by customer type'!AI21</f>
        <v>3603.9466430000011</v>
      </c>
      <c r="AJ59" s="123">
        <f>'Inputs by customer type'!AJ21</f>
        <v>0</v>
      </c>
      <c r="AK59" s="123">
        <f>'Inputs by customer type'!AK21</f>
        <v>423.59616493048139</v>
      </c>
      <c r="AL59" s="123">
        <f>'Inputs by customer type'!AL21</f>
        <v>0</v>
      </c>
      <c r="AM59" s="123">
        <f>'Inputs by customer type'!AM21</f>
        <v>460932.38117850013</v>
      </c>
      <c r="AN59" s="123">
        <f>'Inputs by customer type'!AN21</f>
        <v>0</v>
      </c>
      <c r="AO59" s="123">
        <f>'Inputs by customer type'!AO21</f>
        <v>90502.303315318844</v>
      </c>
      <c r="AP59" s="123">
        <f>'Inputs by customer type'!AP21</f>
        <v>0</v>
      </c>
      <c r="BH59" s="3"/>
    </row>
    <row r="60" spans="2:60" x14ac:dyDescent="0.25">
      <c r="F60" s="28" t="s">
        <v>509</v>
      </c>
      <c r="G60" s="28" t="s">
        <v>244</v>
      </c>
      <c r="J60" s="123">
        <f>'Inputs by customer type'!J30</f>
        <v>90706.231221793001</v>
      </c>
      <c r="K60" s="123">
        <f>'Inputs by customer type'!K30</f>
        <v>4012.6525669850589</v>
      </c>
      <c r="L60" s="123">
        <f>'Inputs by customer type'!L30</f>
        <v>0</v>
      </c>
      <c r="M60" s="123">
        <f>'Inputs by customer type'!M30</f>
        <v>3865.1952078149543</v>
      </c>
      <c r="N60" s="123">
        <f>'Inputs by customer type'!N30</f>
        <v>221.08087281558221</v>
      </c>
      <c r="O60" s="123">
        <f>'Inputs by customer type'!O30</f>
        <v>0</v>
      </c>
      <c r="P60" s="123">
        <f>'Inputs by customer type'!P30</f>
        <v>129.20657088607629</v>
      </c>
      <c r="Q60" s="123">
        <f>'Inputs by customer type'!Q30</f>
        <v>0</v>
      </c>
      <c r="R60" s="123">
        <f>'Inputs by customer type'!R30</f>
        <v>0</v>
      </c>
      <c r="S60" s="123">
        <f>'Inputs by customer type'!S30</f>
        <v>6.9725643128346757</v>
      </c>
      <c r="T60" s="123">
        <f>'Inputs by customer type'!T30</f>
        <v>3.9756336172560971</v>
      </c>
      <c r="U60" s="123">
        <f>'Inputs by customer type'!U30</f>
        <v>1476.9998397821612</v>
      </c>
      <c r="V60" s="123">
        <f>'Inputs by customer type'!V30</f>
        <v>0</v>
      </c>
      <c r="W60" s="123">
        <f>'Inputs by customer type'!W30</f>
        <v>0</v>
      </c>
      <c r="X60" s="123">
        <f>'Inputs by customer type'!X30</f>
        <v>140.78398760357746</v>
      </c>
      <c r="Y60" s="123">
        <f>'Inputs by customer type'!Y30</f>
        <v>294.68721213077981</v>
      </c>
      <c r="Z60" s="123">
        <f>'Inputs by customer type'!Z30</f>
        <v>0</v>
      </c>
      <c r="AA60" s="123">
        <f>'Inputs by customer type'!AA30</f>
        <v>3.3906326441377281</v>
      </c>
      <c r="AB60" s="123">
        <f>'Inputs by customer type'!AB30</f>
        <v>0</v>
      </c>
      <c r="AC60" s="123">
        <f>'Inputs by customer type'!AC30</f>
        <v>19.391702000000002</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510</v>
      </c>
      <c r="G61" s="28" t="s">
        <v>244</v>
      </c>
      <c r="J61" s="123">
        <f>'Inputs by customer type'!J39</f>
        <v>175842.18594634093</v>
      </c>
      <c r="K61" s="123">
        <f>'Inputs by customer type'!K39</f>
        <v>7131.2458973914127</v>
      </c>
      <c r="L61" s="123">
        <f>'Inputs by customer type'!L39</f>
        <v>0</v>
      </c>
      <c r="M61" s="123">
        <f>'Inputs by customer type'!M39</f>
        <v>15280.377040827343</v>
      </c>
      <c r="N61" s="123">
        <f>'Inputs by customer type'!N39</f>
        <v>1247.7986456769813</v>
      </c>
      <c r="O61" s="123">
        <f>'Inputs by customer type'!O39</f>
        <v>0</v>
      </c>
      <c r="P61" s="123">
        <f>'Inputs by customer type'!P39</f>
        <v>497.1657442260904</v>
      </c>
      <c r="Q61" s="123">
        <f>'Inputs by customer type'!Q39</f>
        <v>0</v>
      </c>
      <c r="R61" s="123">
        <f>'Inputs by customer type'!R39</f>
        <v>0</v>
      </c>
      <c r="S61" s="123">
        <f>'Inputs by customer type'!S39</f>
        <v>6.1021629312192065</v>
      </c>
      <c r="T61" s="123">
        <f>'Inputs by customer type'!T39</f>
        <v>88.90940417389254</v>
      </c>
      <c r="U61" s="123">
        <f>'Inputs by customer type'!U39</f>
        <v>14597.035550842567</v>
      </c>
      <c r="V61" s="123">
        <f>'Inputs by customer type'!V39</f>
        <v>1238.2706110484576</v>
      </c>
      <c r="W61" s="123">
        <f>'Inputs by customer type'!W39</f>
        <v>7826.6040878638278</v>
      </c>
      <c r="X61" s="123">
        <f>'Inputs by customer type'!X39</f>
        <v>34.134849923926403</v>
      </c>
      <c r="Y61" s="123">
        <f>'Inputs by customer type'!Y39</f>
        <v>644.68298954125567</v>
      </c>
      <c r="Z61" s="123">
        <f>'Inputs by customer type'!Z39</f>
        <v>1.372096834944E-3</v>
      </c>
      <c r="AA61" s="123">
        <f>'Inputs by customer type'!AA39</f>
        <v>0</v>
      </c>
      <c r="AB61" s="123">
        <f>'Inputs by customer type'!AB39</f>
        <v>0</v>
      </c>
      <c r="AC61" s="123">
        <f>'Inputs by customer type'!AC39</f>
        <v>0</v>
      </c>
      <c r="AD61" s="123">
        <f>'Inputs by customer type'!AD39</f>
        <v>0</v>
      </c>
      <c r="AE61" s="123">
        <f>'Inputs by customer type'!AE39</f>
        <v>71.358007600000008</v>
      </c>
      <c r="AF61" s="123">
        <f>'Inputs by customer type'!AF39</f>
        <v>0</v>
      </c>
      <c r="AG61" s="123">
        <f>'Inputs by customer type'!AG39</f>
        <v>0</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5.3308365000000002</v>
      </c>
      <c r="AN61" s="123">
        <f>'Inputs by customer type'!AN39</f>
        <v>0</v>
      </c>
      <c r="AO61" s="123">
        <f>'Inputs by customer type'!AO39</f>
        <v>0</v>
      </c>
      <c r="AP61" s="123">
        <f>'Inputs by customer type'!AP39</f>
        <v>0</v>
      </c>
      <c r="BH61" s="3"/>
    </row>
    <row r="62" spans="2:60" x14ac:dyDescent="0.25">
      <c r="F62" s="28" t="s">
        <v>511</v>
      </c>
      <c r="G62" s="28" t="s">
        <v>204</v>
      </c>
      <c r="J62" s="114">
        <f t="shared" ref="J62:AP62" si="4">IF(J$39, J$45, J$34)</f>
        <v>0.30448390017089322</v>
      </c>
      <c r="K62" s="114">
        <f t="shared" si="4"/>
        <v>0.30448390017089322</v>
      </c>
      <c r="L62" s="114">
        <f t="shared" si="4"/>
        <v>0.30448390017089322</v>
      </c>
      <c r="M62" s="114">
        <f t="shared" si="4"/>
        <v>0.30448390017089322</v>
      </c>
      <c r="N62" s="114">
        <f t="shared" si="4"/>
        <v>0.30448390017089322</v>
      </c>
      <c r="O62" s="114">
        <f t="shared" si="4"/>
        <v>0.30448390017089322</v>
      </c>
      <c r="P62" s="114">
        <f t="shared" si="4"/>
        <v>0.30448390017089322</v>
      </c>
      <c r="Q62" s="114">
        <f t="shared" si="4"/>
        <v>0</v>
      </c>
      <c r="R62" s="114">
        <f t="shared" si="4"/>
        <v>0</v>
      </c>
      <c r="S62" s="114">
        <f t="shared" si="4"/>
        <v>0.30448390017089322</v>
      </c>
      <c r="T62" s="114">
        <f t="shared" si="4"/>
        <v>0.30448390017089322</v>
      </c>
      <c r="U62" s="114">
        <f t="shared" si="4"/>
        <v>0.30448390017089322</v>
      </c>
      <c r="V62" s="114">
        <f t="shared" si="4"/>
        <v>0</v>
      </c>
      <c r="W62" s="114">
        <f t="shared" si="4"/>
        <v>0</v>
      </c>
      <c r="X62" s="114">
        <f t="shared" si="4"/>
        <v>0.30448390017089322</v>
      </c>
      <c r="Y62" s="114">
        <f t="shared" si="4"/>
        <v>0.30448390017089322</v>
      </c>
      <c r="Z62" s="114">
        <f t="shared" si="4"/>
        <v>0.30448390017089322</v>
      </c>
      <c r="AA62" s="114">
        <f t="shared" si="4"/>
        <v>0.30448390017089322</v>
      </c>
      <c r="AB62" s="114">
        <f t="shared" si="4"/>
        <v>0.30448390017089322</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512</v>
      </c>
      <c r="G63" s="28" t="s">
        <v>204</v>
      </c>
      <c r="J63" s="114">
        <f t="shared" ref="J63:AP63" si="5">IF(J$39, J$45, J$35)</f>
        <v>0.47123400364058998</v>
      </c>
      <c r="K63" s="114">
        <f t="shared" si="5"/>
        <v>0.47123400364058998</v>
      </c>
      <c r="L63" s="114">
        <f t="shared" si="5"/>
        <v>0.47123400364058998</v>
      </c>
      <c r="M63" s="114">
        <f t="shared" si="5"/>
        <v>0.47123400364058998</v>
      </c>
      <c r="N63" s="114">
        <f t="shared" si="5"/>
        <v>0.47123400364058998</v>
      </c>
      <c r="O63" s="114">
        <f t="shared" si="5"/>
        <v>0.47123400364058998</v>
      </c>
      <c r="P63" s="114">
        <f t="shared" si="5"/>
        <v>0.47123400364058998</v>
      </c>
      <c r="Q63" s="114">
        <f t="shared" si="5"/>
        <v>0</v>
      </c>
      <c r="R63" s="114">
        <f t="shared" si="5"/>
        <v>0</v>
      </c>
      <c r="S63" s="114">
        <f t="shared" si="5"/>
        <v>0.47123400364058998</v>
      </c>
      <c r="T63" s="114">
        <f t="shared" si="5"/>
        <v>0.47123400364058998</v>
      </c>
      <c r="U63" s="114">
        <f t="shared" si="5"/>
        <v>0.47123400364058998</v>
      </c>
      <c r="V63" s="114">
        <f t="shared" si="5"/>
        <v>0.22825407639898521</v>
      </c>
      <c r="W63" s="114">
        <f t="shared" si="5"/>
        <v>0.12559312203105261</v>
      </c>
      <c r="X63" s="114">
        <f t="shared" si="5"/>
        <v>0.47123400364058998</v>
      </c>
      <c r="Y63" s="114">
        <f t="shared" si="5"/>
        <v>0.47123400364058998</v>
      </c>
      <c r="Z63" s="114">
        <f t="shared" si="5"/>
        <v>0.47123400364058998</v>
      </c>
      <c r="AA63" s="114">
        <f t="shared" si="5"/>
        <v>0.47123400364058998</v>
      </c>
      <c r="AB63" s="114">
        <f t="shared" si="5"/>
        <v>0.47123400364058998</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513</v>
      </c>
      <c r="G64" s="28" t="s">
        <v>244</v>
      </c>
      <c r="J64" s="101">
        <f t="shared" ref="J64:AP64" si="6">J60 * (1 - J62)</f>
        <v>63087.644169578627</v>
      </c>
      <c r="K64" s="101">
        <f t="shared" si="6"/>
        <v>2790.8644633587019</v>
      </c>
      <c r="L64" s="101">
        <f t="shared" si="6"/>
        <v>0</v>
      </c>
      <c r="M64" s="101">
        <f t="shared" si="6"/>
        <v>2688.3054960176109</v>
      </c>
      <c r="N64" s="101">
        <f t="shared" si="6"/>
        <v>153.76530640750855</v>
      </c>
      <c r="O64" s="101">
        <f t="shared" si="6"/>
        <v>0</v>
      </c>
      <c r="P64" s="101">
        <f t="shared" si="6"/>
        <v>89.8652502549768</v>
      </c>
      <c r="Q64" s="101">
        <f t="shared" si="6"/>
        <v>0</v>
      </c>
      <c r="R64" s="101">
        <f t="shared" si="6"/>
        <v>0</v>
      </c>
      <c r="S64" s="101">
        <f t="shared" si="6"/>
        <v>4.8495307366703893</v>
      </c>
      <c r="T64" s="101">
        <f t="shared" si="6"/>
        <v>2.7651171878234444</v>
      </c>
      <c r="U64" s="101">
        <f t="shared" si="6"/>
        <v>1027.2771680135043</v>
      </c>
      <c r="V64" s="101">
        <f t="shared" si="6"/>
        <v>0</v>
      </c>
      <c r="W64" s="101">
        <f t="shared" si="6"/>
        <v>0</v>
      </c>
      <c r="X64" s="101">
        <f t="shared" si="6"/>
        <v>97.917529976429506</v>
      </c>
      <c r="Y64" s="101">
        <f t="shared" si="6"/>
        <v>204.95970045071263</v>
      </c>
      <c r="Z64" s="101">
        <f t="shared" si="6"/>
        <v>0</v>
      </c>
      <c r="AA64" s="101">
        <f t="shared" si="6"/>
        <v>2.3582395926039244</v>
      </c>
      <c r="AB64" s="101">
        <f t="shared" si="6"/>
        <v>0</v>
      </c>
      <c r="AC64" s="101">
        <f t="shared" si="6"/>
        <v>19.391702000000002</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514</v>
      </c>
      <c r="G65" s="67" t="s">
        <v>244</v>
      </c>
      <c r="H65" s="37"/>
      <c r="I65" s="37"/>
      <c r="J65" s="103">
        <f t="shared" ref="J65:AP65" si="7">J61 * (1 - J63)</f>
        <v>92979.368653933605</v>
      </c>
      <c r="K65" s="103">
        <f t="shared" si="7"/>
        <v>3770.7603422181255</v>
      </c>
      <c r="L65" s="103">
        <f t="shared" si="7"/>
        <v>0</v>
      </c>
      <c r="M65" s="103">
        <f t="shared" si="7"/>
        <v>8079.7437907405238</v>
      </c>
      <c r="N65" s="103">
        <f t="shared" si="7"/>
        <v>659.79349413731143</v>
      </c>
      <c r="O65" s="103">
        <f t="shared" si="7"/>
        <v>0</v>
      </c>
      <c r="P65" s="103">
        <f t="shared" si="7"/>
        <v>262.88434010147631</v>
      </c>
      <c r="Q65" s="103">
        <f t="shared" si="7"/>
        <v>0</v>
      </c>
      <c r="R65" s="103">
        <f t="shared" si="7"/>
        <v>0</v>
      </c>
      <c r="S65" s="103">
        <f t="shared" si="7"/>
        <v>3.2266162622735819</v>
      </c>
      <c r="T65" s="103">
        <f t="shared" si="7"/>
        <v>47.012269683729777</v>
      </c>
      <c r="U65" s="103">
        <f t="shared" si="7"/>
        <v>7718.4160469349999</v>
      </c>
      <c r="V65" s="103">
        <f t="shared" si="7"/>
        <v>955.63029639158481</v>
      </c>
      <c r="W65" s="103">
        <f t="shared" si="7"/>
        <v>6843.6364455680105</v>
      </c>
      <c r="X65" s="103">
        <f t="shared" si="7"/>
        <v>18.049347930603876</v>
      </c>
      <c r="Y65" s="103">
        <f t="shared" si="7"/>
        <v>340.88644330074516</v>
      </c>
      <c r="Z65" s="103">
        <f t="shared" si="7"/>
        <v>7.2551815003075711E-4</v>
      </c>
      <c r="AA65" s="103">
        <f t="shared" si="7"/>
        <v>0</v>
      </c>
      <c r="AB65" s="103">
        <f t="shared" si="7"/>
        <v>0</v>
      </c>
      <c r="AC65" s="103">
        <f t="shared" si="7"/>
        <v>0</v>
      </c>
      <c r="AD65" s="103">
        <f t="shared" si="7"/>
        <v>0</v>
      </c>
      <c r="AE65" s="103">
        <f t="shared" si="7"/>
        <v>71.358007600000008</v>
      </c>
      <c r="AF65" s="103">
        <f t="shared" si="7"/>
        <v>0</v>
      </c>
      <c r="AG65" s="103">
        <f t="shared" si="7"/>
        <v>0</v>
      </c>
      <c r="AH65" s="103">
        <f t="shared" si="7"/>
        <v>0</v>
      </c>
      <c r="AI65" s="103">
        <f t="shared" si="7"/>
        <v>0</v>
      </c>
      <c r="AJ65" s="103">
        <f t="shared" si="7"/>
        <v>0</v>
      </c>
      <c r="AK65" s="103">
        <f t="shared" si="7"/>
        <v>0</v>
      </c>
      <c r="AL65" s="103">
        <f t="shared" si="7"/>
        <v>0</v>
      </c>
      <c r="AM65" s="103">
        <f t="shared" si="7"/>
        <v>5.3308365000000002</v>
      </c>
      <c r="AN65" s="103">
        <f t="shared" si="7"/>
        <v>0</v>
      </c>
      <c r="AO65" s="103">
        <f t="shared" si="7"/>
        <v>0</v>
      </c>
      <c r="AP65" s="103">
        <f t="shared" si="7"/>
        <v>0</v>
      </c>
      <c r="BH65" s="3"/>
    </row>
    <row r="66" spans="5:60" x14ac:dyDescent="0.25">
      <c r="F66" s="28" t="s">
        <v>515</v>
      </c>
      <c r="G66" s="28" t="s">
        <v>244</v>
      </c>
      <c r="J66" s="124">
        <f t="shared" ref="J66:AP66" si="8">J59 + J64 + J65</f>
        <v>5883290.5674295351</v>
      </c>
      <c r="K66" s="124">
        <f t="shared" si="8"/>
        <v>2253198.645069303</v>
      </c>
      <c r="L66" s="124">
        <f t="shared" si="8"/>
        <v>23777.812108679751</v>
      </c>
      <c r="M66" s="124">
        <f t="shared" si="8"/>
        <v>1161806.4742133119</v>
      </c>
      <c r="N66" s="124">
        <f t="shared" si="8"/>
        <v>1502232.6626114759</v>
      </c>
      <c r="O66" s="124">
        <f t="shared" si="8"/>
        <v>2608.5296353034564</v>
      </c>
      <c r="P66" s="124">
        <f t="shared" si="8"/>
        <v>15312.991488043248</v>
      </c>
      <c r="Q66" s="124">
        <f t="shared" si="8"/>
        <v>0.43263699199999994</v>
      </c>
      <c r="R66" s="124">
        <f t="shared" si="8"/>
        <v>2548.6086671293438</v>
      </c>
      <c r="S66" s="124">
        <f t="shared" si="8"/>
        <v>2665.4131654318253</v>
      </c>
      <c r="T66" s="124">
        <f t="shared" si="8"/>
        <v>19695.068082327467</v>
      </c>
      <c r="U66" s="124">
        <f t="shared" si="8"/>
        <v>383446.71347459609</v>
      </c>
      <c r="V66" s="124">
        <f t="shared" si="8"/>
        <v>31160.24243589109</v>
      </c>
      <c r="W66" s="124">
        <f t="shared" si="8"/>
        <v>744455.58470461331</v>
      </c>
      <c r="X66" s="124">
        <f t="shared" si="8"/>
        <v>29141.030527383642</v>
      </c>
      <c r="Y66" s="124">
        <f t="shared" si="8"/>
        <v>22896.214955475487</v>
      </c>
      <c r="Z66" s="124">
        <f t="shared" si="8"/>
        <v>395.39698261741404</v>
      </c>
      <c r="AA66" s="124">
        <f t="shared" si="8"/>
        <v>7682.0746191750686</v>
      </c>
      <c r="AB66" s="124">
        <f t="shared" si="8"/>
        <v>10625.864662770657</v>
      </c>
      <c r="AC66" s="124">
        <f t="shared" si="8"/>
        <v>1460.8327019999997</v>
      </c>
      <c r="AD66" s="124">
        <f t="shared" si="8"/>
        <v>0</v>
      </c>
      <c r="AE66" s="124">
        <f t="shared" si="8"/>
        <v>31099.870007600002</v>
      </c>
      <c r="AF66" s="124">
        <f t="shared" si="8"/>
        <v>0</v>
      </c>
      <c r="AG66" s="124">
        <f t="shared" si="8"/>
        <v>1530.0617253920277</v>
      </c>
      <c r="AH66" s="124">
        <f t="shared" si="8"/>
        <v>0</v>
      </c>
      <c r="AI66" s="124">
        <f t="shared" si="8"/>
        <v>3603.9466430000011</v>
      </c>
      <c r="AJ66" s="124">
        <f t="shared" si="8"/>
        <v>0</v>
      </c>
      <c r="AK66" s="124">
        <f t="shared" si="8"/>
        <v>423.59616493048139</v>
      </c>
      <c r="AL66" s="124">
        <f t="shared" si="8"/>
        <v>0</v>
      </c>
      <c r="AM66" s="124">
        <f t="shared" si="8"/>
        <v>460937.71201500011</v>
      </c>
      <c r="AN66" s="124">
        <f t="shared" si="8"/>
        <v>0</v>
      </c>
      <c r="AO66" s="124">
        <f t="shared" si="8"/>
        <v>90502.303315318844</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194</v>
      </c>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369</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508</v>
      </c>
      <c r="G70" s="28" t="s">
        <v>244</v>
      </c>
      <c r="J70" s="123">
        <f>'Inputs by customer type'!J22</f>
        <v>0</v>
      </c>
      <c r="K70" s="123">
        <f>'Inputs by customer type'!K22</f>
        <v>1016555.5777678631</v>
      </c>
      <c r="L70" s="123">
        <f>'Inputs by customer type'!L22</f>
        <v>0</v>
      </c>
      <c r="M70" s="123">
        <f>'Inputs by customer type'!M22</f>
        <v>0</v>
      </c>
      <c r="N70" s="123">
        <f>'Inputs by customer type'!N22</f>
        <v>451251.18137488526</v>
      </c>
      <c r="O70" s="123">
        <f>'Inputs by customer type'!O22</f>
        <v>0</v>
      </c>
      <c r="P70" s="123">
        <f>'Inputs by customer type'!P22</f>
        <v>4341.3901968379723</v>
      </c>
      <c r="Q70" s="123">
        <f>'Inputs by customer type'!Q22</f>
        <v>0</v>
      </c>
      <c r="R70" s="123">
        <f>'Inputs by customer type'!R22</f>
        <v>842.84934146739215</v>
      </c>
      <c r="S70" s="123">
        <f>'Inputs by customer type'!S22</f>
        <v>8187.595996185978</v>
      </c>
      <c r="T70" s="123">
        <f>'Inputs by customer type'!T22</f>
        <v>77843.079337008559</v>
      </c>
      <c r="U70" s="123">
        <f>'Inputs by customer type'!U22</f>
        <v>1498601.6468493079</v>
      </c>
      <c r="V70" s="123">
        <f>'Inputs by customer type'!V22</f>
        <v>116712.23400507448</v>
      </c>
      <c r="W70" s="123">
        <f>'Inputs by customer type'!W22</f>
        <v>2813454.6910302229</v>
      </c>
      <c r="X70" s="123">
        <f>'Inputs by customer type'!X22</f>
        <v>0</v>
      </c>
      <c r="Y70" s="123">
        <f>'Inputs by customer type'!Y22</f>
        <v>0</v>
      </c>
      <c r="Z70" s="123">
        <f>'Inputs by customer type'!Z22</f>
        <v>0</v>
      </c>
      <c r="AA70" s="123">
        <f>'Inputs by customer type'!AA22</f>
        <v>0</v>
      </c>
      <c r="AB70" s="123">
        <f>'Inputs by customer type'!AB22</f>
        <v>33031.440290376238</v>
      </c>
      <c r="AC70" s="123">
        <f>'Inputs by customer type'!AC22</f>
        <v>0</v>
      </c>
      <c r="AD70" s="123">
        <f>'Inputs by customer type'!AD22</f>
        <v>0</v>
      </c>
      <c r="AE70" s="123">
        <f>'Inputs by customer type'!AE22</f>
        <v>0</v>
      </c>
      <c r="AF70" s="123">
        <f>'Inputs by customer type'!AF22</f>
        <v>0</v>
      </c>
      <c r="AG70" s="123">
        <f>'Inputs by customer type'!AG22</f>
        <v>6003.5671991277068</v>
      </c>
      <c r="AH70" s="123">
        <f>'Inputs by customer type'!AH22</f>
        <v>0</v>
      </c>
      <c r="AI70" s="123">
        <f>'Inputs by customer type'!AI22</f>
        <v>0</v>
      </c>
      <c r="AJ70" s="123">
        <f>'Inputs by customer type'!AJ22</f>
        <v>0</v>
      </c>
      <c r="AK70" s="123">
        <f>'Inputs by customer type'!AK22</f>
        <v>1386.3166215887916</v>
      </c>
      <c r="AL70" s="123">
        <f>'Inputs by customer type'!AL22</f>
        <v>0</v>
      </c>
      <c r="AM70" s="123">
        <f>'Inputs by customer type'!AM22</f>
        <v>0</v>
      </c>
      <c r="AN70" s="123">
        <f>'Inputs by customer type'!AN22</f>
        <v>0</v>
      </c>
      <c r="AO70" s="123">
        <f>'Inputs by customer type'!AO22</f>
        <v>234395.58417537581</v>
      </c>
      <c r="AP70" s="123">
        <f>'Inputs by customer type'!AP22</f>
        <v>0</v>
      </c>
      <c r="BH70" s="3"/>
    </row>
    <row r="71" spans="5:60" x14ac:dyDescent="0.25">
      <c r="F71" s="28" t="s">
        <v>509</v>
      </c>
      <c r="G71" s="28" t="s">
        <v>244</v>
      </c>
      <c r="J71" s="123">
        <f>'Inputs by customer type'!J31</f>
        <v>0</v>
      </c>
      <c r="K71" s="123">
        <f>'Inputs by customer type'!K31</f>
        <v>1474.2321988188905</v>
      </c>
      <c r="L71" s="123">
        <f>'Inputs by customer type'!L31</f>
        <v>0</v>
      </c>
      <c r="M71" s="123">
        <f>'Inputs by customer type'!M31</f>
        <v>0</v>
      </c>
      <c r="N71" s="123">
        <f>'Inputs by customer type'!N31</f>
        <v>80.370832774097536</v>
      </c>
      <c r="O71" s="123">
        <f>'Inputs by customer type'!O31</f>
        <v>0</v>
      </c>
      <c r="P71" s="123">
        <f>'Inputs by customer type'!P31</f>
        <v>87.453794532356753</v>
      </c>
      <c r="Q71" s="123">
        <f>'Inputs by customer type'!Q31</f>
        <v>0</v>
      </c>
      <c r="R71" s="123">
        <f>'Inputs by customer type'!R31</f>
        <v>0</v>
      </c>
      <c r="S71" s="123">
        <f>'Inputs by customer type'!S31</f>
        <v>21.221578278736995</v>
      </c>
      <c r="T71" s="123">
        <f>'Inputs by customer type'!T31</f>
        <v>13.814241848098465</v>
      </c>
      <c r="U71" s="123">
        <f>'Inputs by customer type'!U31</f>
        <v>5428.3366144632464</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0</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510</v>
      </c>
      <c r="G72" s="28" t="s">
        <v>244</v>
      </c>
      <c r="J72" s="123">
        <f>'Inputs by customer type'!J40</f>
        <v>0</v>
      </c>
      <c r="K72" s="123">
        <f>'Inputs by customer type'!K40</f>
        <v>2752.814922542364</v>
      </c>
      <c r="L72" s="123">
        <f>'Inputs by customer type'!L40</f>
        <v>0</v>
      </c>
      <c r="M72" s="123">
        <f>'Inputs by customer type'!M40</f>
        <v>0</v>
      </c>
      <c r="N72" s="123">
        <f>'Inputs by customer type'!N40</f>
        <v>330.95054553818323</v>
      </c>
      <c r="O72" s="123">
        <f>'Inputs by customer type'!O40</f>
        <v>0</v>
      </c>
      <c r="P72" s="123">
        <f>'Inputs by customer type'!P40</f>
        <v>212.07382711673949</v>
      </c>
      <c r="Q72" s="123">
        <f>'Inputs by customer type'!Q40</f>
        <v>0</v>
      </c>
      <c r="R72" s="123">
        <f>'Inputs by customer type'!R40</f>
        <v>0</v>
      </c>
      <c r="S72" s="123">
        <f>'Inputs by customer type'!S40</f>
        <v>18.537530936878277</v>
      </c>
      <c r="T72" s="123">
        <f>'Inputs by customer type'!T40</f>
        <v>287.67055690060766</v>
      </c>
      <c r="U72" s="123">
        <f>'Inputs by customer type'!U40</f>
        <v>54699.338698454434</v>
      </c>
      <c r="V72" s="123">
        <f>'Inputs by customer type'!V40</f>
        <v>4577.2989131506693</v>
      </c>
      <c r="W72" s="123">
        <f>'Inputs by customer type'!W40</f>
        <v>27331.644755410642</v>
      </c>
      <c r="X72" s="123">
        <f>'Inputs by customer type'!X40</f>
        <v>0</v>
      </c>
      <c r="Y72" s="123">
        <f>'Inputs by customer type'!Y40</f>
        <v>0</v>
      </c>
      <c r="Z72" s="123">
        <f>'Inputs by customer type'!Z40</f>
        <v>0</v>
      </c>
      <c r="AA72" s="123">
        <f>'Inputs by customer type'!AA40</f>
        <v>0</v>
      </c>
      <c r="AB72" s="123">
        <f>'Inputs by customer type'!AB40</f>
        <v>0</v>
      </c>
      <c r="AC72" s="123">
        <f>'Inputs by customer type'!AC40</f>
        <v>0</v>
      </c>
      <c r="AD72" s="123">
        <f>'Inputs by customer type'!AD40</f>
        <v>0</v>
      </c>
      <c r="AE72" s="123">
        <f>'Inputs by customer type'!AE40</f>
        <v>0</v>
      </c>
      <c r="AF72" s="123">
        <f>'Inputs by customer type'!AF40</f>
        <v>0</v>
      </c>
      <c r="AG72" s="123">
        <f>'Inputs by customer type'!AG40</f>
        <v>0</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v>
      </c>
      <c r="AP72" s="123">
        <f>'Inputs by customer type'!AP40</f>
        <v>0</v>
      </c>
      <c r="BH72" s="3"/>
    </row>
    <row r="73" spans="5:60" x14ac:dyDescent="0.25">
      <c r="F73" s="28" t="s">
        <v>511</v>
      </c>
      <c r="G73" s="28" t="s">
        <v>204</v>
      </c>
      <c r="J73" s="114">
        <f t="shared" ref="J73:AP73" si="9">IF(J$39, J$45, J$34)</f>
        <v>0.30448390017089322</v>
      </c>
      <c r="K73" s="114">
        <f t="shared" si="9"/>
        <v>0.30448390017089322</v>
      </c>
      <c r="L73" s="114">
        <f t="shared" si="9"/>
        <v>0.30448390017089322</v>
      </c>
      <c r="M73" s="114">
        <f t="shared" si="9"/>
        <v>0.30448390017089322</v>
      </c>
      <c r="N73" s="114">
        <f t="shared" si="9"/>
        <v>0.30448390017089322</v>
      </c>
      <c r="O73" s="114">
        <f t="shared" si="9"/>
        <v>0.30448390017089322</v>
      </c>
      <c r="P73" s="114">
        <f t="shared" si="9"/>
        <v>0.30448390017089322</v>
      </c>
      <c r="Q73" s="114">
        <f t="shared" si="9"/>
        <v>0</v>
      </c>
      <c r="R73" s="114">
        <f t="shared" si="9"/>
        <v>0</v>
      </c>
      <c r="S73" s="114">
        <f t="shared" si="9"/>
        <v>0.30448390017089322</v>
      </c>
      <c r="T73" s="114">
        <f t="shared" si="9"/>
        <v>0.30448390017089322</v>
      </c>
      <c r="U73" s="114">
        <f t="shared" si="9"/>
        <v>0.30448390017089322</v>
      </c>
      <c r="V73" s="114">
        <f t="shared" si="9"/>
        <v>0</v>
      </c>
      <c r="W73" s="114">
        <f t="shared" si="9"/>
        <v>0</v>
      </c>
      <c r="X73" s="114">
        <f t="shared" si="9"/>
        <v>0.30448390017089322</v>
      </c>
      <c r="Y73" s="114">
        <f t="shared" si="9"/>
        <v>0.30448390017089322</v>
      </c>
      <c r="Z73" s="114">
        <f t="shared" si="9"/>
        <v>0.30448390017089322</v>
      </c>
      <c r="AA73" s="114">
        <f t="shared" si="9"/>
        <v>0.30448390017089322</v>
      </c>
      <c r="AB73" s="114">
        <f t="shared" si="9"/>
        <v>0.30448390017089322</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512</v>
      </c>
      <c r="G74" s="28" t="s">
        <v>204</v>
      </c>
      <c r="J74" s="114">
        <f t="shared" ref="J74:AP74" si="10">IF(J$39, J$45, J$35)</f>
        <v>0.47123400364058998</v>
      </c>
      <c r="K74" s="114">
        <f t="shared" si="10"/>
        <v>0.47123400364058998</v>
      </c>
      <c r="L74" s="114">
        <f t="shared" si="10"/>
        <v>0.47123400364058998</v>
      </c>
      <c r="M74" s="114">
        <f t="shared" si="10"/>
        <v>0.47123400364058998</v>
      </c>
      <c r="N74" s="114">
        <f t="shared" si="10"/>
        <v>0.47123400364058998</v>
      </c>
      <c r="O74" s="114">
        <f t="shared" si="10"/>
        <v>0.47123400364058998</v>
      </c>
      <c r="P74" s="114">
        <f t="shared" si="10"/>
        <v>0.47123400364058998</v>
      </c>
      <c r="Q74" s="114">
        <f t="shared" si="10"/>
        <v>0</v>
      </c>
      <c r="R74" s="114">
        <f t="shared" si="10"/>
        <v>0</v>
      </c>
      <c r="S74" s="114">
        <f t="shared" si="10"/>
        <v>0.47123400364058998</v>
      </c>
      <c r="T74" s="114">
        <f t="shared" si="10"/>
        <v>0.47123400364058998</v>
      </c>
      <c r="U74" s="114">
        <f t="shared" si="10"/>
        <v>0.47123400364058998</v>
      </c>
      <c r="V74" s="114">
        <f t="shared" si="10"/>
        <v>0.22825407639898521</v>
      </c>
      <c r="W74" s="114">
        <f t="shared" si="10"/>
        <v>0.12559312203105261</v>
      </c>
      <c r="X74" s="114">
        <f t="shared" si="10"/>
        <v>0.47123400364058998</v>
      </c>
      <c r="Y74" s="114">
        <f t="shared" si="10"/>
        <v>0.47123400364058998</v>
      </c>
      <c r="Z74" s="114">
        <f t="shared" si="10"/>
        <v>0.47123400364058998</v>
      </c>
      <c r="AA74" s="114">
        <f t="shared" si="10"/>
        <v>0.47123400364058998</v>
      </c>
      <c r="AB74" s="114">
        <f t="shared" si="10"/>
        <v>0.47123400364058998</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513</v>
      </c>
      <c r="G75" s="28" t="s">
        <v>244</v>
      </c>
      <c r="J75" s="101">
        <f t="shared" ref="J75:AP75" si="11">J71 * (1 - J73)</f>
        <v>0</v>
      </c>
      <c r="K75" s="101">
        <f t="shared" si="11"/>
        <v>1025.3522291650031</v>
      </c>
      <c r="L75" s="101">
        <f t="shared" si="11"/>
        <v>0</v>
      </c>
      <c r="M75" s="101">
        <f t="shared" si="11"/>
        <v>0</v>
      </c>
      <c r="N75" s="101">
        <f t="shared" si="11"/>
        <v>55.899208151057671</v>
      </c>
      <c r="O75" s="101">
        <f t="shared" si="11"/>
        <v>0</v>
      </c>
      <c r="P75" s="101">
        <f t="shared" si="11"/>
        <v>60.825522088400831</v>
      </c>
      <c r="Q75" s="101">
        <f t="shared" si="11"/>
        <v>0</v>
      </c>
      <c r="R75" s="101">
        <f t="shared" si="11"/>
        <v>0</v>
      </c>
      <c r="S75" s="101">
        <f t="shared" si="11"/>
        <v>14.759949356645244</v>
      </c>
      <c r="T75" s="101">
        <f t="shared" si="11"/>
        <v>9.6080276122854773</v>
      </c>
      <c r="U75" s="101">
        <f t="shared" si="11"/>
        <v>3775.4955106510147</v>
      </c>
      <c r="V75" s="101">
        <f t="shared" si="11"/>
        <v>0</v>
      </c>
      <c r="W75" s="101">
        <f t="shared" si="11"/>
        <v>0</v>
      </c>
      <c r="X75" s="101">
        <f t="shared" si="11"/>
        <v>0</v>
      </c>
      <c r="Y75" s="101">
        <f t="shared" si="11"/>
        <v>0</v>
      </c>
      <c r="Z75" s="101">
        <f t="shared" si="11"/>
        <v>0</v>
      </c>
      <c r="AA75" s="101">
        <f t="shared" si="11"/>
        <v>0</v>
      </c>
      <c r="AB75" s="101">
        <f t="shared" si="11"/>
        <v>0</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514</v>
      </c>
      <c r="G76" s="67" t="s">
        <v>244</v>
      </c>
      <c r="H76" s="37"/>
      <c r="I76" s="37"/>
      <c r="J76" s="103">
        <f t="shared" ref="J76:AP76" si="12">J72 * (1 - J74)</f>
        <v>0</v>
      </c>
      <c r="K76" s="103">
        <f t="shared" si="12"/>
        <v>1455.5949253111653</v>
      </c>
      <c r="L76" s="103">
        <f t="shared" si="12"/>
        <v>0</v>
      </c>
      <c r="M76" s="103">
        <f t="shared" si="12"/>
        <v>0</v>
      </c>
      <c r="N76" s="103">
        <f t="shared" si="12"/>
        <v>174.99539495718776</v>
      </c>
      <c r="O76" s="103">
        <f t="shared" si="12"/>
        <v>0</v>
      </c>
      <c r="P76" s="103">
        <f t="shared" si="12"/>
        <v>112.13742849713603</v>
      </c>
      <c r="Q76" s="103">
        <f t="shared" si="12"/>
        <v>0</v>
      </c>
      <c r="R76" s="103">
        <f t="shared" si="12"/>
        <v>0</v>
      </c>
      <c r="S76" s="103">
        <f t="shared" si="12"/>
        <v>9.8020160158818292</v>
      </c>
      <c r="T76" s="103">
        <f t="shared" si="12"/>
        <v>152.11040864281617</v>
      </c>
      <c r="U76" s="103">
        <f t="shared" si="12"/>
        <v>28923.150327089093</v>
      </c>
      <c r="V76" s="103">
        <f t="shared" si="12"/>
        <v>3532.5117773273846</v>
      </c>
      <c r="W76" s="103">
        <f t="shared" si="12"/>
        <v>23898.978160334973</v>
      </c>
      <c r="X76" s="103">
        <f t="shared" si="12"/>
        <v>0</v>
      </c>
      <c r="Y76" s="103">
        <f t="shared" si="12"/>
        <v>0</v>
      </c>
      <c r="Z76" s="103">
        <f t="shared" si="12"/>
        <v>0</v>
      </c>
      <c r="AA76" s="103">
        <f t="shared" si="12"/>
        <v>0</v>
      </c>
      <c r="AB76" s="103">
        <f t="shared" si="12"/>
        <v>0</v>
      </c>
      <c r="AC76" s="103">
        <f t="shared" si="12"/>
        <v>0</v>
      </c>
      <c r="AD76" s="103">
        <f t="shared" si="12"/>
        <v>0</v>
      </c>
      <c r="AE76" s="103">
        <f t="shared" si="12"/>
        <v>0</v>
      </c>
      <c r="AF76" s="103">
        <f t="shared" si="12"/>
        <v>0</v>
      </c>
      <c r="AG76" s="103">
        <f t="shared" si="12"/>
        <v>0</v>
      </c>
      <c r="AH76" s="103">
        <f t="shared" si="12"/>
        <v>0</v>
      </c>
      <c r="AI76" s="103">
        <f t="shared" si="12"/>
        <v>0</v>
      </c>
      <c r="AJ76" s="103">
        <f t="shared" si="12"/>
        <v>0</v>
      </c>
      <c r="AK76" s="103">
        <f t="shared" si="12"/>
        <v>0</v>
      </c>
      <c r="AL76" s="103">
        <f t="shared" si="12"/>
        <v>0</v>
      </c>
      <c r="AM76" s="103">
        <f t="shared" si="12"/>
        <v>0</v>
      </c>
      <c r="AN76" s="103">
        <f t="shared" si="12"/>
        <v>0</v>
      </c>
      <c r="AO76" s="103">
        <f t="shared" si="12"/>
        <v>0</v>
      </c>
      <c r="AP76" s="103">
        <f t="shared" si="12"/>
        <v>0</v>
      </c>
      <c r="BH76" s="3"/>
    </row>
    <row r="77" spans="5:60" x14ac:dyDescent="0.25">
      <c r="F77" s="28" t="s">
        <v>515</v>
      </c>
      <c r="G77" s="28" t="s">
        <v>244</v>
      </c>
      <c r="J77" s="124">
        <f t="shared" ref="J77:AP77" si="13">J70 + J75 + J76</f>
        <v>0</v>
      </c>
      <c r="K77" s="124">
        <f t="shared" si="13"/>
        <v>1019036.5249223392</v>
      </c>
      <c r="L77" s="124">
        <f t="shared" si="13"/>
        <v>0</v>
      </c>
      <c r="M77" s="124">
        <f t="shared" si="13"/>
        <v>0</v>
      </c>
      <c r="N77" s="124">
        <f t="shared" si="13"/>
        <v>451482.07597799349</v>
      </c>
      <c r="O77" s="124">
        <f t="shared" si="13"/>
        <v>0</v>
      </c>
      <c r="P77" s="124">
        <f t="shared" si="13"/>
        <v>4514.3531474235097</v>
      </c>
      <c r="Q77" s="124">
        <f t="shared" si="13"/>
        <v>0</v>
      </c>
      <c r="R77" s="124">
        <f t="shared" si="13"/>
        <v>842.84934146739215</v>
      </c>
      <c r="S77" s="124">
        <f t="shared" si="13"/>
        <v>8212.1579615585051</v>
      </c>
      <c r="T77" s="124">
        <f t="shared" si="13"/>
        <v>78004.79777326365</v>
      </c>
      <c r="U77" s="124">
        <f t="shared" si="13"/>
        <v>1531300.292687048</v>
      </c>
      <c r="V77" s="124">
        <f t="shared" si="13"/>
        <v>120244.74578240186</v>
      </c>
      <c r="W77" s="124">
        <f t="shared" si="13"/>
        <v>2837353.6691905577</v>
      </c>
      <c r="X77" s="124">
        <f t="shared" si="13"/>
        <v>0</v>
      </c>
      <c r="Y77" s="124">
        <f t="shared" si="13"/>
        <v>0</v>
      </c>
      <c r="Z77" s="124">
        <f t="shared" si="13"/>
        <v>0</v>
      </c>
      <c r="AA77" s="124">
        <f t="shared" si="13"/>
        <v>0</v>
      </c>
      <c r="AB77" s="124">
        <f t="shared" si="13"/>
        <v>33031.440290376238</v>
      </c>
      <c r="AC77" s="124">
        <f t="shared" si="13"/>
        <v>0</v>
      </c>
      <c r="AD77" s="124">
        <f t="shared" si="13"/>
        <v>0</v>
      </c>
      <c r="AE77" s="124">
        <f t="shared" si="13"/>
        <v>0</v>
      </c>
      <c r="AF77" s="124">
        <f t="shared" si="13"/>
        <v>0</v>
      </c>
      <c r="AG77" s="124">
        <f t="shared" si="13"/>
        <v>6003.5671991277068</v>
      </c>
      <c r="AH77" s="124">
        <f t="shared" si="13"/>
        <v>0</v>
      </c>
      <c r="AI77" s="124">
        <f t="shared" si="13"/>
        <v>0</v>
      </c>
      <c r="AJ77" s="124">
        <f t="shared" si="13"/>
        <v>0</v>
      </c>
      <c r="AK77" s="124">
        <f t="shared" si="13"/>
        <v>1386.3166215887916</v>
      </c>
      <c r="AL77" s="124">
        <f t="shared" si="13"/>
        <v>0</v>
      </c>
      <c r="AM77" s="124">
        <f t="shared" si="13"/>
        <v>0</v>
      </c>
      <c r="AN77" s="124">
        <f t="shared" si="13"/>
        <v>0</v>
      </c>
      <c r="AO77" s="124">
        <f t="shared" si="13"/>
        <v>234395.58417537581</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195</v>
      </c>
      <c r="I79" t="s">
        <v>191</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369</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508</v>
      </c>
      <c r="G81" s="28" t="s">
        <v>244</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13752.667872630456</v>
      </c>
      <c r="T81" s="123">
        <f>'Inputs by customer type'!T23</f>
        <v>84385.798473301824</v>
      </c>
      <c r="U81" s="123">
        <f>'Inputs by customer type'!U23</f>
        <v>1626548.7071108846</v>
      </c>
      <c r="V81" s="123">
        <f>'Inputs by customer type'!V23</f>
        <v>135772.82140143303</v>
      </c>
      <c r="W81" s="123">
        <f>'Inputs by customer type'!W23</f>
        <v>4052286.8914527148</v>
      </c>
      <c r="X81" s="123">
        <f>'Inputs by customer type'!X23</f>
        <v>0</v>
      </c>
      <c r="Y81" s="123">
        <f>'Inputs by customer type'!Y23</f>
        <v>0</v>
      </c>
      <c r="Z81" s="123">
        <f>'Inputs by customer type'!Z23</f>
        <v>0</v>
      </c>
      <c r="AA81" s="123">
        <f>'Inputs by customer type'!AA23</f>
        <v>0</v>
      </c>
      <c r="AB81" s="123">
        <f>'Inputs by customer type'!AB23</f>
        <v>166291.0895487376</v>
      </c>
      <c r="AC81" s="123">
        <f>'Inputs by customer type'!AC23</f>
        <v>0</v>
      </c>
      <c r="AD81" s="123">
        <f>'Inputs by customer type'!AD23</f>
        <v>0</v>
      </c>
      <c r="AE81" s="123">
        <f>'Inputs by customer type'!AE23</f>
        <v>0</v>
      </c>
      <c r="AF81" s="123">
        <f>'Inputs by customer type'!AF23</f>
        <v>0</v>
      </c>
      <c r="AG81" s="123">
        <f>'Inputs by customer type'!AG23</f>
        <v>8927.0882180837252</v>
      </c>
      <c r="AH81" s="123">
        <f>'Inputs by customer type'!AH23</f>
        <v>0</v>
      </c>
      <c r="AI81" s="123">
        <f>'Inputs by customer type'!AI23</f>
        <v>0</v>
      </c>
      <c r="AJ81" s="123">
        <f>'Inputs by customer type'!AJ23</f>
        <v>0</v>
      </c>
      <c r="AK81" s="123">
        <f>'Inputs by customer type'!AK23</f>
        <v>3100.3150081195781</v>
      </c>
      <c r="AL81" s="123">
        <f>'Inputs by customer type'!AL23</f>
        <v>0</v>
      </c>
      <c r="AM81" s="123">
        <f>'Inputs by customer type'!AM23</f>
        <v>0</v>
      </c>
      <c r="AN81" s="123">
        <f>'Inputs by customer type'!AN23</f>
        <v>0</v>
      </c>
      <c r="AO81" s="123">
        <f>'Inputs by customer type'!AO23</f>
        <v>405234.32478734496</v>
      </c>
      <c r="AP81" s="123">
        <f>'Inputs by customer type'!AP23</f>
        <v>0</v>
      </c>
      <c r="BH81" s="3"/>
    </row>
    <row r="82" spans="5:60" x14ac:dyDescent="0.25">
      <c r="F82" s="28" t="s">
        <v>509</v>
      </c>
      <c r="G82" s="28" t="s">
        <v>244</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37.471511462341077</v>
      </c>
      <c r="T82" s="123">
        <f>'Inputs by customer type'!T32</f>
        <v>45.81776188005373</v>
      </c>
      <c r="U82" s="123">
        <f>'Inputs by customer type'!U32</f>
        <v>6615.9800236541769</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0</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510</v>
      </c>
      <c r="G83" s="28" t="s">
        <v>244</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29.894722236498524</v>
      </c>
      <c r="T83" s="123">
        <f>'Inputs by customer type'!T41</f>
        <v>275.79822176894174</v>
      </c>
      <c r="U83" s="123">
        <f>'Inputs by customer type'!U41</f>
        <v>65327.258144804458</v>
      </c>
      <c r="V83" s="123">
        <f>'Inputs by customer type'!V41</f>
        <v>7338.4120807554873</v>
      </c>
      <c r="W83" s="123">
        <f>'Inputs by customer type'!W41</f>
        <v>41381.491070825359</v>
      </c>
      <c r="X83" s="123">
        <f>'Inputs by customer type'!X41</f>
        <v>0</v>
      </c>
      <c r="Y83" s="123">
        <f>'Inputs by customer type'!Y41</f>
        <v>0</v>
      </c>
      <c r="Z83" s="123">
        <f>'Inputs by customer type'!Z41</f>
        <v>0</v>
      </c>
      <c r="AA83" s="123">
        <f>'Inputs by customer type'!AA41</f>
        <v>0</v>
      </c>
      <c r="AB83" s="123">
        <f>'Inputs by customer type'!AB41</f>
        <v>0</v>
      </c>
      <c r="AC83" s="123">
        <f>'Inputs by customer type'!AC41</f>
        <v>0</v>
      </c>
      <c r="AD83" s="123">
        <f>'Inputs by customer type'!AD41</f>
        <v>0</v>
      </c>
      <c r="AE83" s="123">
        <f>'Inputs by customer type'!AE41</f>
        <v>0</v>
      </c>
      <c r="AF83" s="123">
        <f>'Inputs by customer type'!AF41</f>
        <v>0</v>
      </c>
      <c r="AG83" s="123">
        <f>'Inputs by customer type'!AG41</f>
        <v>0</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0</v>
      </c>
      <c r="AP83" s="123">
        <f>'Inputs by customer type'!AP41</f>
        <v>0</v>
      </c>
      <c r="BH83" s="3"/>
    </row>
    <row r="84" spans="5:60" x14ac:dyDescent="0.25">
      <c r="F84" s="28" t="s">
        <v>511</v>
      </c>
      <c r="G84" s="28" t="s">
        <v>204</v>
      </c>
      <c r="J84" s="114">
        <f t="shared" ref="J84:AP84" si="14">IF(J$39, J$45, J$34)</f>
        <v>0.30448390017089322</v>
      </c>
      <c r="K84" s="114">
        <f t="shared" si="14"/>
        <v>0.30448390017089322</v>
      </c>
      <c r="L84" s="114">
        <f t="shared" si="14"/>
        <v>0.30448390017089322</v>
      </c>
      <c r="M84" s="114">
        <f t="shared" si="14"/>
        <v>0.30448390017089322</v>
      </c>
      <c r="N84" s="114">
        <f t="shared" si="14"/>
        <v>0.30448390017089322</v>
      </c>
      <c r="O84" s="114">
        <f t="shared" si="14"/>
        <v>0.30448390017089322</v>
      </c>
      <c r="P84" s="114">
        <f t="shared" si="14"/>
        <v>0.30448390017089322</v>
      </c>
      <c r="Q84" s="114">
        <f t="shared" si="14"/>
        <v>0</v>
      </c>
      <c r="R84" s="114">
        <f t="shared" si="14"/>
        <v>0</v>
      </c>
      <c r="S84" s="114">
        <f t="shared" si="14"/>
        <v>0.30448390017089322</v>
      </c>
      <c r="T84" s="114">
        <f t="shared" si="14"/>
        <v>0.30448390017089322</v>
      </c>
      <c r="U84" s="114">
        <f t="shared" si="14"/>
        <v>0.30448390017089322</v>
      </c>
      <c r="V84" s="114">
        <f t="shared" si="14"/>
        <v>0</v>
      </c>
      <c r="W84" s="114">
        <f t="shared" si="14"/>
        <v>0</v>
      </c>
      <c r="X84" s="114">
        <f t="shared" si="14"/>
        <v>0.30448390017089322</v>
      </c>
      <c r="Y84" s="114">
        <f t="shared" si="14"/>
        <v>0.30448390017089322</v>
      </c>
      <c r="Z84" s="114">
        <f t="shared" si="14"/>
        <v>0.30448390017089322</v>
      </c>
      <c r="AA84" s="114">
        <f t="shared" si="14"/>
        <v>0.30448390017089322</v>
      </c>
      <c r="AB84" s="114">
        <f t="shared" si="14"/>
        <v>0.30448390017089322</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512</v>
      </c>
      <c r="G85" s="28" t="s">
        <v>204</v>
      </c>
      <c r="J85" s="114">
        <f t="shared" ref="J85:AP85" si="15">IF(J$39, J$45, J$35)</f>
        <v>0.47123400364058998</v>
      </c>
      <c r="K85" s="114">
        <f t="shared" si="15"/>
        <v>0.47123400364058998</v>
      </c>
      <c r="L85" s="114">
        <f t="shared" si="15"/>
        <v>0.47123400364058998</v>
      </c>
      <c r="M85" s="114">
        <f t="shared" si="15"/>
        <v>0.47123400364058998</v>
      </c>
      <c r="N85" s="114">
        <f t="shared" si="15"/>
        <v>0.47123400364058998</v>
      </c>
      <c r="O85" s="114">
        <f t="shared" si="15"/>
        <v>0.47123400364058998</v>
      </c>
      <c r="P85" s="114">
        <f t="shared" si="15"/>
        <v>0.47123400364058998</v>
      </c>
      <c r="Q85" s="114">
        <f t="shared" si="15"/>
        <v>0</v>
      </c>
      <c r="R85" s="114">
        <f t="shared" si="15"/>
        <v>0</v>
      </c>
      <c r="S85" s="114">
        <f t="shared" si="15"/>
        <v>0.47123400364058998</v>
      </c>
      <c r="T85" s="114">
        <f t="shared" si="15"/>
        <v>0.47123400364058998</v>
      </c>
      <c r="U85" s="114">
        <f t="shared" si="15"/>
        <v>0.47123400364058998</v>
      </c>
      <c r="V85" s="114">
        <f t="shared" si="15"/>
        <v>0.22825407639898521</v>
      </c>
      <c r="W85" s="114">
        <f t="shared" si="15"/>
        <v>0.12559312203105261</v>
      </c>
      <c r="X85" s="114">
        <f t="shared" si="15"/>
        <v>0.47123400364058998</v>
      </c>
      <c r="Y85" s="114">
        <f t="shared" si="15"/>
        <v>0.47123400364058998</v>
      </c>
      <c r="Z85" s="114">
        <f t="shared" si="15"/>
        <v>0.47123400364058998</v>
      </c>
      <c r="AA85" s="114">
        <f t="shared" si="15"/>
        <v>0.47123400364058998</v>
      </c>
      <c r="AB85" s="114">
        <f t="shared" si="15"/>
        <v>0.47123400364058998</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513</v>
      </c>
      <c r="G86" s="28" t="s">
        <v>244</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26.062039506989137</v>
      </c>
      <c r="T86" s="101">
        <f t="shared" si="16"/>
        <v>31.866991045713693</v>
      </c>
      <c r="U86" s="101">
        <f t="shared" si="16"/>
        <v>4601.5206225992351</v>
      </c>
      <c r="V86" s="101">
        <f t="shared" si="16"/>
        <v>0</v>
      </c>
      <c r="W86" s="101">
        <f t="shared" si="16"/>
        <v>0</v>
      </c>
      <c r="X86" s="101">
        <f t="shared" si="16"/>
        <v>0</v>
      </c>
      <c r="Y86" s="101">
        <f t="shared" si="16"/>
        <v>0</v>
      </c>
      <c r="Z86" s="101">
        <f t="shared" si="16"/>
        <v>0</v>
      </c>
      <c r="AA86" s="101">
        <f t="shared" si="16"/>
        <v>0</v>
      </c>
      <c r="AB86" s="101">
        <f t="shared" si="16"/>
        <v>0</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514</v>
      </c>
      <c r="G87" s="67" t="s">
        <v>244</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15.807312589269952</v>
      </c>
      <c r="T87" s="103">
        <f t="shared" si="17"/>
        <v>145.83272152780802</v>
      </c>
      <c r="U87" s="103">
        <f t="shared" si="17"/>
        <v>34542.832742365914</v>
      </c>
      <c r="V87" s="103">
        <f t="shared" si="17"/>
        <v>5663.3896090274884</v>
      </c>
      <c r="W87" s="103">
        <f t="shared" si="17"/>
        <v>36184.260412940275</v>
      </c>
      <c r="X87" s="103">
        <f t="shared" si="17"/>
        <v>0</v>
      </c>
      <c r="Y87" s="103">
        <f t="shared" si="17"/>
        <v>0</v>
      </c>
      <c r="Z87" s="103">
        <f t="shared" si="17"/>
        <v>0</v>
      </c>
      <c r="AA87" s="103">
        <f t="shared" si="17"/>
        <v>0</v>
      </c>
      <c r="AB87" s="103">
        <f t="shared" si="17"/>
        <v>0</v>
      </c>
      <c r="AC87" s="103">
        <f t="shared" si="17"/>
        <v>0</v>
      </c>
      <c r="AD87" s="103">
        <f t="shared" si="17"/>
        <v>0</v>
      </c>
      <c r="AE87" s="103">
        <f t="shared" si="17"/>
        <v>0</v>
      </c>
      <c r="AF87" s="103">
        <f t="shared" si="17"/>
        <v>0</v>
      </c>
      <c r="AG87" s="103">
        <f t="shared" si="17"/>
        <v>0</v>
      </c>
      <c r="AH87" s="103">
        <f t="shared" si="17"/>
        <v>0</v>
      </c>
      <c r="AI87" s="103">
        <f t="shared" si="17"/>
        <v>0</v>
      </c>
      <c r="AJ87" s="103">
        <f t="shared" si="17"/>
        <v>0</v>
      </c>
      <c r="AK87" s="103">
        <f t="shared" si="17"/>
        <v>0</v>
      </c>
      <c r="AL87" s="103">
        <f t="shared" si="17"/>
        <v>0</v>
      </c>
      <c r="AM87" s="103">
        <f t="shared" si="17"/>
        <v>0</v>
      </c>
      <c r="AN87" s="103">
        <f t="shared" si="17"/>
        <v>0</v>
      </c>
      <c r="AO87" s="103">
        <f t="shared" si="17"/>
        <v>0</v>
      </c>
      <c r="AP87" s="103">
        <f t="shared" si="17"/>
        <v>0</v>
      </c>
      <c r="BH87" s="3"/>
    </row>
    <row r="88" spans="5:60" x14ac:dyDescent="0.25">
      <c r="F88" s="28" t="s">
        <v>515</v>
      </c>
      <c r="G88" s="28" t="s">
        <v>244</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13794.537224726715</v>
      </c>
      <c r="T88" s="124">
        <f t="shared" si="18"/>
        <v>84563.498185875345</v>
      </c>
      <c r="U88" s="124">
        <f t="shared" si="18"/>
        <v>1665693.0604758498</v>
      </c>
      <c r="V88" s="124">
        <f t="shared" si="18"/>
        <v>141436.21101046051</v>
      </c>
      <c r="W88" s="124">
        <f t="shared" si="18"/>
        <v>4088471.1518656551</v>
      </c>
      <c r="X88" s="124">
        <f t="shared" si="18"/>
        <v>0</v>
      </c>
      <c r="Y88" s="124">
        <f t="shared" si="18"/>
        <v>0</v>
      </c>
      <c r="Z88" s="124">
        <f t="shared" si="18"/>
        <v>0</v>
      </c>
      <c r="AA88" s="124">
        <f t="shared" si="18"/>
        <v>0</v>
      </c>
      <c r="AB88" s="124">
        <f t="shared" si="18"/>
        <v>166291.0895487376</v>
      </c>
      <c r="AC88" s="124">
        <f t="shared" si="18"/>
        <v>0</v>
      </c>
      <c r="AD88" s="124">
        <f t="shared" si="18"/>
        <v>0</v>
      </c>
      <c r="AE88" s="124">
        <f t="shared" si="18"/>
        <v>0</v>
      </c>
      <c r="AF88" s="124">
        <f t="shared" si="18"/>
        <v>0</v>
      </c>
      <c r="AG88" s="124">
        <f t="shared" si="18"/>
        <v>8927.0882180837252</v>
      </c>
      <c r="AH88" s="124">
        <f t="shared" si="18"/>
        <v>0</v>
      </c>
      <c r="AI88" s="124">
        <f t="shared" si="18"/>
        <v>0</v>
      </c>
      <c r="AJ88" s="124">
        <f t="shared" si="18"/>
        <v>0</v>
      </c>
      <c r="AK88" s="124">
        <f t="shared" si="18"/>
        <v>3100.3150081195781</v>
      </c>
      <c r="AL88" s="124">
        <f t="shared" si="18"/>
        <v>0</v>
      </c>
      <c r="AM88" s="124">
        <f t="shared" si="18"/>
        <v>0</v>
      </c>
      <c r="AN88" s="124">
        <f t="shared" si="18"/>
        <v>0</v>
      </c>
      <c r="AO88" s="124">
        <f t="shared" si="18"/>
        <v>405234.32478734496</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516</v>
      </c>
      <c r="I90" t="s">
        <v>191</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515</v>
      </c>
      <c r="G92" s="28" t="s">
        <v>244</v>
      </c>
      <c r="J92" s="101">
        <f t="shared" ref="J92:AP92" si="19">J88 + J77 + J66</f>
        <v>5883290.5674295351</v>
      </c>
      <c r="K92" s="101">
        <f t="shared" si="19"/>
        <v>3272235.1699916422</v>
      </c>
      <c r="L92" s="101">
        <f t="shared" si="19"/>
        <v>23777.812108679751</v>
      </c>
      <c r="M92" s="101">
        <f t="shared" si="19"/>
        <v>1161806.4742133119</v>
      </c>
      <c r="N92" s="101">
        <f t="shared" si="19"/>
        <v>1953714.7385894693</v>
      </c>
      <c r="O92" s="101">
        <f t="shared" si="19"/>
        <v>2608.5296353034564</v>
      </c>
      <c r="P92" s="101">
        <f t="shared" si="19"/>
        <v>19827.344635466758</v>
      </c>
      <c r="Q92" s="101">
        <f t="shared" si="19"/>
        <v>0.43263699199999994</v>
      </c>
      <c r="R92" s="101">
        <f t="shared" si="19"/>
        <v>3391.4580085967359</v>
      </c>
      <c r="S92" s="101">
        <f t="shared" si="19"/>
        <v>24672.108351717048</v>
      </c>
      <c r="T92" s="101">
        <f t="shared" si="19"/>
        <v>182263.36404146647</v>
      </c>
      <c r="U92" s="101">
        <f t="shared" si="19"/>
        <v>3580440.0666374937</v>
      </c>
      <c r="V92" s="101">
        <f t="shared" si="19"/>
        <v>292841.19922875345</v>
      </c>
      <c r="W92" s="101">
        <f t="shared" si="19"/>
        <v>7670280.4057608265</v>
      </c>
      <c r="X92" s="124">
        <f t="shared" si="19"/>
        <v>29141.030527383642</v>
      </c>
      <c r="Y92" s="124">
        <f t="shared" si="19"/>
        <v>22896.214955475487</v>
      </c>
      <c r="Z92" s="124">
        <f t="shared" si="19"/>
        <v>395.39698261741404</v>
      </c>
      <c r="AA92" s="124">
        <f t="shared" si="19"/>
        <v>7682.0746191750686</v>
      </c>
      <c r="AB92" s="124">
        <f t="shared" si="19"/>
        <v>209948.39450188447</v>
      </c>
      <c r="AC92" s="101">
        <f t="shared" si="19"/>
        <v>1460.8327019999997</v>
      </c>
      <c r="AD92" s="101">
        <f t="shared" si="19"/>
        <v>0</v>
      </c>
      <c r="AE92" s="101">
        <f t="shared" si="19"/>
        <v>31099.870007600002</v>
      </c>
      <c r="AF92" s="101">
        <f t="shared" si="19"/>
        <v>0</v>
      </c>
      <c r="AG92" s="101">
        <f t="shared" si="19"/>
        <v>16460.717142603458</v>
      </c>
      <c r="AH92" s="101">
        <f t="shared" si="19"/>
        <v>0</v>
      </c>
      <c r="AI92" s="101">
        <f t="shared" si="19"/>
        <v>3603.9466430000011</v>
      </c>
      <c r="AJ92" s="101">
        <f t="shared" si="19"/>
        <v>0</v>
      </c>
      <c r="AK92" s="101">
        <f t="shared" si="19"/>
        <v>4910.2277946388513</v>
      </c>
      <c r="AL92" s="101">
        <f t="shared" si="19"/>
        <v>0</v>
      </c>
      <c r="AM92" s="101">
        <f t="shared" si="19"/>
        <v>460937.71201500011</v>
      </c>
      <c r="AN92" s="101">
        <f t="shared" si="19"/>
        <v>0</v>
      </c>
      <c r="AO92" s="101">
        <f t="shared" si="19"/>
        <v>730132.21227803966</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249</v>
      </c>
      <c r="I94" t="s">
        <v>191</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369</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508</v>
      </c>
      <c r="G96" s="28" t="s">
        <v>249</v>
      </c>
      <c r="J96" s="123">
        <f>'Inputs by customer type'!J24</f>
        <v>1726707.407553507</v>
      </c>
      <c r="K96" s="123">
        <f>'Inputs by customer type'!K24</f>
        <v>743453.16784122027</v>
      </c>
      <c r="L96" s="123">
        <f>'Inputs by customer type'!L24</f>
        <v>0</v>
      </c>
      <c r="M96" s="123">
        <f>'Inputs by customer type'!M24</f>
        <v>95879.721386254867</v>
      </c>
      <c r="N96" s="123">
        <f>'Inputs by customer type'!N24</f>
        <v>82292.67299191159</v>
      </c>
      <c r="O96" s="123">
        <f>'Inputs by customer type'!O24</f>
        <v>0</v>
      </c>
      <c r="P96" s="123">
        <f>'Inputs by customer type'!P24</f>
        <v>314.26284919123452</v>
      </c>
      <c r="Q96" s="123">
        <f>'Inputs by customer type'!Q24</f>
        <v>0.83287671232876703</v>
      </c>
      <c r="R96" s="123">
        <f>'Inputs by customer type'!R24</f>
        <v>36.832876712328769</v>
      </c>
      <c r="S96" s="123">
        <f>'Inputs by customer type'!S24</f>
        <v>6648.589604662181</v>
      </c>
      <c r="T96" s="123">
        <f>'Inputs by customer type'!T24</f>
        <v>2705.1007261385821</v>
      </c>
      <c r="U96" s="123">
        <f>'Inputs by customer type'!U24</f>
        <v>15003.221102696019</v>
      </c>
      <c r="V96" s="123">
        <f>'Inputs by customer type'!V24</f>
        <v>376.98734183773303</v>
      </c>
      <c r="W96" s="123">
        <f>'Inputs by customer type'!W24</f>
        <v>3533.4058829299429</v>
      </c>
      <c r="X96" s="123">
        <f>'Inputs by customer type'!X24</f>
        <v>1612</v>
      </c>
      <c r="Y96" s="123">
        <f>'Inputs by customer type'!Y24</f>
        <v>1312</v>
      </c>
      <c r="Z96" s="123">
        <f>'Inputs by customer type'!Z24</f>
        <v>197</v>
      </c>
      <c r="AA96" s="123">
        <f>'Inputs by customer type'!AA24</f>
        <v>240</v>
      </c>
      <c r="AB96" s="123">
        <f>'Inputs by customer type'!AB24</f>
        <v>27.095890410958901</v>
      </c>
      <c r="AC96" s="123">
        <f>'Inputs by customer type'!AC24</f>
        <v>0</v>
      </c>
      <c r="AD96" s="123">
        <f>'Inputs by customer type'!AD24</f>
        <v>0</v>
      </c>
      <c r="AE96" s="123">
        <f>'Inputs by customer type'!AE24</f>
        <v>529.51229260273976</v>
      </c>
      <c r="AF96" s="123">
        <f>'Inputs by customer type'!AF24</f>
        <v>0</v>
      </c>
      <c r="AG96" s="123">
        <f>'Inputs by customer type'!AG24</f>
        <v>104.10217808219178</v>
      </c>
      <c r="AH96" s="123">
        <f>'Inputs by customer type'!AH24</f>
        <v>0</v>
      </c>
      <c r="AI96" s="123">
        <f>'Inputs by customer type'!AI24</f>
        <v>28.933541095890419</v>
      </c>
      <c r="AJ96" s="123">
        <f>'Inputs by customer type'!AJ24</f>
        <v>0</v>
      </c>
      <c r="AK96" s="123">
        <f>'Inputs by customer type'!AK24</f>
        <v>6.8061575342465748</v>
      </c>
      <c r="AL96" s="123">
        <f>'Inputs by customer type'!AL24</f>
        <v>0</v>
      </c>
      <c r="AM96" s="123">
        <f>'Inputs by customer type'!AM24</f>
        <v>225.48004931506853</v>
      </c>
      <c r="AN96" s="123">
        <f>'Inputs by customer type'!AN24</f>
        <v>0</v>
      </c>
      <c r="AO96" s="123">
        <f>'Inputs by customer type'!AO24</f>
        <v>232.44540410958902</v>
      </c>
      <c r="AP96" s="123">
        <f>'Inputs by customer type'!AP24</f>
        <v>0</v>
      </c>
      <c r="BH96" s="3"/>
    </row>
    <row r="97" spans="5:60" x14ac:dyDescent="0.25">
      <c r="F97" s="28" t="s">
        <v>509</v>
      </c>
      <c r="G97" s="28" t="s">
        <v>249</v>
      </c>
      <c r="J97" s="123">
        <f>'Inputs by customer type'!J33</f>
        <v>32201.229921917806</v>
      </c>
      <c r="K97" s="123">
        <f>'Inputs by customer type'!K33</f>
        <v>1236.9380808219178</v>
      </c>
      <c r="L97" s="123">
        <f>'Inputs by customer type'!L33</f>
        <v>0</v>
      </c>
      <c r="M97" s="123">
        <f>'Inputs by customer type'!M33</f>
        <v>607.52541917808219</v>
      </c>
      <c r="N97" s="123">
        <f>'Inputs by customer type'!N33</f>
        <v>10.725572602739726</v>
      </c>
      <c r="O97" s="123">
        <f>'Inputs by customer type'!O33</f>
        <v>0</v>
      </c>
      <c r="P97" s="123">
        <f>'Inputs by customer type'!P33</f>
        <v>4.8612164383561653</v>
      </c>
      <c r="Q97" s="123">
        <f>'Inputs by customer type'!Q33</f>
        <v>0</v>
      </c>
      <c r="R97" s="123">
        <f>'Inputs by customer type'!R33</f>
        <v>0</v>
      </c>
      <c r="S97" s="123">
        <f>'Inputs by customer type'!S33</f>
        <v>17.532236986301371</v>
      </c>
      <c r="T97" s="123">
        <f>'Inputs by customer type'!T33</f>
        <v>1.3154191780821918</v>
      </c>
      <c r="U97" s="123">
        <f>'Inputs by customer type'!U33</f>
        <v>60.059095890410966</v>
      </c>
      <c r="V97" s="123">
        <f>'Inputs by customer type'!V33</f>
        <v>0</v>
      </c>
      <c r="W97" s="123">
        <f>'Inputs by customer type'!W33</f>
        <v>0</v>
      </c>
      <c r="X97" s="123">
        <f>'Inputs by customer type'!X33</f>
        <v>0</v>
      </c>
      <c r="Y97" s="123">
        <f>'Inputs by customer type'!Y33</f>
        <v>0</v>
      </c>
      <c r="Z97" s="123">
        <f>'Inputs by customer type'!Z33</f>
        <v>0</v>
      </c>
      <c r="AA97" s="123">
        <f>'Inputs by customer type'!AA33</f>
        <v>0</v>
      </c>
      <c r="AB97" s="123">
        <f>'Inputs by customer type'!AB33</f>
        <v>0</v>
      </c>
      <c r="AC97" s="123">
        <f>'Inputs by customer type'!AC33</f>
        <v>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510</v>
      </c>
      <c r="G98" s="28" t="s">
        <v>249</v>
      </c>
      <c r="J98" s="123">
        <f>'Inputs by customer type'!J42</f>
        <v>64167.903498630149</v>
      </c>
      <c r="K98" s="123">
        <f>'Inputs by customer type'!K42</f>
        <v>2161.8216369863017</v>
      </c>
      <c r="L98" s="123">
        <f>'Inputs by customer type'!L42</f>
        <v>0</v>
      </c>
      <c r="M98" s="123">
        <f>'Inputs by customer type'!M42</f>
        <v>1513.2644547945206</v>
      </c>
      <c r="N98" s="123">
        <f>'Inputs by customer type'!N42</f>
        <v>45.189687671232882</v>
      </c>
      <c r="O98" s="123">
        <f>'Inputs by customer type'!O42</f>
        <v>0</v>
      </c>
      <c r="P98" s="123">
        <f>'Inputs by customer type'!P42</f>
        <v>14.824323287671234</v>
      </c>
      <c r="Q98" s="123">
        <f>'Inputs by customer type'!Q42</f>
        <v>0</v>
      </c>
      <c r="R98" s="123">
        <f>'Inputs by customer type'!R42</f>
        <v>0</v>
      </c>
      <c r="S98" s="123">
        <f>'Inputs by customer type'!S42</f>
        <v>18.142541095890412</v>
      </c>
      <c r="T98" s="123">
        <f>'Inputs by customer type'!T42</f>
        <v>13.302872602739725</v>
      </c>
      <c r="U98" s="123">
        <f>'Inputs by customer type'!U42</f>
        <v>370.4231013698631</v>
      </c>
      <c r="V98" s="123">
        <f>'Inputs by customer type'!V42</f>
        <v>8.6778547945205506</v>
      </c>
      <c r="W98" s="123">
        <f>'Inputs by customer type'!W42</f>
        <v>37.045227397260277</v>
      </c>
      <c r="X98" s="123">
        <f>'Inputs by customer type'!X42</f>
        <v>0</v>
      </c>
      <c r="Y98" s="123">
        <f>'Inputs by customer type'!Y42</f>
        <v>0</v>
      </c>
      <c r="Z98" s="123">
        <f>'Inputs by customer type'!Z42</f>
        <v>0</v>
      </c>
      <c r="AA98" s="123">
        <f>'Inputs by customer type'!AA42</f>
        <v>0</v>
      </c>
      <c r="AB98" s="123">
        <f>'Inputs by customer type'!AB42</f>
        <v>0</v>
      </c>
      <c r="AC98" s="123">
        <f>'Inputs by customer type'!AC42</f>
        <v>0</v>
      </c>
      <c r="AD98" s="123">
        <f>'Inputs by customer type'!AD42</f>
        <v>0</v>
      </c>
      <c r="AE98" s="123">
        <f>'Inputs by customer type'!AE42</f>
        <v>5.1473068493150684</v>
      </c>
      <c r="AF98" s="123">
        <f>'Inputs by customer type'!AF42</f>
        <v>0</v>
      </c>
      <c r="AG98" s="123">
        <f>'Inputs by customer type'!AG42</f>
        <v>0</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0.21349041095890409</v>
      </c>
      <c r="AN98" s="123">
        <f>'Inputs by customer type'!AN42</f>
        <v>0</v>
      </c>
      <c r="AO98" s="123">
        <f>'Inputs by customer type'!AO42</f>
        <v>0</v>
      </c>
      <c r="AP98" s="123">
        <f>'Inputs by customer type'!AP42</f>
        <v>0</v>
      </c>
      <c r="BH98" s="3"/>
    </row>
    <row r="99" spans="5:60" x14ac:dyDescent="0.25">
      <c r="F99" s="28" t="s">
        <v>511</v>
      </c>
      <c r="G99" s="28" t="s">
        <v>204</v>
      </c>
      <c r="J99" s="114">
        <f t="shared" ref="J99:AP99" si="20">IF(J$40, J$46, J$34)</f>
        <v>0.30448390017089322</v>
      </c>
      <c r="K99" s="114">
        <f t="shared" si="20"/>
        <v>0.30448390017089322</v>
      </c>
      <c r="L99" s="114">
        <f t="shared" si="20"/>
        <v>0.30448390017089322</v>
      </c>
      <c r="M99" s="114">
        <f t="shared" si="20"/>
        <v>0.30448390017089322</v>
      </c>
      <c r="N99" s="114">
        <f t="shared" si="20"/>
        <v>0.30448390017089322</v>
      </c>
      <c r="O99" s="114">
        <f t="shared" si="20"/>
        <v>0.30448390017089322</v>
      </c>
      <c r="P99" s="114">
        <f t="shared" si="20"/>
        <v>0.30448390017089322</v>
      </c>
      <c r="Q99" s="114">
        <f t="shared" si="20"/>
        <v>0</v>
      </c>
      <c r="R99" s="114">
        <f t="shared" si="20"/>
        <v>0</v>
      </c>
      <c r="S99" s="114">
        <f t="shared" si="20"/>
        <v>0.30448390017089322</v>
      </c>
      <c r="T99" s="114">
        <f t="shared" si="20"/>
        <v>0.30448390017089322</v>
      </c>
      <c r="U99" s="114">
        <f t="shared" si="20"/>
        <v>0.30448390017089322</v>
      </c>
      <c r="V99" s="114">
        <f t="shared" si="20"/>
        <v>0</v>
      </c>
      <c r="W99" s="114">
        <f t="shared" si="20"/>
        <v>0</v>
      </c>
      <c r="X99" s="114">
        <f t="shared" si="20"/>
        <v>0.30448390017089322</v>
      </c>
      <c r="Y99" s="114">
        <f t="shared" si="20"/>
        <v>0.30448390017089322</v>
      </c>
      <c r="Z99" s="114">
        <f t="shared" si="20"/>
        <v>0.30448390017089322</v>
      </c>
      <c r="AA99" s="114">
        <f t="shared" si="20"/>
        <v>0.30448390017089322</v>
      </c>
      <c r="AB99" s="114">
        <f t="shared" si="20"/>
        <v>0.30448390017089322</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512</v>
      </c>
      <c r="G100" s="28" t="s">
        <v>204</v>
      </c>
      <c r="J100" s="114">
        <f t="shared" ref="J100:AP100" si="21">IF(J$40, J$46, J$35)</f>
        <v>0.47123400364058998</v>
      </c>
      <c r="K100" s="114">
        <f t="shared" si="21"/>
        <v>0.47123400364058998</v>
      </c>
      <c r="L100" s="114">
        <f t="shared" si="21"/>
        <v>0.47123400364058998</v>
      </c>
      <c r="M100" s="114">
        <f t="shared" si="21"/>
        <v>0.47123400364058998</v>
      </c>
      <c r="N100" s="114">
        <f t="shared" si="21"/>
        <v>0.47123400364058998</v>
      </c>
      <c r="O100" s="114">
        <f t="shared" si="21"/>
        <v>0.47123400364058998</v>
      </c>
      <c r="P100" s="114">
        <f t="shared" si="21"/>
        <v>0.47123400364058998</v>
      </c>
      <c r="Q100" s="114">
        <f t="shared" si="21"/>
        <v>0</v>
      </c>
      <c r="R100" s="114">
        <f t="shared" si="21"/>
        <v>0</v>
      </c>
      <c r="S100" s="114">
        <f t="shared" si="21"/>
        <v>0.47123400364058998</v>
      </c>
      <c r="T100" s="114">
        <f t="shared" si="21"/>
        <v>0.47123400364058998</v>
      </c>
      <c r="U100" s="114">
        <f t="shared" si="21"/>
        <v>0.47123400364058998</v>
      </c>
      <c r="V100" s="114">
        <f t="shared" si="21"/>
        <v>0.22825407639898521</v>
      </c>
      <c r="W100" s="114">
        <f t="shared" si="21"/>
        <v>0.12559312203105261</v>
      </c>
      <c r="X100" s="114">
        <f t="shared" si="21"/>
        <v>0.47123400364058998</v>
      </c>
      <c r="Y100" s="114">
        <f t="shared" si="21"/>
        <v>0.47123400364058998</v>
      </c>
      <c r="Z100" s="114">
        <f t="shared" si="21"/>
        <v>0.47123400364058998</v>
      </c>
      <c r="AA100" s="114">
        <f t="shared" si="21"/>
        <v>0.47123400364058998</v>
      </c>
      <c r="AB100" s="114">
        <f t="shared" si="21"/>
        <v>0.47123400364058998</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513</v>
      </c>
      <c r="G101" s="28" t="s">
        <v>249</v>
      </c>
      <c r="J101" s="101">
        <f t="shared" ref="J101:AP101" si="22">J97 * (1 - J99)</f>
        <v>22396.473844992604</v>
      </c>
      <c r="K101" s="101">
        <f t="shared" si="22"/>
        <v>860.31034970336066</v>
      </c>
      <c r="L101" s="101">
        <f t="shared" si="22"/>
        <v>0</v>
      </c>
      <c r="M101" s="101">
        <f t="shared" si="22"/>
        <v>422.54371009378298</v>
      </c>
      <c r="N101" s="101">
        <f t="shared" si="22"/>
        <v>7.459808425091456</v>
      </c>
      <c r="O101" s="101">
        <f t="shared" si="22"/>
        <v>0</v>
      </c>
      <c r="P101" s="101">
        <f t="shared" si="22"/>
        <v>3.3810542976306217</v>
      </c>
      <c r="Q101" s="101">
        <f t="shared" si="22"/>
        <v>0</v>
      </c>
      <c r="R101" s="101">
        <f t="shared" si="22"/>
        <v>0</v>
      </c>
      <c r="S101" s="101">
        <f t="shared" si="22"/>
        <v>12.193953089991941</v>
      </c>
      <c r="T101" s="101">
        <f t="shared" si="22"/>
        <v>0.91489521638013527</v>
      </c>
      <c r="U101" s="101">
        <f t="shared" si="22"/>
        <v>41.772068132960968</v>
      </c>
      <c r="V101" s="101">
        <f t="shared" si="22"/>
        <v>0</v>
      </c>
      <c r="W101" s="101">
        <f t="shared" si="22"/>
        <v>0</v>
      </c>
      <c r="X101" s="101">
        <f t="shared" si="22"/>
        <v>0</v>
      </c>
      <c r="Y101" s="101">
        <f t="shared" si="22"/>
        <v>0</v>
      </c>
      <c r="Z101" s="101">
        <f t="shared" si="22"/>
        <v>0</v>
      </c>
      <c r="AA101" s="101">
        <f t="shared" si="22"/>
        <v>0</v>
      </c>
      <c r="AB101" s="101">
        <f t="shared" si="22"/>
        <v>0</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514</v>
      </c>
      <c r="G102" s="67" t="s">
        <v>249</v>
      </c>
      <c r="H102" s="37"/>
      <c r="I102" s="37"/>
      <c r="J102" s="103">
        <f t="shared" ref="J102:AP102" si="23">J98 * (1 - J100)</f>
        <v>33929.80542774764</v>
      </c>
      <c r="K102" s="103">
        <f t="shared" si="23"/>
        <v>1143.0977718323925</v>
      </c>
      <c r="L102" s="103">
        <f t="shared" si="23"/>
        <v>0</v>
      </c>
      <c r="M102" s="103">
        <f t="shared" si="23"/>
        <v>800.16278719470404</v>
      </c>
      <c r="N102" s="103">
        <f t="shared" si="23"/>
        <v>23.894770226650003</v>
      </c>
      <c r="O102" s="103">
        <f t="shared" si="23"/>
        <v>0</v>
      </c>
      <c r="P102" s="103">
        <f t="shared" si="23"/>
        <v>7.8385980735594849</v>
      </c>
      <c r="Q102" s="103">
        <f t="shared" si="23"/>
        <v>0</v>
      </c>
      <c r="R102" s="103">
        <f t="shared" si="23"/>
        <v>0</v>
      </c>
      <c r="S102" s="103">
        <f t="shared" si="23"/>
        <v>9.5931588190600365</v>
      </c>
      <c r="T102" s="103">
        <f t="shared" si="23"/>
        <v>7.0341066862299693</v>
      </c>
      <c r="U102" s="103">
        <f t="shared" si="23"/>
        <v>195.8671402703784</v>
      </c>
      <c r="V102" s="103">
        <f t="shared" si="23"/>
        <v>6.6970990632727565</v>
      </c>
      <c r="W102" s="103">
        <f t="shared" si="23"/>
        <v>32.392601632088073</v>
      </c>
      <c r="X102" s="103">
        <f t="shared" si="23"/>
        <v>0</v>
      </c>
      <c r="Y102" s="103">
        <f t="shared" si="23"/>
        <v>0</v>
      </c>
      <c r="Z102" s="103">
        <f t="shared" si="23"/>
        <v>0</v>
      </c>
      <c r="AA102" s="103">
        <f t="shared" si="23"/>
        <v>0</v>
      </c>
      <c r="AB102" s="103">
        <f t="shared" si="23"/>
        <v>0</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515</v>
      </c>
      <c r="G103" s="28" t="s">
        <v>249</v>
      </c>
      <c r="J103" s="124">
        <f t="shared" ref="J103:AP103" si="24">J96 + J101 + J102</f>
        <v>1783033.6868262473</v>
      </c>
      <c r="K103" s="124">
        <f t="shared" si="24"/>
        <v>745456.57596275606</v>
      </c>
      <c r="L103" s="124">
        <f t="shared" si="24"/>
        <v>0</v>
      </c>
      <c r="M103" s="124">
        <f t="shared" si="24"/>
        <v>97102.427883543351</v>
      </c>
      <c r="N103" s="124">
        <f t="shared" si="24"/>
        <v>82324.027570563325</v>
      </c>
      <c r="O103" s="124">
        <f t="shared" si="24"/>
        <v>0</v>
      </c>
      <c r="P103" s="124">
        <f t="shared" si="24"/>
        <v>325.4825015624246</v>
      </c>
      <c r="Q103" s="124">
        <f t="shared" si="24"/>
        <v>0.83287671232876703</v>
      </c>
      <c r="R103" s="124">
        <f t="shared" si="24"/>
        <v>36.832876712328769</v>
      </c>
      <c r="S103" s="124">
        <f t="shared" si="24"/>
        <v>6670.3767165712325</v>
      </c>
      <c r="T103" s="124">
        <f t="shared" si="24"/>
        <v>2713.0497280411923</v>
      </c>
      <c r="U103" s="124">
        <f t="shared" si="24"/>
        <v>15240.860311099359</v>
      </c>
      <c r="V103" s="124">
        <f t="shared" si="24"/>
        <v>383.68444090100576</v>
      </c>
      <c r="W103" s="124">
        <f t="shared" si="24"/>
        <v>3565.7984845620308</v>
      </c>
      <c r="X103" s="124">
        <f t="shared" si="24"/>
        <v>1612</v>
      </c>
      <c r="Y103" s="124">
        <f t="shared" si="24"/>
        <v>1312</v>
      </c>
      <c r="Z103" s="124">
        <f t="shared" si="24"/>
        <v>197</v>
      </c>
      <c r="AA103" s="124">
        <f t="shared" si="24"/>
        <v>240</v>
      </c>
      <c r="AB103" s="124">
        <f t="shared" si="24"/>
        <v>27.095890410958901</v>
      </c>
      <c r="AC103" s="124">
        <f t="shared" si="24"/>
        <v>0</v>
      </c>
      <c r="AD103" s="124">
        <f t="shared" si="24"/>
        <v>0</v>
      </c>
      <c r="AE103" s="124">
        <f t="shared" si="24"/>
        <v>529.51229260273976</v>
      </c>
      <c r="AF103" s="124">
        <f t="shared" si="24"/>
        <v>0</v>
      </c>
      <c r="AG103" s="124">
        <f t="shared" si="24"/>
        <v>104.10217808219178</v>
      </c>
      <c r="AH103" s="124">
        <f t="shared" si="24"/>
        <v>0</v>
      </c>
      <c r="AI103" s="124">
        <f t="shared" si="24"/>
        <v>28.933541095890419</v>
      </c>
      <c r="AJ103" s="124">
        <f t="shared" si="24"/>
        <v>0</v>
      </c>
      <c r="AK103" s="124">
        <f t="shared" si="24"/>
        <v>6.8061575342465748</v>
      </c>
      <c r="AL103" s="124">
        <f t="shared" si="24"/>
        <v>0</v>
      </c>
      <c r="AM103" s="124">
        <f t="shared" si="24"/>
        <v>225.48004931506853</v>
      </c>
      <c r="AN103" s="124">
        <f t="shared" si="24"/>
        <v>0</v>
      </c>
      <c r="AO103" s="124">
        <f t="shared" si="24"/>
        <v>232.44540410958902</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301</v>
      </c>
      <c r="I105" t="s">
        <v>191</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369</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508</v>
      </c>
      <c r="G107" s="28" t="s">
        <v>302</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2012756.1269389815</v>
      </c>
      <c r="V107" s="123">
        <f>'Inputs by customer type'!V25</f>
        <v>134871.15068493152</v>
      </c>
      <c r="W107" s="123">
        <f>'Inputs by customer type'!W25</f>
        <v>2791747.7905340358</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509</v>
      </c>
      <c r="G108" s="28" t="s">
        <v>302</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11724.637778082189</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510</v>
      </c>
      <c r="G109" s="28" t="s">
        <v>302</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110516.27473835615</v>
      </c>
      <c r="V109" s="123">
        <f>'Inputs by customer type'!V43</f>
        <v>5879.2099917808227</v>
      </c>
      <c r="W109" s="123">
        <f>'Inputs by customer type'!W43</f>
        <v>50936.123534246581</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511</v>
      </c>
      <c r="G110" s="28" t="s">
        <v>204</v>
      </c>
      <c r="J110" s="114">
        <f t="shared" ref="J110:AP110" si="25">IF(J$41, J$47, J$34)</f>
        <v>0.30448390017089322</v>
      </c>
      <c r="K110" s="114">
        <f t="shared" si="25"/>
        <v>0.30448390017089322</v>
      </c>
      <c r="L110" s="114">
        <f t="shared" si="25"/>
        <v>0.30448390017089322</v>
      </c>
      <c r="M110" s="114">
        <f t="shared" si="25"/>
        <v>0.30448390017089322</v>
      </c>
      <c r="N110" s="114">
        <f t="shared" si="25"/>
        <v>0.30448390017089322</v>
      </c>
      <c r="O110" s="114">
        <f t="shared" si="25"/>
        <v>0.30448390017089322</v>
      </c>
      <c r="P110" s="114">
        <f t="shared" si="25"/>
        <v>0.30448390017089322</v>
      </c>
      <c r="Q110" s="114">
        <f t="shared" si="25"/>
        <v>0</v>
      </c>
      <c r="R110" s="114">
        <f t="shared" si="25"/>
        <v>0</v>
      </c>
      <c r="S110" s="114">
        <f t="shared" si="25"/>
        <v>0.30448390017089322</v>
      </c>
      <c r="T110" s="114">
        <f t="shared" si="25"/>
        <v>0.30448390017089322</v>
      </c>
      <c r="U110" s="114">
        <f t="shared" si="25"/>
        <v>0.30448390017089322</v>
      </c>
      <c r="V110" s="114">
        <f t="shared" si="25"/>
        <v>0</v>
      </c>
      <c r="W110" s="114">
        <f t="shared" si="25"/>
        <v>0</v>
      </c>
      <c r="X110" s="114">
        <f t="shared" si="25"/>
        <v>0.30448390017089322</v>
      </c>
      <c r="Y110" s="114">
        <f t="shared" si="25"/>
        <v>0.30448390017089322</v>
      </c>
      <c r="Z110" s="114">
        <f t="shared" si="25"/>
        <v>0.30448390017089322</v>
      </c>
      <c r="AA110" s="114">
        <f t="shared" si="25"/>
        <v>0.30448390017089322</v>
      </c>
      <c r="AB110" s="114">
        <f t="shared" si="25"/>
        <v>0.30448390017089322</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512</v>
      </c>
      <c r="G111" s="28" t="s">
        <v>204</v>
      </c>
      <c r="J111" s="114">
        <f t="shared" ref="J111:AP111" si="26">IF(J$41, J$47, J$35)</f>
        <v>0.47123400364058998</v>
      </c>
      <c r="K111" s="114">
        <f t="shared" si="26"/>
        <v>0.47123400364058998</v>
      </c>
      <c r="L111" s="114">
        <f t="shared" si="26"/>
        <v>0.47123400364058998</v>
      </c>
      <c r="M111" s="114">
        <f t="shared" si="26"/>
        <v>0.47123400364058998</v>
      </c>
      <c r="N111" s="114">
        <f t="shared" si="26"/>
        <v>0.47123400364058998</v>
      </c>
      <c r="O111" s="114">
        <f t="shared" si="26"/>
        <v>0.47123400364058998</v>
      </c>
      <c r="P111" s="114">
        <f t="shared" si="26"/>
        <v>0.47123400364058998</v>
      </c>
      <c r="Q111" s="114">
        <f t="shared" si="26"/>
        <v>0</v>
      </c>
      <c r="R111" s="114">
        <f t="shared" si="26"/>
        <v>0</v>
      </c>
      <c r="S111" s="114">
        <f t="shared" si="26"/>
        <v>0.47123400364058998</v>
      </c>
      <c r="T111" s="114">
        <f t="shared" si="26"/>
        <v>0.47123400364058998</v>
      </c>
      <c r="U111" s="114">
        <f t="shared" si="26"/>
        <v>0.47123400364058998</v>
      </c>
      <c r="V111" s="114">
        <f t="shared" si="26"/>
        <v>0.22825407639898521</v>
      </c>
      <c r="W111" s="114">
        <f t="shared" si="26"/>
        <v>0.12559312203105261</v>
      </c>
      <c r="X111" s="114">
        <f t="shared" si="26"/>
        <v>0.47123400364058998</v>
      </c>
      <c r="Y111" s="114">
        <f t="shared" si="26"/>
        <v>0.47123400364058998</v>
      </c>
      <c r="Z111" s="114">
        <f t="shared" si="26"/>
        <v>0.47123400364058998</v>
      </c>
      <c r="AA111" s="114">
        <f t="shared" si="26"/>
        <v>0.47123400364058998</v>
      </c>
      <c r="AB111" s="114">
        <f t="shared" si="26"/>
        <v>0.47123400364058998</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513</v>
      </c>
      <c r="G112" s="28" t="s">
        <v>302</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8154.6743393207289</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514</v>
      </c>
      <c r="G113" s="67" t="s">
        <v>302</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58437.248125957187</v>
      </c>
      <c r="V113" s="103">
        <f t="shared" si="28"/>
        <v>4537.256345151206</v>
      </c>
      <c r="W113" s="103">
        <f t="shared" si="28"/>
        <v>44538.896755421178</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515</v>
      </c>
      <c r="G114" s="28" t="s">
        <v>302</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2079348.0494042593</v>
      </c>
      <c r="V114" s="124">
        <f t="shared" si="29"/>
        <v>139408.40703008272</v>
      </c>
      <c r="W114" s="124">
        <f t="shared" si="29"/>
        <v>2836286.6872894568</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303</v>
      </c>
      <c r="I116" t="s">
        <v>191</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369</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508</v>
      </c>
      <c r="G118" s="28" t="s">
        <v>302</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42592.376258778822</v>
      </c>
      <c r="V118" s="123">
        <f>'Inputs by customer type'!V26</f>
        <v>2955.2953808219186</v>
      </c>
      <c r="W118" s="123">
        <f>'Inputs by customer type'!W26</f>
        <v>69019.941675850831</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509</v>
      </c>
      <c r="G119" s="28" t="s">
        <v>302</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39.814933972602745</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510</v>
      </c>
      <c r="G120" s="28" t="s">
        <v>302</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331.76625342465752</v>
      </c>
      <c r="V120" s="123">
        <f>'Inputs by customer type'!V44</f>
        <v>65.642334246575345</v>
      </c>
      <c r="W120" s="123">
        <f>'Inputs by customer type'!W44</f>
        <v>140.6746</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511</v>
      </c>
      <c r="G121" s="28" t="s">
        <v>204</v>
      </c>
      <c r="J121" s="114">
        <f t="shared" ref="J121:AP121" si="30">IF(J$42, J$48, J$34)</f>
        <v>0.30448390017089322</v>
      </c>
      <c r="K121" s="114">
        <f t="shared" si="30"/>
        <v>0.30448390017089322</v>
      </c>
      <c r="L121" s="114">
        <f t="shared" si="30"/>
        <v>0.30448390017089322</v>
      </c>
      <c r="M121" s="114">
        <f t="shared" si="30"/>
        <v>0.30448390017089322</v>
      </c>
      <c r="N121" s="114">
        <f t="shared" si="30"/>
        <v>0.30448390017089322</v>
      </c>
      <c r="O121" s="114">
        <f t="shared" si="30"/>
        <v>0.30448390017089322</v>
      </c>
      <c r="P121" s="114">
        <f t="shared" si="30"/>
        <v>0.30448390017089322</v>
      </c>
      <c r="Q121" s="114">
        <f t="shared" si="30"/>
        <v>0</v>
      </c>
      <c r="R121" s="114">
        <f t="shared" si="30"/>
        <v>0</v>
      </c>
      <c r="S121" s="114">
        <f t="shared" si="30"/>
        <v>0.30448390017089322</v>
      </c>
      <c r="T121" s="114">
        <f t="shared" si="30"/>
        <v>0.30448390017089322</v>
      </c>
      <c r="U121" s="114">
        <f t="shared" si="30"/>
        <v>0.30448390017089322</v>
      </c>
      <c r="V121" s="114">
        <f t="shared" si="30"/>
        <v>0</v>
      </c>
      <c r="W121" s="114">
        <f t="shared" si="30"/>
        <v>0</v>
      </c>
      <c r="X121" s="114">
        <f t="shared" si="30"/>
        <v>0.30448390017089322</v>
      </c>
      <c r="Y121" s="114">
        <f t="shared" si="30"/>
        <v>0.30448390017089322</v>
      </c>
      <c r="Z121" s="114">
        <f t="shared" si="30"/>
        <v>0.30448390017089322</v>
      </c>
      <c r="AA121" s="114">
        <f t="shared" si="30"/>
        <v>0.30448390017089322</v>
      </c>
      <c r="AB121" s="114">
        <f t="shared" si="30"/>
        <v>0.30448390017089322</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512</v>
      </c>
      <c r="G122" s="28" t="s">
        <v>204</v>
      </c>
      <c r="J122" s="114">
        <f t="shared" ref="J122:AP122" si="31">IF(J$42, J$48, J$35)</f>
        <v>0.47123400364058998</v>
      </c>
      <c r="K122" s="114">
        <f t="shared" si="31"/>
        <v>0.47123400364058998</v>
      </c>
      <c r="L122" s="114">
        <f t="shared" si="31"/>
        <v>0.47123400364058998</v>
      </c>
      <c r="M122" s="114">
        <f t="shared" si="31"/>
        <v>0.47123400364058998</v>
      </c>
      <c r="N122" s="114">
        <f t="shared" si="31"/>
        <v>0.47123400364058998</v>
      </c>
      <c r="O122" s="114">
        <f t="shared" si="31"/>
        <v>0.47123400364058998</v>
      </c>
      <c r="P122" s="114">
        <f t="shared" si="31"/>
        <v>0.47123400364058998</v>
      </c>
      <c r="Q122" s="114">
        <f t="shared" si="31"/>
        <v>0</v>
      </c>
      <c r="R122" s="114">
        <f t="shared" si="31"/>
        <v>0</v>
      </c>
      <c r="S122" s="114">
        <f t="shared" si="31"/>
        <v>0.47123400364058998</v>
      </c>
      <c r="T122" s="114">
        <f t="shared" si="31"/>
        <v>0.47123400364058998</v>
      </c>
      <c r="U122" s="114">
        <f t="shared" si="31"/>
        <v>0.47123400364058998</v>
      </c>
      <c r="V122" s="114">
        <f t="shared" si="31"/>
        <v>0.22825407639898521</v>
      </c>
      <c r="W122" s="114">
        <f t="shared" si="31"/>
        <v>0.12559312203105261</v>
      </c>
      <c r="X122" s="114">
        <f t="shared" si="31"/>
        <v>0.47123400364058998</v>
      </c>
      <c r="Y122" s="114">
        <f t="shared" si="31"/>
        <v>0.47123400364058998</v>
      </c>
      <c r="Z122" s="114">
        <f t="shared" si="31"/>
        <v>0.47123400364058998</v>
      </c>
      <c r="AA122" s="114">
        <f t="shared" si="31"/>
        <v>0.47123400364058998</v>
      </c>
      <c r="AB122" s="114">
        <f t="shared" si="31"/>
        <v>0.47123400364058998</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513</v>
      </c>
      <c r="G123" s="28" t="s">
        <v>302</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27.691927591578064</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514</v>
      </c>
      <c r="G124" s="67" t="s">
        <v>302</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175.42671355051755</v>
      </c>
      <c r="V124" s="103">
        <f t="shared" si="33"/>
        <v>50.659203870449815</v>
      </c>
      <c r="W124" s="103">
        <f t="shared" si="33"/>
        <v>123.00683779553047</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515</v>
      </c>
      <c r="G125" s="28" t="s">
        <v>302</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42795.494899920915</v>
      </c>
      <c r="V125" s="124">
        <f t="shared" si="34"/>
        <v>3005.9545846923684</v>
      </c>
      <c r="W125" s="124">
        <f t="shared" si="34"/>
        <v>69142.948513646363</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304</v>
      </c>
      <c r="I127" t="s">
        <v>191</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369</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508</v>
      </c>
      <c r="G129" s="28" t="s">
        <v>305</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373665.31995114766</v>
      </c>
      <c r="V129" s="123">
        <f>'Inputs by customer type'!V27</f>
        <v>22299.254923000008</v>
      </c>
      <c r="W129" s="123">
        <f>'Inputs by customer type'!W27</f>
        <v>628646.07027292252</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2648.0790000000006</v>
      </c>
      <c r="AF129" s="123">
        <f>'Inputs by customer type'!AF27</f>
        <v>0</v>
      </c>
      <c r="AG129" s="123">
        <f>'Inputs by customer type'!AG27</f>
        <v>769.16792807999991</v>
      </c>
      <c r="AH129" s="123">
        <f>'Inputs by customer type'!AH27</f>
        <v>0</v>
      </c>
      <c r="AI129" s="123">
        <f>'Inputs by customer type'!AI27</f>
        <v>324.85729100000009</v>
      </c>
      <c r="AJ129" s="123">
        <f>'Inputs by customer type'!AJ27</f>
        <v>0</v>
      </c>
      <c r="AK129" s="123">
        <f>'Inputs by customer type'!AK27</f>
        <v>334.46799999999996</v>
      </c>
      <c r="AL129" s="123">
        <f>'Inputs by customer type'!AL27</f>
        <v>0</v>
      </c>
      <c r="AM129" s="123">
        <f>'Inputs by customer type'!AM27</f>
        <v>6236.7726382500005</v>
      </c>
      <c r="AN129" s="123">
        <f>'Inputs by customer type'!AN27</f>
        <v>0</v>
      </c>
      <c r="AO129" s="123">
        <f>'Inputs by customer type'!AO27</f>
        <v>13294.739999999998</v>
      </c>
      <c r="AP129" s="123">
        <f>'Inputs by customer type'!AP27</f>
        <v>0</v>
      </c>
      <c r="BH129" s="3"/>
    </row>
    <row r="130" spans="2:60" x14ac:dyDescent="0.25">
      <c r="F130" s="28" t="s">
        <v>509</v>
      </c>
      <c r="G130" s="28" t="s">
        <v>305</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919.89154344999986</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510</v>
      </c>
      <c r="G131" s="28" t="s">
        <v>305</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9734.5960591000003</v>
      </c>
      <c r="V131" s="123">
        <f>'Inputs by customer type'!V45</f>
        <v>1284.3620080499998</v>
      </c>
      <c r="W131" s="123">
        <f>'Inputs by customer type'!W45</f>
        <v>2361.2876358500007</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33.892680800000008</v>
      </c>
      <c r="AF131" s="123">
        <f>'Inputs by customer type'!AF45</f>
        <v>0</v>
      </c>
      <c r="AG131" s="123">
        <f>'Inputs by customer type'!AG45</f>
        <v>0</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v>
      </c>
      <c r="AP131" s="123">
        <f>'Inputs by customer type'!AP45</f>
        <v>0</v>
      </c>
      <c r="BH131" s="3"/>
    </row>
    <row r="132" spans="2:60" x14ac:dyDescent="0.25">
      <c r="F132" s="28" t="s">
        <v>511</v>
      </c>
      <c r="G132" s="28" t="s">
        <v>204</v>
      </c>
      <c r="J132" s="114">
        <f t="shared" ref="J132:AP132" si="35">IF(J$43, J$49, J$34)</f>
        <v>0.30448390017089322</v>
      </c>
      <c r="K132" s="114">
        <f t="shared" si="35"/>
        <v>0.30448390017089322</v>
      </c>
      <c r="L132" s="114">
        <f t="shared" si="35"/>
        <v>0.30448390017089322</v>
      </c>
      <c r="M132" s="114">
        <f t="shared" si="35"/>
        <v>0.30448390017089322</v>
      </c>
      <c r="N132" s="114">
        <f t="shared" si="35"/>
        <v>0.30448390017089322</v>
      </c>
      <c r="O132" s="114">
        <f t="shared" si="35"/>
        <v>0.30448390017089322</v>
      </c>
      <c r="P132" s="114">
        <f t="shared" si="35"/>
        <v>0.30448390017089322</v>
      </c>
      <c r="Q132" s="114">
        <f t="shared" si="35"/>
        <v>0</v>
      </c>
      <c r="R132" s="114">
        <f t="shared" si="35"/>
        <v>0</v>
      </c>
      <c r="S132" s="114">
        <f t="shared" si="35"/>
        <v>0.30448390017089322</v>
      </c>
      <c r="T132" s="114">
        <f t="shared" si="35"/>
        <v>0.30448390017089322</v>
      </c>
      <c r="U132" s="114">
        <f t="shared" si="35"/>
        <v>0.30448390017089322</v>
      </c>
      <c r="V132" s="114">
        <f t="shared" si="35"/>
        <v>0</v>
      </c>
      <c r="W132" s="114">
        <f t="shared" si="35"/>
        <v>0</v>
      </c>
      <c r="X132" s="114">
        <f t="shared" si="35"/>
        <v>0.30448390017089322</v>
      </c>
      <c r="Y132" s="114">
        <f t="shared" si="35"/>
        <v>0.30448390017089322</v>
      </c>
      <c r="Z132" s="114">
        <f t="shared" si="35"/>
        <v>0.30448390017089322</v>
      </c>
      <c r="AA132" s="114">
        <f t="shared" si="35"/>
        <v>0.30448390017089322</v>
      </c>
      <c r="AB132" s="114">
        <f t="shared" si="35"/>
        <v>0.30448390017089322</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512</v>
      </c>
      <c r="G133" s="28" t="s">
        <v>204</v>
      </c>
      <c r="J133" s="114">
        <f t="shared" ref="J133:AP133" si="36">IF(J$43, J$49, J$35)</f>
        <v>0.47123400364058998</v>
      </c>
      <c r="K133" s="114">
        <f t="shared" si="36"/>
        <v>0.47123400364058998</v>
      </c>
      <c r="L133" s="114">
        <f t="shared" si="36"/>
        <v>0.47123400364058998</v>
      </c>
      <c r="M133" s="114">
        <f t="shared" si="36"/>
        <v>0.47123400364058998</v>
      </c>
      <c r="N133" s="114">
        <f t="shared" si="36"/>
        <v>0.47123400364058998</v>
      </c>
      <c r="O133" s="114">
        <f t="shared" si="36"/>
        <v>0.47123400364058998</v>
      </c>
      <c r="P133" s="114">
        <f t="shared" si="36"/>
        <v>0.47123400364058998</v>
      </c>
      <c r="Q133" s="114">
        <f t="shared" si="36"/>
        <v>0</v>
      </c>
      <c r="R133" s="114">
        <f t="shared" si="36"/>
        <v>0</v>
      </c>
      <c r="S133" s="114">
        <f t="shared" si="36"/>
        <v>0.47123400364058998</v>
      </c>
      <c r="T133" s="114">
        <f t="shared" si="36"/>
        <v>0.47123400364058998</v>
      </c>
      <c r="U133" s="114">
        <f t="shared" si="36"/>
        <v>0.47123400364058998</v>
      </c>
      <c r="V133" s="114">
        <f t="shared" si="36"/>
        <v>0.22825407639898521</v>
      </c>
      <c r="W133" s="114">
        <f t="shared" si="36"/>
        <v>0.12559312203105261</v>
      </c>
      <c r="X133" s="114">
        <f t="shared" si="36"/>
        <v>0.47123400364058998</v>
      </c>
      <c r="Y133" s="114">
        <f t="shared" si="36"/>
        <v>0.47123400364058998</v>
      </c>
      <c r="Z133" s="114">
        <f t="shared" si="36"/>
        <v>0.47123400364058998</v>
      </c>
      <c r="AA133" s="114">
        <f t="shared" si="36"/>
        <v>0.47123400364058998</v>
      </c>
      <c r="AB133" s="114">
        <f t="shared" si="36"/>
        <v>0.47123400364058998</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513</v>
      </c>
      <c r="G134" s="28" t="s">
        <v>305</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639.79937856612128</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514</v>
      </c>
      <c r="G135" s="67" t="s">
        <v>305</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5147.3233843463977</v>
      </c>
      <c r="V135" s="103">
        <f t="shared" si="38"/>
        <v>991.20114414060106</v>
      </c>
      <c r="W135" s="103">
        <f t="shared" si="38"/>
        <v>2064.7261496502756</v>
      </c>
      <c r="X135" s="103">
        <f t="shared" si="38"/>
        <v>0</v>
      </c>
      <c r="Y135" s="103">
        <f t="shared" si="38"/>
        <v>0</v>
      </c>
      <c r="Z135" s="103">
        <f t="shared" si="38"/>
        <v>0</v>
      </c>
      <c r="AA135" s="103">
        <f t="shared" si="38"/>
        <v>0</v>
      </c>
      <c r="AB135" s="103">
        <f t="shared" si="38"/>
        <v>0</v>
      </c>
      <c r="AC135" s="103">
        <f t="shared" si="38"/>
        <v>0</v>
      </c>
      <c r="AD135" s="103">
        <f t="shared" si="38"/>
        <v>0</v>
      </c>
      <c r="AE135" s="103">
        <f t="shared" si="38"/>
        <v>33.892680800000008</v>
      </c>
      <c r="AF135" s="103">
        <f t="shared" si="38"/>
        <v>0</v>
      </c>
      <c r="AG135" s="103">
        <f t="shared" si="38"/>
        <v>0</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v>
      </c>
      <c r="AP135" s="103">
        <f t="shared" si="38"/>
        <v>0</v>
      </c>
      <c r="BH135" s="3"/>
    </row>
    <row r="136" spans="2:60" x14ac:dyDescent="0.25">
      <c r="F136" s="28" t="s">
        <v>515</v>
      </c>
      <c r="G136" s="28" t="s">
        <v>305</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379452.44271406013</v>
      </c>
      <c r="V136" s="124">
        <f t="shared" si="39"/>
        <v>23290.456067140607</v>
      </c>
      <c r="W136" s="124">
        <f t="shared" si="39"/>
        <v>630710.79642257281</v>
      </c>
      <c r="X136" s="124">
        <f t="shared" si="39"/>
        <v>0</v>
      </c>
      <c r="Y136" s="124">
        <f t="shared" si="39"/>
        <v>0</v>
      </c>
      <c r="Z136" s="124">
        <f t="shared" si="39"/>
        <v>0</v>
      </c>
      <c r="AA136" s="124">
        <f t="shared" si="39"/>
        <v>0</v>
      </c>
      <c r="AB136" s="124">
        <f t="shared" si="39"/>
        <v>0</v>
      </c>
      <c r="AC136" s="124">
        <f t="shared" si="39"/>
        <v>0</v>
      </c>
      <c r="AD136" s="124">
        <f t="shared" si="39"/>
        <v>0</v>
      </c>
      <c r="AE136" s="124">
        <f t="shared" si="39"/>
        <v>2681.9716808000007</v>
      </c>
      <c r="AF136" s="124">
        <f t="shared" si="39"/>
        <v>0</v>
      </c>
      <c r="AG136" s="124">
        <f t="shared" si="39"/>
        <v>769.16792807999991</v>
      </c>
      <c r="AH136" s="124">
        <f t="shared" si="39"/>
        <v>0</v>
      </c>
      <c r="AI136" s="124">
        <f t="shared" si="39"/>
        <v>324.85729100000009</v>
      </c>
      <c r="AJ136" s="124">
        <f t="shared" si="39"/>
        <v>0</v>
      </c>
      <c r="AK136" s="124">
        <f t="shared" si="39"/>
        <v>334.46799999999996</v>
      </c>
      <c r="AL136" s="124">
        <f t="shared" si="39"/>
        <v>0</v>
      </c>
      <c r="AM136" s="124">
        <f t="shared" si="39"/>
        <v>6236.7726382500005</v>
      </c>
      <c r="AN136" s="124">
        <f t="shared" si="39"/>
        <v>0</v>
      </c>
      <c r="AO136" s="124">
        <f t="shared" si="39"/>
        <v>13294.739999999998</v>
      </c>
      <c r="AP136" s="124">
        <f t="shared" si="39"/>
        <v>0</v>
      </c>
      <c r="BH136" s="3"/>
    </row>
    <row r="137" spans="2:60" x14ac:dyDescent="0.25">
      <c r="D137" s="32"/>
      <c r="L137" s="63"/>
      <c r="M137" s="63"/>
      <c r="BH137" s="3"/>
    </row>
    <row r="138" spans="2:60" x14ac:dyDescent="0.25">
      <c r="B138" s="30" t="s">
        <v>281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282</v>
      </c>
      <c r="G140" s="6" t="s">
        <v>57</v>
      </c>
      <c r="H140" s="26">
        <f t="array" ref="H140">SUM(IF(ISERROR(H22:AP137), 1))</f>
        <v>0</v>
      </c>
    </row>
    <row r="142" spans="2:60" x14ac:dyDescent="0.25">
      <c r="B142" s="30" t="s">
        <v>108</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0" t="s">
        <v>147</v>
      </c>
      <c r="H5" s="117" t="s">
        <v>148</v>
      </c>
      <c r="I5" s="14"/>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AR5" s="60" t="s">
        <v>182</v>
      </c>
    </row>
    <row r="7" spans="1:44" x14ac:dyDescent="0.25">
      <c r="B7" s="107" t="s">
        <v>12</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517</v>
      </c>
    </row>
    <row r="10" spans="1:44" x14ac:dyDescent="0.25">
      <c r="C10" s="150" t="s">
        <v>518</v>
      </c>
    </row>
    <row r="11" spans="1:44" x14ac:dyDescent="0.25">
      <c r="C11" s="29" t="s">
        <v>519</v>
      </c>
    </row>
    <row r="12" spans="1:44" x14ac:dyDescent="0.25">
      <c r="C12" s="29" t="s">
        <v>520</v>
      </c>
    </row>
    <row r="13" spans="1:44" x14ac:dyDescent="0.25">
      <c r="C13" s="29" t="s">
        <v>521</v>
      </c>
    </row>
    <row r="15" spans="1:44" x14ac:dyDescent="0.25">
      <c r="B15" s="107" t="s">
        <v>522</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191</v>
      </c>
      <c r="AR16" t="s">
        <v>523</v>
      </c>
    </row>
    <row r="17" spans="3:44" x14ac:dyDescent="0.25">
      <c r="C17" s="29" t="s">
        <v>524</v>
      </c>
    </row>
    <row r="18" spans="3:44" x14ac:dyDescent="0.25">
      <c r="C18" s="29" t="s">
        <v>525</v>
      </c>
    </row>
    <row r="19" spans="3:44" x14ac:dyDescent="0.25">
      <c r="C19" s="29" t="s">
        <v>526</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527</v>
      </c>
    </row>
    <row r="24" spans="3:44" x14ac:dyDescent="0.25">
      <c r="F24" s="64" t="s">
        <v>528</v>
      </c>
      <c r="G24" s="64" t="s">
        <v>529</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530</v>
      </c>
      <c r="G25" s="67" t="s">
        <v>529</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531</v>
      </c>
    </row>
    <row r="27" spans="3:44" x14ac:dyDescent="0.25">
      <c r="E27" s="32" t="s">
        <v>532</v>
      </c>
      <c r="I27" t="s">
        <v>191</v>
      </c>
      <c r="AR27" t="s">
        <v>533</v>
      </c>
    </row>
    <row r="28" spans="3:44" x14ac:dyDescent="0.25">
      <c r="E28" s="29" t="s">
        <v>534</v>
      </c>
      <c r="F28" s="29"/>
    </row>
    <row r="29" spans="3:44" x14ac:dyDescent="0.25">
      <c r="F29" s="64" t="s">
        <v>535</v>
      </c>
      <c r="G29" s="64" t="s">
        <v>184</v>
      </c>
      <c r="H29" s="153"/>
      <c r="I29" s="153"/>
      <c r="J29" s="127">
        <f>IF(J$24, 'General inputs'!$H16, 'General inputs'!$H21)</f>
        <v>783</v>
      </c>
      <c r="K29" s="127">
        <f>IF(K$24, 'General inputs'!$H16, 'General inputs'!$H21)</f>
        <v>783</v>
      </c>
      <c r="L29" s="127">
        <f>IF(L$24, 'General inputs'!$H16, 'General inputs'!$H21)</f>
        <v>783</v>
      </c>
      <c r="M29" s="127">
        <f>IF(M$24, 'General inputs'!$H16, 'General inputs'!$H21)</f>
        <v>783</v>
      </c>
      <c r="N29" s="127">
        <f>IF(N$24, 'General inputs'!$H16, 'General inputs'!$H21)</f>
        <v>783</v>
      </c>
      <c r="O29" s="127">
        <f>IF(O$24, 'General inputs'!$H16, 'General inputs'!$H21)</f>
        <v>783</v>
      </c>
      <c r="P29" s="127">
        <f>IF(P$24, 'General inputs'!$H16, 'General inputs'!$H21)</f>
        <v>783</v>
      </c>
      <c r="Q29" s="127">
        <f>IF(Q$24, 'General inputs'!$H16, 'General inputs'!$H21)</f>
        <v>783</v>
      </c>
      <c r="R29" s="127">
        <f>IF(R$24, 'General inputs'!$H16, 'General inputs'!$H21)</f>
        <v>783</v>
      </c>
      <c r="S29" s="127">
        <f>IF(S$24, 'General inputs'!$H16, 'General inputs'!$H21)</f>
        <v>783</v>
      </c>
      <c r="T29" s="127">
        <f>IF(T$24, 'General inputs'!$H16, 'General inputs'!$H21)</f>
        <v>783</v>
      </c>
      <c r="U29" s="127">
        <f>IF(U$24, 'General inputs'!$H16, 'General inputs'!$H21)</f>
        <v>783</v>
      </c>
      <c r="V29" s="127">
        <f>IF(V$24, 'General inputs'!$H16, 'General inputs'!$H21)</f>
        <v>783</v>
      </c>
      <c r="W29" s="127">
        <f>IF(W$24, 'General inputs'!$H16, 'General inputs'!$H21)</f>
        <v>783</v>
      </c>
      <c r="X29" s="127">
        <f>IF(X$24, 'General inputs'!$H16, 'General inputs'!$H21)</f>
        <v>255</v>
      </c>
      <c r="Y29" s="127">
        <f>IF(Y$24, 'General inputs'!$H16, 'General inputs'!$H21)</f>
        <v>255</v>
      </c>
      <c r="Z29" s="127">
        <f>IF(Z$24, 'General inputs'!$H16, 'General inputs'!$H21)</f>
        <v>255</v>
      </c>
      <c r="AA29" s="127">
        <f>IF(AA$24, 'General inputs'!$H16, 'General inputs'!$H21)</f>
        <v>255</v>
      </c>
      <c r="AB29" s="127">
        <f>IF(AB$24, 'General inputs'!$H16, 'General inputs'!$H21)</f>
        <v>255</v>
      </c>
      <c r="AC29" s="127">
        <f>IF(AC$24, 'General inputs'!$H16, 'General inputs'!$H21)</f>
        <v>783</v>
      </c>
      <c r="AD29" s="127">
        <f>IF(AD$24, 'General inputs'!$H16, 'General inputs'!$H21)</f>
        <v>783</v>
      </c>
      <c r="AE29" s="127">
        <f>IF(AE$24, 'General inputs'!$H16, 'General inputs'!$H21)</f>
        <v>783</v>
      </c>
      <c r="AF29" s="127">
        <f>IF(AF$24, 'General inputs'!$H16, 'General inputs'!$H21)</f>
        <v>783</v>
      </c>
      <c r="AG29" s="127">
        <f>IF(AG$24, 'General inputs'!$H16, 'General inputs'!$H21)</f>
        <v>783</v>
      </c>
      <c r="AH29" s="127">
        <f>IF(AH$24, 'General inputs'!$H16, 'General inputs'!$H21)</f>
        <v>783</v>
      </c>
      <c r="AI29" s="127">
        <f>IF(AI$24, 'General inputs'!$H16, 'General inputs'!$H21)</f>
        <v>783</v>
      </c>
      <c r="AJ29" s="127">
        <f>IF(AJ$24, 'General inputs'!$H16, 'General inputs'!$H21)</f>
        <v>783</v>
      </c>
      <c r="AK29" s="127">
        <f>IF(AK$24, 'General inputs'!$H16, 'General inputs'!$H21)</f>
        <v>783</v>
      </c>
      <c r="AL29" s="127">
        <f>IF(AL$24, 'General inputs'!$H16, 'General inputs'!$H21)</f>
        <v>783</v>
      </c>
      <c r="AM29" s="127">
        <f>IF(AM$24, 'General inputs'!$H16, 'General inputs'!$H21)</f>
        <v>783</v>
      </c>
      <c r="AN29" s="127">
        <f>IF(AN$24, 'General inputs'!$H16, 'General inputs'!$H21)</f>
        <v>783</v>
      </c>
      <c r="AO29" s="127">
        <f>IF(AO$24, 'General inputs'!$H16, 'General inputs'!$H21)</f>
        <v>783</v>
      </c>
      <c r="AP29" s="127">
        <f>IF(AP$24, 'General inputs'!$H16, 'General inputs'!$H21)</f>
        <v>783</v>
      </c>
    </row>
    <row r="30" spans="3:44" x14ac:dyDescent="0.25">
      <c r="F30" s="28" t="s">
        <v>536</v>
      </c>
      <c r="G30" t="s">
        <v>184</v>
      </c>
      <c r="H30" s="154"/>
      <c r="I30" s="154"/>
      <c r="J30" s="123">
        <f>IF(J$24, 'General inputs'!$H17, 'General inputs'!$H22)</f>
        <v>2740.5</v>
      </c>
      <c r="K30" s="123">
        <f>IF(K$24, 'General inputs'!$H17, 'General inputs'!$H22)</f>
        <v>2740.5</v>
      </c>
      <c r="L30" s="123">
        <f>IF(L$24, 'General inputs'!$H17, 'General inputs'!$H22)</f>
        <v>2740.5</v>
      </c>
      <c r="M30" s="123">
        <f>IF(M$24, 'General inputs'!$H17, 'General inputs'!$H22)</f>
        <v>2740.5</v>
      </c>
      <c r="N30" s="123">
        <f>IF(N$24, 'General inputs'!$H17, 'General inputs'!$H22)</f>
        <v>2740.5</v>
      </c>
      <c r="O30" s="123">
        <f>IF(O$24, 'General inputs'!$H17, 'General inputs'!$H22)</f>
        <v>2740.5</v>
      </c>
      <c r="P30" s="123">
        <f>IF(P$24, 'General inputs'!$H17, 'General inputs'!$H22)</f>
        <v>2740.5</v>
      </c>
      <c r="Q30" s="123">
        <f>IF(Q$24, 'General inputs'!$H17, 'General inputs'!$H22)</f>
        <v>2740.5</v>
      </c>
      <c r="R30" s="123">
        <f>IF(R$24, 'General inputs'!$H17, 'General inputs'!$H22)</f>
        <v>2740.5</v>
      </c>
      <c r="S30" s="123">
        <f>IF(S$24, 'General inputs'!$H17, 'General inputs'!$H22)</f>
        <v>2740.5</v>
      </c>
      <c r="T30" s="123">
        <f>IF(T$24, 'General inputs'!$H17, 'General inputs'!$H22)</f>
        <v>2740.5</v>
      </c>
      <c r="U30" s="123">
        <f>IF(U$24, 'General inputs'!$H17, 'General inputs'!$H22)</f>
        <v>2740.5</v>
      </c>
      <c r="V30" s="123">
        <f>IF(V$24, 'General inputs'!$H17, 'General inputs'!$H22)</f>
        <v>2740.5</v>
      </c>
      <c r="W30" s="123">
        <f>IF(W$24, 'General inputs'!$H17, 'General inputs'!$H22)</f>
        <v>2740.5</v>
      </c>
      <c r="X30" s="123">
        <f>IF(X$24, 'General inputs'!$H17, 'General inputs'!$H22)</f>
        <v>3268.5</v>
      </c>
      <c r="Y30" s="123">
        <f>IF(Y$24, 'General inputs'!$H17, 'General inputs'!$H22)</f>
        <v>3268.5</v>
      </c>
      <c r="Z30" s="123">
        <f>IF(Z$24, 'General inputs'!$H17, 'General inputs'!$H22)</f>
        <v>3268.5</v>
      </c>
      <c r="AA30" s="123">
        <f>IF(AA$24, 'General inputs'!$H17, 'General inputs'!$H22)</f>
        <v>3268.5</v>
      </c>
      <c r="AB30" s="123">
        <f>IF(AB$24, 'General inputs'!$H17, 'General inputs'!$H22)</f>
        <v>3268.5</v>
      </c>
      <c r="AC30" s="123">
        <f>IF(AC$24, 'General inputs'!$H17, 'General inputs'!$H22)</f>
        <v>2740.5</v>
      </c>
      <c r="AD30" s="123">
        <f>IF(AD$24, 'General inputs'!$H17, 'General inputs'!$H22)</f>
        <v>2740.5</v>
      </c>
      <c r="AE30" s="123">
        <f>IF(AE$24, 'General inputs'!$H17, 'General inputs'!$H22)</f>
        <v>2740.5</v>
      </c>
      <c r="AF30" s="123">
        <f>IF(AF$24, 'General inputs'!$H17, 'General inputs'!$H22)</f>
        <v>2740.5</v>
      </c>
      <c r="AG30" s="123">
        <f>IF(AG$24, 'General inputs'!$H17, 'General inputs'!$H22)</f>
        <v>2740.5</v>
      </c>
      <c r="AH30" s="123">
        <f>IF(AH$24, 'General inputs'!$H17, 'General inputs'!$H22)</f>
        <v>2740.5</v>
      </c>
      <c r="AI30" s="123">
        <f>IF(AI$24, 'General inputs'!$H17, 'General inputs'!$H22)</f>
        <v>2740.5</v>
      </c>
      <c r="AJ30" s="123">
        <f>IF(AJ$24, 'General inputs'!$H17, 'General inputs'!$H22)</f>
        <v>2740.5</v>
      </c>
      <c r="AK30" s="123">
        <f>IF(AK$24, 'General inputs'!$H17, 'General inputs'!$H22)</f>
        <v>2740.5</v>
      </c>
      <c r="AL30" s="123">
        <f>IF(AL$24, 'General inputs'!$H17, 'General inputs'!$H22)</f>
        <v>2740.5</v>
      </c>
      <c r="AM30" s="123">
        <f>IF(AM$24, 'General inputs'!$H17, 'General inputs'!$H22)</f>
        <v>2740.5</v>
      </c>
      <c r="AN30" s="123">
        <f>IF(AN$24, 'General inputs'!$H17, 'General inputs'!$H22)</f>
        <v>2740.5</v>
      </c>
      <c r="AO30" s="123">
        <f>IF(AO$24, 'General inputs'!$H17, 'General inputs'!$H22)</f>
        <v>2740.5</v>
      </c>
      <c r="AP30" s="123">
        <f>IF(AP$24, 'General inputs'!$H17, 'General inputs'!$H22)</f>
        <v>2740.5</v>
      </c>
    </row>
    <row r="31" spans="3:44" x14ac:dyDescent="0.25">
      <c r="F31" s="67" t="s">
        <v>314</v>
      </c>
      <c r="G31" s="37" t="s">
        <v>184</v>
      </c>
      <c r="H31" s="155"/>
      <c r="I31" s="155"/>
      <c r="J31" s="128">
        <f>IF(J$24, 'General inputs'!$H18, 'General inputs'!$H23)</f>
        <v>5236.5</v>
      </c>
      <c r="K31" s="128">
        <f>IF(K$24, 'General inputs'!$H18, 'General inputs'!$H23)</f>
        <v>5236.5</v>
      </c>
      <c r="L31" s="128">
        <f>IF(L$24, 'General inputs'!$H18, 'General inputs'!$H23)</f>
        <v>5236.5</v>
      </c>
      <c r="M31" s="128">
        <f>IF(M$24, 'General inputs'!$H18, 'General inputs'!$H23)</f>
        <v>5236.5</v>
      </c>
      <c r="N31" s="128">
        <f>IF(N$24, 'General inputs'!$H18, 'General inputs'!$H23)</f>
        <v>5236.5</v>
      </c>
      <c r="O31" s="128">
        <f>IF(O$24, 'General inputs'!$H18, 'General inputs'!$H23)</f>
        <v>5236.5</v>
      </c>
      <c r="P31" s="128">
        <f>IF(P$24, 'General inputs'!$H18, 'General inputs'!$H23)</f>
        <v>5236.5</v>
      </c>
      <c r="Q31" s="128">
        <f>IF(Q$24, 'General inputs'!$H18, 'General inputs'!$H23)</f>
        <v>5236.5</v>
      </c>
      <c r="R31" s="128">
        <f>IF(R$24, 'General inputs'!$H18, 'General inputs'!$H23)</f>
        <v>5236.5</v>
      </c>
      <c r="S31" s="128">
        <f>IF(S$24, 'General inputs'!$H18, 'General inputs'!$H23)</f>
        <v>5236.5</v>
      </c>
      <c r="T31" s="128">
        <f>IF(T$24, 'General inputs'!$H18, 'General inputs'!$H23)</f>
        <v>5236.5</v>
      </c>
      <c r="U31" s="128">
        <f>IF(U$24, 'General inputs'!$H18, 'General inputs'!$H23)</f>
        <v>5236.5</v>
      </c>
      <c r="V31" s="128">
        <f>IF(V$24, 'General inputs'!$H18, 'General inputs'!$H23)</f>
        <v>5236.5</v>
      </c>
      <c r="W31" s="128">
        <f>IF(W$24, 'General inputs'!$H18, 'General inputs'!$H23)</f>
        <v>5236.5</v>
      </c>
      <c r="X31" s="128">
        <f>IF(X$24, 'General inputs'!$H18, 'General inputs'!$H23)</f>
        <v>5236.5</v>
      </c>
      <c r="Y31" s="128">
        <f>IF(Y$24, 'General inputs'!$H18, 'General inputs'!$H23)</f>
        <v>5236.5</v>
      </c>
      <c r="Z31" s="128">
        <f>IF(Z$24, 'General inputs'!$H18, 'General inputs'!$H23)</f>
        <v>5236.5</v>
      </c>
      <c r="AA31" s="128">
        <f>IF(AA$24, 'General inputs'!$H18, 'General inputs'!$H23)</f>
        <v>5236.5</v>
      </c>
      <c r="AB31" s="128">
        <f>IF(AB$24, 'General inputs'!$H18, 'General inputs'!$H23)</f>
        <v>5236.5</v>
      </c>
      <c r="AC31" s="128">
        <f>IF(AC$24, 'General inputs'!$H18, 'General inputs'!$H23)</f>
        <v>5236.5</v>
      </c>
      <c r="AD31" s="128">
        <f>IF(AD$24, 'General inputs'!$H18, 'General inputs'!$H23)</f>
        <v>5236.5</v>
      </c>
      <c r="AE31" s="128">
        <f>IF(AE$24, 'General inputs'!$H18, 'General inputs'!$H23)</f>
        <v>5236.5</v>
      </c>
      <c r="AF31" s="128">
        <f>IF(AF$24, 'General inputs'!$H18, 'General inputs'!$H23)</f>
        <v>5236.5</v>
      </c>
      <c r="AG31" s="128">
        <f>IF(AG$24, 'General inputs'!$H18, 'General inputs'!$H23)</f>
        <v>5236.5</v>
      </c>
      <c r="AH31" s="128">
        <f>IF(AH$24, 'General inputs'!$H18, 'General inputs'!$H23)</f>
        <v>5236.5</v>
      </c>
      <c r="AI31" s="128">
        <f>IF(AI$24, 'General inputs'!$H18, 'General inputs'!$H23)</f>
        <v>5236.5</v>
      </c>
      <c r="AJ31" s="128">
        <f>IF(AJ$24, 'General inputs'!$H18, 'General inputs'!$H23)</f>
        <v>5236.5</v>
      </c>
      <c r="AK31" s="128">
        <f>IF(AK$24, 'General inputs'!$H18, 'General inputs'!$H23)</f>
        <v>5236.5</v>
      </c>
      <c r="AL31" s="128">
        <f>IF(AL$24, 'General inputs'!$H18, 'General inputs'!$H23)</f>
        <v>5236.5</v>
      </c>
      <c r="AM31" s="128">
        <f>IF(AM$24, 'General inputs'!$H18, 'General inputs'!$H23)</f>
        <v>5236.5</v>
      </c>
      <c r="AN31" s="128">
        <f>IF(AN$24, 'General inputs'!$H18, 'General inputs'!$H23)</f>
        <v>5236.5</v>
      </c>
      <c r="AO31" s="128">
        <f>IF(AO$24, 'General inputs'!$H18, 'General inputs'!$H23)</f>
        <v>5236.5</v>
      </c>
      <c r="AP31" s="128">
        <f>IF(AP$24, 'General inputs'!$H18, 'General inputs'!$H23)</f>
        <v>5236.5</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537</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193</v>
      </c>
      <c r="G36" s="64" t="s">
        <v>244</v>
      </c>
      <c r="H36" s="23"/>
      <c r="I36" s="23"/>
      <c r="J36" s="127">
        <f>'Volume adjustments'!J66</f>
        <v>5883290.5674295351</v>
      </c>
      <c r="K36" s="127">
        <f>'Volume adjustments'!K66</f>
        <v>2253198.645069303</v>
      </c>
      <c r="L36" s="127">
        <f>'Volume adjustments'!L66</f>
        <v>23777.812108679751</v>
      </c>
      <c r="M36" s="127">
        <f>'Volume adjustments'!M66</f>
        <v>1161806.4742133119</v>
      </c>
      <c r="N36" s="127">
        <f>'Volume adjustments'!N66</f>
        <v>1502232.6626114759</v>
      </c>
      <c r="O36" s="127">
        <f>'Volume adjustments'!O66</f>
        <v>2608.5296353034564</v>
      </c>
      <c r="P36" s="127">
        <f>'Volume adjustments'!P66</f>
        <v>15312.991488043248</v>
      </c>
      <c r="Q36" s="127">
        <f>'Volume adjustments'!Q66</f>
        <v>0.43263699199999994</v>
      </c>
      <c r="R36" s="127">
        <f>'Volume adjustments'!R66</f>
        <v>2548.6086671293438</v>
      </c>
      <c r="S36" s="127">
        <f>'Volume adjustments'!S66</f>
        <v>2665.4131654318253</v>
      </c>
      <c r="T36" s="127">
        <f>'Volume adjustments'!T66</f>
        <v>19695.068082327467</v>
      </c>
      <c r="U36" s="127">
        <f>'Volume adjustments'!U66</f>
        <v>383446.71347459609</v>
      </c>
      <c r="V36" s="127">
        <f>'Volume adjustments'!V66</f>
        <v>31160.24243589109</v>
      </c>
      <c r="W36" s="127">
        <f>'Volume adjustments'!W66</f>
        <v>744455.58470461331</v>
      </c>
      <c r="X36" s="127">
        <f>'Volume adjustments'!X66</f>
        <v>29141.030527383642</v>
      </c>
      <c r="Y36" s="127">
        <f>'Volume adjustments'!Y66</f>
        <v>22896.214955475487</v>
      </c>
      <c r="Z36" s="127">
        <f>'Volume adjustments'!Z66</f>
        <v>395.39698261741404</v>
      </c>
      <c r="AA36" s="127">
        <f>'Volume adjustments'!AA66</f>
        <v>7682.0746191750686</v>
      </c>
      <c r="AB36" s="127">
        <f>'Volume adjustments'!AB66</f>
        <v>10625.864662770657</v>
      </c>
      <c r="AC36" s="127">
        <f>'Volume adjustments'!AC66</f>
        <v>1460.8327019999997</v>
      </c>
      <c r="AD36" s="127">
        <f>'Volume adjustments'!AD66</f>
        <v>0</v>
      </c>
      <c r="AE36" s="127">
        <f>'Volume adjustments'!AE66</f>
        <v>31099.870007600002</v>
      </c>
      <c r="AF36" s="127">
        <f>'Volume adjustments'!AF66</f>
        <v>0</v>
      </c>
      <c r="AG36" s="127">
        <f>'Volume adjustments'!AG66</f>
        <v>1530.0617253920277</v>
      </c>
      <c r="AH36" s="127">
        <f>'Volume adjustments'!AH66</f>
        <v>0</v>
      </c>
      <c r="AI36" s="127">
        <f>'Volume adjustments'!AI66</f>
        <v>3603.9466430000011</v>
      </c>
      <c r="AJ36" s="127">
        <f>'Volume adjustments'!AJ66</f>
        <v>0</v>
      </c>
      <c r="AK36" s="127">
        <f>'Volume adjustments'!AK66</f>
        <v>423.59616493048139</v>
      </c>
      <c r="AL36" s="127">
        <f>'Volume adjustments'!AL66</f>
        <v>0</v>
      </c>
      <c r="AM36" s="127">
        <f>'Volume adjustments'!AM66</f>
        <v>460937.71201500011</v>
      </c>
      <c r="AN36" s="127">
        <f>'Volume adjustments'!AN66</f>
        <v>0</v>
      </c>
      <c r="AO36" s="127">
        <f>'Volume adjustments'!AO66</f>
        <v>90502.303315318844</v>
      </c>
      <c r="AP36" s="127">
        <f>'Volume adjustments'!AP66</f>
        <v>0</v>
      </c>
    </row>
    <row r="37" spans="3:44" x14ac:dyDescent="0.25">
      <c r="F37" s="28" t="s">
        <v>194</v>
      </c>
      <c r="G37" s="28" t="s">
        <v>244</v>
      </c>
      <c r="J37" s="123">
        <f>'Volume adjustments'!J77</f>
        <v>0</v>
      </c>
      <c r="K37" s="123">
        <f>'Volume adjustments'!K77</f>
        <v>1019036.5249223392</v>
      </c>
      <c r="L37" s="123">
        <f>'Volume adjustments'!L77</f>
        <v>0</v>
      </c>
      <c r="M37" s="123">
        <f>'Volume adjustments'!M77</f>
        <v>0</v>
      </c>
      <c r="N37" s="123">
        <f>'Volume adjustments'!N77</f>
        <v>451482.07597799349</v>
      </c>
      <c r="O37" s="123">
        <f>'Volume adjustments'!O77</f>
        <v>0</v>
      </c>
      <c r="P37" s="123">
        <f>'Volume adjustments'!P77</f>
        <v>4514.3531474235097</v>
      </c>
      <c r="Q37" s="123">
        <f>'Volume adjustments'!Q77</f>
        <v>0</v>
      </c>
      <c r="R37" s="123">
        <f>'Volume adjustments'!R77</f>
        <v>842.84934146739215</v>
      </c>
      <c r="S37" s="123">
        <f>'Volume adjustments'!S77</f>
        <v>8212.1579615585051</v>
      </c>
      <c r="T37" s="123">
        <f>'Volume adjustments'!T77</f>
        <v>78004.79777326365</v>
      </c>
      <c r="U37" s="123">
        <f>'Volume adjustments'!U77</f>
        <v>1531300.292687048</v>
      </c>
      <c r="V37" s="123">
        <f>'Volume adjustments'!V77</f>
        <v>120244.74578240186</v>
      </c>
      <c r="W37" s="123">
        <f>'Volume adjustments'!W77</f>
        <v>2837353.6691905577</v>
      </c>
      <c r="X37" s="123">
        <f>'Volume adjustments'!X77</f>
        <v>0</v>
      </c>
      <c r="Y37" s="123">
        <f>'Volume adjustments'!Y77</f>
        <v>0</v>
      </c>
      <c r="Z37" s="123">
        <f>'Volume adjustments'!Z77</f>
        <v>0</v>
      </c>
      <c r="AA37" s="123">
        <f>'Volume adjustments'!AA77</f>
        <v>0</v>
      </c>
      <c r="AB37" s="123">
        <f>'Volume adjustments'!AB77</f>
        <v>33031.440290376238</v>
      </c>
      <c r="AC37" s="123">
        <f>'Volume adjustments'!AC77</f>
        <v>0</v>
      </c>
      <c r="AD37" s="123">
        <f>'Volume adjustments'!AD77</f>
        <v>0</v>
      </c>
      <c r="AE37" s="123">
        <f>'Volume adjustments'!AE77</f>
        <v>0</v>
      </c>
      <c r="AF37" s="123">
        <f>'Volume adjustments'!AF77</f>
        <v>0</v>
      </c>
      <c r="AG37" s="123">
        <f>'Volume adjustments'!AG77</f>
        <v>6003.5671991277068</v>
      </c>
      <c r="AH37" s="123">
        <f>'Volume adjustments'!AH77</f>
        <v>0</v>
      </c>
      <c r="AI37" s="123">
        <f>'Volume adjustments'!AI77</f>
        <v>0</v>
      </c>
      <c r="AJ37" s="123">
        <f>'Volume adjustments'!AJ77</f>
        <v>0</v>
      </c>
      <c r="AK37" s="123">
        <f>'Volume adjustments'!AK77</f>
        <v>1386.3166215887916</v>
      </c>
      <c r="AL37" s="123">
        <f>'Volume adjustments'!AL77</f>
        <v>0</v>
      </c>
      <c r="AM37" s="123">
        <f>'Volume adjustments'!AM77</f>
        <v>0</v>
      </c>
      <c r="AN37" s="123">
        <f>'Volume adjustments'!AN77</f>
        <v>0</v>
      </c>
      <c r="AO37" s="123">
        <f>'Volume adjustments'!AO77</f>
        <v>234395.58417537581</v>
      </c>
      <c r="AP37" s="123">
        <f>'Volume adjustments'!AP77</f>
        <v>0</v>
      </c>
    </row>
    <row r="38" spans="3:44" x14ac:dyDescent="0.25">
      <c r="F38" s="28" t="s">
        <v>195</v>
      </c>
      <c r="G38" s="28" t="s">
        <v>244</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13794.537224726715</v>
      </c>
      <c r="T38" s="123">
        <f>'Volume adjustments'!T88</f>
        <v>84563.498185875345</v>
      </c>
      <c r="U38" s="123">
        <f>'Volume adjustments'!U88</f>
        <v>1665693.0604758498</v>
      </c>
      <c r="V38" s="123">
        <f>'Volume adjustments'!V88</f>
        <v>141436.21101046051</v>
      </c>
      <c r="W38" s="123">
        <f>'Volume adjustments'!W88</f>
        <v>4088471.1518656551</v>
      </c>
      <c r="X38" s="123">
        <f>'Volume adjustments'!X88</f>
        <v>0</v>
      </c>
      <c r="Y38" s="123">
        <f>'Volume adjustments'!Y88</f>
        <v>0</v>
      </c>
      <c r="Z38" s="123">
        <f>'Volume adjustments'!Z88</f>
        <v>0</v>
      </c>
      <c r="AA38" s="123">
        <f>'Volume adjustments'!AA88</f>
        <v>0</v>
      </c>
      <c r="AB38" s="123">
        <f>'Volume adjustments'!AB88</f>
        <v>166291.0895487376</v>
      </c>
      <c r="AC38" s="123">
        <f>'Volume adjustments'!AC88</f>
        <v>0</v>
      </c>
      <c r="AD38" s="123">
        <f>'Volume adjustments'!AD88</f>
        <v>0</v>
      </c>
      <c r="AE38" s="123">
        <f>'Volume adjustments'!AE88</f>
        <v>0</v>
      </c>
      <c r="AF38" s="123">
        <f>'Volume adjustments'!AF88</f>
        <v>0</v>
      </c>
      <c r="AG38" s="123">
        <f>'Volume adjustments'!AG88</f>
        <v>8927.0882180837252</v>
      </c>
      <c r="AH38" s="123">
        <f>'Volume adjustments'!AH88</f>
        <v>0</v>
      </c>
      <c r="AI38" s="123">
        <f>'Volume adjustments'!AI88</f>
        <v>0</v>
      </c>
      <c r="AJ38" s="123">
        <f>'Volume adjustments'!AJ88</f>
        <v>0</v>
      </c>
      <c r="AK38" s="123">
        <f>'Volume adjustments'!AK88</f>
        <v>3100.3150081195781</v>
      </c>
      <c r="AL38" s="123">
        <f>'Volume adjustments'!AL88</f>
        <v>0</v>
      </c>
      <c r="AM38" s="123">
        <f>'Volume adjustments'!AM88</f>
        <v>0</v>
      </c>
      <c r="AN38" s="123">
        <f>'Volume adjustments'!AN88</f>
        <v>0</v>
      </c>
      <c r="AO38" s="123">
        <f>'Volume adjustments'!AO88</f>
        <v>405234.32478734496</v>
      </c>
      <c r="AP38" s="123">
        <f>'Volume adjustments'!AP88</f>
        <v>0</v>
      </c>
    </row>
    <row r="39" spans="3:44" x14ac:dyDescent="0.25">
      <c r="F39" s="156" t="s">
        <v>516</v>
      </c>
      <c r="G39" s="156" t="s">
        <v>244</v>
      </c>
      <c r="H39" s="111"/>
      <c r="I39" s="111"/>
      <c r="J39" s="157">
        <f t="shared" ref="J39:AP39" si="0">SUM(J36:J38)</f>
        <v>5883290.5674295351</v>
      </c>
      <c r="K39" s="157">
        <f t="shared" si="0"/>
        <v>3272235.1699916422</v>
      </c>
      <c r="L39" s="157">
        <f t="shared" si="0"/>
        <v>23777.812108679751</v>
      </c>
      <c r="M39" s="157">
        <f t="shared" si="0"/>
        <v>1161806.4742133119</v>
      </c>
      <c r="N39" s="157">
        <f t="shared" si="0"/>
        <v>1953714.7385894693</v>
      </c>
      <c r="O39" s="157">
        <f t="shared" si="0"/>
        <v>2608.5296353034564</v>
      </c>
      <c r="P39" s="157">
        <f t="shared" si="0"/>
        <v>19827.344635466758</v>
      </c>
      <c r="Q39" s="157">
        <f t="shared" si="0"/>
        <v>0.43263699199999994</v>
      </c>
      <c r="R39" s="157">
        <f t="shared" si="0"/>
        <v>3391.4580085967359</v>
      </c>
      <c r="S39" s="157">
        <f t="shared" si="0"/>
        <v>24672.108351717045</v>
      </c>
      <c r="T39" s="157">
        <f t="shared" si="0"/>
        <v>182263.36404146644</v>
      </c>
      <c r="U39" s="157">
        <f t="shared" si="0"/>
        <v>3580440.0666374937</v>
      </c>
      <c r="V39" s="157">
        <f t="shared" si="0"/>
        <v>292841.19922875345</v>
      </c>
      <c r="W39" s="157">
        <f t="shared" si="0"/>
        <v>7670280.4057608265</v>
      </c>
      <c r="X39" s="157">
        <f t="shared" si="0"/>
        <v>29141.030527383642</v>
      </c>
      <c r="Y39" s="157">
        <f t="shared" si="0"/>
        <v>22896.214955475487</v>
      </c>
      <c r="Z39" s="157">
        <f t="shared" si="0"/>
        <v>395.39698261741404</v>
      </c>
      <c r="AA39" s="157">
        <f t="shared" si="0"/>
        <v>7682.0746191750686</v>
      </c>
      <c r="AB39" s="157">
        <f t="shared" si="0"/>
        <v>209948.3945018845</v>
      </c>
      <c r="AC39" s="157">
        <f t="shared" si="0"/>
        <v>1460.8327019999997</v>
      </c>
      <c r="AD39" s="157">
        <f t="shared" si="0"/>
        <v>0</v>
      </c>
      <c r="AE39" s="157">
        <f t="shared" si="0"/>
        <v>31099.870007600002</v>
      </c>
      <c r="AF39" s="157">
        <f t="shared" si="0"/>
        <v>0</v>
      </c>
      <c r="AG39" s="157">
        <f t="shared" si="0"/>
        <v>16460.717142603462</v>
      </c>
      <c r="AH39" s="157">
        <f t="shared" si="0"/>
        <v>0</v>
      </c>
      <c r="AI39" s="157">
        <f t="shared" si="0"/>
        <v>3603.9466430000011</v>
      </c>
      <c r="AJ39" s="157">
        <f t="shared" si="0"/>
        <v>0</v>
      </c>
      <c r="AK39" s="157">
        <f t="shared" si="0"/>
        <v>4910.2277946388513</v>
      </c>
      <c r="AL39" s="157">
        <f t="shared" si="0"/>
        <v>0</v>
      </c>
      <c r="AM39" s="157">
        <f t="shared" si="0"/>
        <v>460937.71201500011</v>
      </c>
      <c r="AN39" s="157">
        <f t="shared" si="0"/>
        <v>0</v>
      </c>
      <c r="AO39" s="157">
        <f t="shared" si="0"/>
        <v>730132.21227803966</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310</v>
      </c>
    </row>
    <row r="42" spans="3:44" x14ac:dyDescent="0.25">
      <c r="E42" s="29" t="s">
        <v>534</v>
      </c>
    </row>
    <row r="43" spans="3:44" x14ac:dyDescent="0.25">
      <c r="F43" s="64" t="s">
        <v>535</v>
      </c>
      <c r="G43" s="64" t="s">
        <v>204</v>
      </c>
      <c r="H43" s="23"/>
      <c r="I43" s="23"/>
      <c r="J43" s="110">
        <f>IF(J$25, J29 / hours_in_year, 'Inputs by customer type'!J53)</f>
        <v>0.13371685416286261</v>
      </c>
      <c r="K43" s="110">
        <f>IF(K$25, K29 / hours_in_year, 'Inputs by customer type'!K53)</f>
        <v>0.15054979392998849</v>
      </c>
      <c r="L43" s="110">
        <f>IF(L$25, L29 / hours_in_year, 'Inputs by customer type'!L53)</f>
        <v>4.5355186832534776E-2</v>
      </c>
      <c r="M43" s="110">
        <f>IF(M$25, M29 / hours_in_year, 'Inputs by customer type'!M53)</f>
        <v>0.11656968483529889</v>
      </c>
      <c r="N43" s="110">
        <f>IF(N$25, N29 / hours_in_year, 'Inputs by customer type'!N53)</f>
        <v>0.12874160707862378</v>
      </c>
      <c r="O43" s="110">
        <f>IF(O$25, O29 / hours_in_year, 'Inputs by customer type'!O53)</f>
        <v>1.5909652063275811E-2</v>
      </c>
      <c r="P43" s="110">
        <f>IF(P$25, P29 / hours_in_year, 'Inputs by customer type'!P53)</f>
        <v>0.13560803887276721</v>
      </c>
      <c r="Q43" s="110">
        <f>IF(Q$25, Q29 / hours_in_year, 'Inputs by customer type'!Q53)</f>
        <v>0.13442171920657908</v>
      </c>
      <c r="R43" s="110">
        <f>IF(R$25, R29 / hours_in_year, 'Inputs by customer type'!R53)</f>
        <v>0.13348177602302611</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2.9425231429498239E-2</v>
      </c>
      <c r="Y43" s="110">
        <f>IF(Y$25, Y29 / hours_in_year, 'Inputs by customer type'!Y53)</f>
        <v>5.061333499213988E-2</v>
      </c>
      <c r="Z43" s="110">
        <f>IF(Z$25, Z29 / hours_in_year, 'Inputs by customer type'!Z53)</f>
        <v>9.3864536382589403E-2</v>
      </c>
      <c r="AA43" s="110">
        <f>IF(AA$25, AA29 / hours_in_year, 'Inputs by customer type'!AA53)</f>
        <v>8.798706029313522E-3</v>
      </c>
      <c r="AB43" s="110">
        <f>IF(AB$25, AB29 / hours_in_year, 'Inputs by customer type'!AB53)</f>
        <v>1</v>
      </c>
      <c r="AC43" s="110">
        <f>IF(AC$25, AC29 / hours_in_year, 'Inputs by customer type'!AC53)</f>
        <v>8.938356164383561E-2</v>
      </c>
      <c r="AD43" s="110">
        <f>IF(AD$25, AD29 / hours_in_year, 'Inputs by customer type'!AD53)</f>
        <v>8.938356164383561E-2</v>
      </c>
      <c r="AE43" s="110">
        <f>IF(AE$25, AE29 / hours_in_year, 'Inputs by customer type'!AE53)</f>
        <v>8.938356164383561E-2</v>
      </c>
      <c r="AF43" s="110">
        <f>IF(AF$25, AF29 / hours_in_year, 'Inputs by customer type'!AF53)</f>
        <v>8.938356164383561E-2</v>
      </c>
      <c r="AG43" s="110">
        <f>IF(AG$25, AG29 / hours_in_year, 'Inputs by customer type'!AG53)</f>
        <v>1</v>
      </c>
      <c r="AH43" s="110">
        <f>IF(AH$25, AH29 / hours_in_year, 'Inputs by customer type'!AH53)</f>
        <v>1</v>
      </c>
      <c r="AI43" s="110">
        <f>IF(AI$25, AI29 / hours_in_year, 'Inputs by customer type'!AI53)</f>
        <v>8.938356164383561E-2</v>
      </c>
      <c r="AJ43" s="110">
        <f>IF(AJ$25, AJ29 / hours_in_year, 'Inputs by customer type'!AJ53)</f>
        <v>8.938356164383561E-2</v>
      </c>
      <c r="AK43" s="110">
        <f>IF(AK$25, AK29 / hours_in_year, 'Inputs by customer type'!AK53)</f>
        <v>1</v>
      </c>
      <c r="AL43" s="110">
        <f>IF(AL$25, AL29 / hours_in_year, 'Inputs by customer type'!AL53)</f>
        <v>1</v>
      </c>
      <c r="AM43" s="110">
        <f>IF(AM$25, AM29 / hours_in_year, 'Inputs by customer type'!AM53)</f>
        <v>8.938356164383561E-2</v>
      </c>
      <c r="AN43" s="110">
        <f>IF(AN$25, AN29 / hours_in_year, 'Inputs by customer type'!AN53)</f>
        <v>8.938356164383561E-2</v>
      </c>
      <c r="AO43" s="110">
        <f>IF(AO$25, AO29 / hours_in_year, 'Inputs by customer type'!AO53)</f>
        <v>1</v>
      </c>
      <c r="AP43" s="110">
        <f>IF(AP$25, AP29 / hours_in_year, 'Inputs by customer type'!AP53)</f>
        <v>1</v>
      </c>
    </row>
    <row r="44" spans="3:44" x14ac:dyDescent="0.25">
      <c r="F44" s="28" t="s">
        <v>536</v>
      </c>
      <c r="G44" s="28" t="s">
        <v>204</v>
      </c>
      <c r="J44" s="25">
        <f>IF(J$25, J30 / hours_in_year, 'Inputs by customer type'!J54)</f>
        <v>0.37215420848085484</v>
      </c>
      <c r="K44" s="25">
        <f>IF(K$25, K30 / hours_in_year, 'Inputs by customer type'!K54)</f>
        <v>0.42036294543236191</v>
      </c>
      <c r="L44" s="25">
        <f>IF(L$25, L30 / hours_in_year, 'Inputs by customer type'!L54)</f>
        <v>0.32747076802630654</v>
      </c>
      <c r="M44" s="25">
        <f>IF(M$25, M30 / hours_in_year, 'Inputs by customer type'!M54)</f>
        <v>0.51348140537638154</v>
      </c>
      <c r="N44" s="25">
        <f>IF(N$25, N30 / hours_in_year, 'Inputs by customer type'!N54)</f>
        <v>0.51198611908990421</v>
      </c>
      <c r="O44" s="25">
        <f>IF(O$25, O30 / hours_in_year, 'Inputs by customer type'!O54)</f>
        <v>0.18415330169738534</v>
      </c>
      <c r="P44" s="25">
        <f>IF(P$25, P30 / hours_in_year, 'Inputs by customer type'!P54)</f>
        <v>0.52776406449913449</v>
      </c>
      <c r="Q44" s="25">
        <f>IF(Q$25, Q30 / hours_in_year, 'Inputs by customer type'!Q54)</f>
        <v>0.52516273901990085</v>
      </c>
      <c r="R44" s="25">
        <f>IF(R$25, R30 / hours_in_year, 'Inputs by customer type'!R54)</f>
        <v>0.54616839991824573</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0.37243306634728185</v>
      </c>
      <c r="Y44" s="25">
        <f>IF(Y$25, Y30 / hours_in_year, 'Inputs by customer type'!Y54)</f>
        <v>8.9619654867135926E-2</v>
      </c>
      <c r="Z44" s="25">
        <f>IF(Z$25, Z30 / hours_in_year, 'Inputs by customer type'!Z54)</f>
        <v>0.16770933496921578</v>
      </c>
      <c r="AA44" s="25">
        <f>IF(AA$25, AA30 / hours_in_year, 'Inputs by customer type'!AA54)</f>
        <v>0.63478080883753785</v>
      </c>
      <c r="AB44" s="25">
        <f>IF(AB$25, AB30 / hours_in_year, 'Inputs by customer type'!AB54)</f>
        <v>0</v>
      </c>
      <c r="AC44" s="25">
        <f>IF(AC$25, AC30 / hours_in_year, 'Inputs by customer type'!AC54)</f>
        <v>0.31284246575342467</v>
      </c>
      <c r="AD44" s="25">
        <f>IF(AD$25, AD30 / hours_in_year, 'Inputs by customer type'!AD54)</f>
        <v>0.31284246575342467</v>
      </c>
      <c r="AE44" s="25">
        <f>IF(AE$25, AE30 / hours_in_year, 'Inputs by customer type'!AE54)</f>
        <v>0.31284246575342467</v>
      </c>
      <c r="AF44" s="25">
        <f>IF(AF$25, AF30 / hours_in_year, 'Inputs by customer type'!AF54)</f>
        <v>0.31284246575342467</v>
      </c>
      <c r="AG44" s="25">
        <f>IF(AG$25, AG30 / hours_in_year, 'Inputs by customer type'!AG54)</f>
        <v>0</v>
      </c>
      <c r="AH44" s="25">
        <f>IF(AH$25, AH30 / hours_in_year, 'Inputs by customer type'!AH54)</f>
        <v>0</v>
      </c>
      <c r="AI44" s="25">
        <f>IF(AI$25, AI30 / hours_in_year, 'Inputs by customer type'!AI54)</f>
        <v>0.31284246575342467</v>
      </c>
      <c r="AJ44" s="25">
        <f>IF(AJ$25, AJ30 / hours_in_year, 'Inputs by customer type'!AJ54)</f>
        <v>0.31284246575342467</v>
      </c>
      <c r="AK44" s="25">
        <f>IF(AK$25, AK30 / hours_in_year, 'Inputs by customer type'!AK54)</f>
        <v>0</v>
      </c>
      <c r="AL44" s="25">
        <f>IF(AL$25, AL30 / hours_in_year, 'Inputs by customer type'!AL54)</f>
        <v>0</v>
      </c>
      <c r="AM44" s="25">
        <f>IF(AM$25, AM30 / hours_in_year, 'Inputs by customer type'!AM54)</f>
        <v>0.31284246575342467</v>
      </c>
      <c r="AN44" s="25">
        <f>IF(AN$25, AN30 / hours_in_year, 'Inputs by customer type'!AN54)</f>
        <v>0.31284246575342467</v>
      </c>
      <c r="AO44" s="25">
        <f>IF(AO$25, AO30 / hours_in_year, 'Inputs by customer type'!AO54)</f>
        <v>0</v>
      </c>
      <c r="AP44" s="25">
        <f>IF(AP$25, AP30 / hours_in_year, 'Inputs by customer type'!AP54)</f>
        <v>0</v>
      </c>
    </row>
    <row r="45" spans="3:44" x14ac:dyDescent="0.25">
      <c r="F45" s="67" t="s">
        <v>314</v>
      </c>
      <c r="G45" s="67" t="s">
        <v>204</v>
      </c>
      <c r="H45" s="37"/>
      <c r="I45" s="37"/>
      <c r="J45" s="144">
        <f>IF(J$25, J31 / hours_in_year, 'Inputs by customer type'!J55)</f>
        <v>0.49412893735628255</v>
      </c>
      <c r="K45" s="144">
        <f>IF(K$25, K31 / hours_in_year, 'Inputs by customer type'!K55)</f>
        <v>0.42908726063764963</v>
      </c>
      <c r="L45" s="144">
        <f>IF(L$25, L31 / hours_in_year, 'Inputs by customer type'!L55)</f>
        <v>0.62717404514115871</v>
      </c>
      <c r="M45" s="144">
        <f>IF(M$25, M31 / hours_in_year, 'Inputs by customer type'!M55)</f>
        <v>0.36994890978831957</v>
      </c>
      <c r="N45" s="144">
        <f>IF(N$25, N31 / hours_in_year, 'Inputs by customer type'!N55)</f>
        <v>0.35927227383147203</v>
      </c>
      <c r="O45" s="144">
        <f>IF(O$25, O31 / hours_in_year, 'Inputs by customer type'!O55)</f>
        <v>0.79993704623933881</v>
      </c>
      <c r="P45" s="144">
        <f>IF(P$25, P31 / hours_in_year, 'Inputs by customer type'!P55)</f>
        <v>0.33662789662809822</v>
      </c>
      <c r="Q45" s="144">
        <f>IF(Q$25, Q31 / hours_in_year, 'Inputs by customer type'!Q55)</f>
        <v>0.34041554177352013</v>
      </c>
      <c r="R45" s="144">
        <f>IF(R$25, R31 / hours_in_year, 'Inputs by customer type'!R55)</f>
        <v>0.32034982405872814</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0.59814170222321994</v>
      </c>
      <c r="Y45" s="144">
        <f>IF(Y$25, Y31 / hours_in_year, 'Inputs by customer type'!Y55)</f>
        <v>0.8597670101407241</v>
      </c>
      <c r="Z45" s="144">
        <f>IF(Z$25, Z31 / hours_in_year, 'Inputs by customer type'!Z55)</f>
        <v>0.73842612864819479</v>
      </c>
      <c r="AA45" s="144">
        <f>IF(AA$25, AA31 / hours_in_year, 'Inputs by customer type'!AA55)</f>
        <v>0.35642048513314867</v>
      </c>
      <c r="AB45" s="144">
        <f>IF(AB$25, AB31 / hours_in_year, 'Inputs by customer type'!AB55)</f>
        <v>0</v>
      </c>
      <c r="AC45" s="144">
        <f>IF(AC$25, AC31 / hours_in_year, 'Inputs by customer type'!AC55)</f>
        <v>0.59777397260273968</v>
      </c>
      <c r="AD45" s="144">
        <f>IF(AD$25, AD31 / hours_in_year, 'Inputs by customer type'!AD55)</f>
        <v>0.59777397260273968</v>
      </c>
      <c r="AE45" s="144">
        <f>IF(AE$25, AE31 / hours_in_year, 'Inputs by customer type'!AE55)</f>
        <v>0.59777397260273968</v>
      </c>
      <c r="AF45" s="144">
        <f>IF(AF$25, AF31 / hours_in_year, 'Inputs by customer type'!AF55)</f>
        <v>0.59777397260273968</v>
      </c>
      <c r="AG45" s="144">
        <f>IF(AG$25, AG31 / hours_in_year, 'Inputs by customer type'!AG55)</f>
        <v>0</v>
      </c>
      <c r="AH45" s="144">
        <f>IF(AH$25, AH31 / hours_in_year, 'Inputs by customer type'!AH55)</f>
        <v>0</v>
      </c>
      <c r="AI45" s="144">
        <f>IF(AI$25, AI31 / hours_in_year, 'Inputs by customer type'!AI55)</f>
        <v>0.59777397260273968</v>
      </c>
      <c r="AJ45" s="144">
        <f>IF(AJ$25, AJ31 / hours_in_year, 'Inputs by customer type'!AJ55)</f>
        <v>0.59777397260273968</v>
      </c>
      <c r="AK45" s="144">
        <f>IF(AK$25, AK31 / hours_in_year, 'Inputs by customer type'!AK55)</f>
        <v>0</v>
      </c>
      <c r="AL45" s="144">
        <f>IF(AL$25, AL31 / hours_in_year, 'Inputs by customer type'!AL55)</f>
        <v>0</v>
      </c>
      <c r="AM45" s="144">
        <f>IF(AM$25, AM31 / hours_in_year, 'Inputs by customer type'!AM55)</f>
        <v>0.59777397260273968</v>
      </c>
      <c r="AN45" s="144">
        <f>IF(AN$25, AN31 / hours_in_year, 'Inputs by customer type'!AN55)</f>
        <v>0.59777397260273968</v>
      </c>
      <c r="AO45" s="144">
        <f>IF(AO$25, AO31 / hours_in_year, 'Inputs by customer type'!AO55)</f>
        <v>0</v>
      </c>
      <c r="AP45" s="144">
        <f>IF(AP$25, AP31 / hours_in_year, 'Inputs by customer type'!AP55)</f>
        <v>0</v>
      </c>
    </row>
    <row r="46" spans="3:44" x14ac:dyDescent="0.25">
      <c r="F46" s="28" t="s">
        <v>535</v>
      </c>
      <c r="G46" s="28" t="s">
        <v>244</v>
      </c>
      <c r="J46" s="101">
        <f t="shared" ref="J46:AP46" si="1">J$36 * J43</f>
        <v>786695.10680272034</v>
      </c>
      <c r="K46" s="101">
        <f t="shared" si="1"/>
        <v>339218.59169851284</v>
      </c>
      <c r="L46" s="101">
        <f t="shared" si="1"/>
        <v>1078.4471106580777</v>
      </c>
      <c r="M46" s="101">
        <f t="shared" si="1"/>
        <v>135431.41453865558</v>
      </c>
      <c r="N46" s="101">
        <f t="shared" si="1"/>
        <v>193399.84719060143</v>
      </c>
      <c r="O46" s="101">
        <f t="shared" si="1"/>
        <v>41.500798894421735</v>
      </c>
      <c r="P46" s="101">
        <f t="shared" si="1"/>
        <v>2076.5647449689222</v>
      </c>
      <c r="Q46" s="101">
        <f t="shared" si="1"/>
        <v>5.8155808257002992E-2</v>
      </c>
      <c r="R46" s="101">
        <f t="shared" si="1"/>
        <v>340.19281127610213</v>
      </c>
      <c r="S46" s="101">
        <f t="shared" si="1"/>
        <v>2665.4131654318253</v>
      </c>
      <c r="T46" s="101">
        <f t="shared" si="1"/>
        <v>19695.068082327467</v>
      </c>
      <c r="U46" s="101">
        <f t="shared" si="1"/>
        <v>383446.71347459609</v>
      </c>
      <c r="V46" s="101">
        <f t="shared" si="1"/>
        <v>31160.24243589109</v>
      </c>
      <c r="W46" s="101">
        <f t="shared" si="1"/>
        <v>744455.58470461331</v>
      </c>
      <c r="X46" s="101">
        <f t="shared" si="1"/>
        <v>857.48156736233682</v>
      </c>
      <c r="Y46" s="101">
        <f t="shared" si="1"/>
        <v>1158.853797593524</v>
      </c>
      <c r="Z46" s="101">
        <f t="shared" si="1"/>
        <v>37.113754460458331</v>
      </c>
      <c r="AA46" s="101">
        <f t="shared" si="1"/>
        <v>67.592316269372049</v>
      </c>
      <c r="AB46" s="101">
        <f t="shared" si="1"/>
        <v>10625.864662770657</v>
      </c>
      <c r="AC46" s="101">
        <f t="shared" si="1"/>
        <v>130.5744298705479</v>
      </c>
      <c r="AD46" s="101">
        <f t="shared" si="1"/>
        <v>0</v>
      </c>
      <c r="AE46" s="101">
        <f t="shared" si="1"/>
        <v>2779.8171479395892</v>
      </c>
      <c r="AF46" s="101">
        <f t="shared" si="1"/>
        <v>0</v>
      </c>
      <c r="AG46" s="101">
        <f t="shared" si="1"/>
        <v>1530.0617253920277</v>
      </c>
      <c r="AH46" s="101">
        <f t="shared" si="1"/>
        <v>0</v>
      </c>
      <c r="AI46" s="101">
        <f t="shared" si="1"/>
        <v>322.13358692568499</v>
      </c>
      <c r="AJ46" s="101">
        <f t="shared" si="1"/>
        <v>0</v>
      </c>
      <c r="AK46" s="101">
        <f t="shared" si="1"/>
        <v>423.59616493048139</v>
      </c>
      <c r="AL46" s="101">
        <f t="shared" si="1"/>
        <v>0</v>
      </c>
      <c r="AM46" s="101">
        <f t="shared" si="1"/>
        <v>41200.25439586131</v>
      </c>
      <c r="AN46" s="101">
        <f t="shared" si="1"/>
        <v>0</v>
      </c>
      <c r="AO46" s="101">
        <f t="shared" si="1"/>
        <v>90502.303315318844</v>
      </c>
      <c r="AP46" s="101">
        <f t="shared" si="1"/>
        <v>0</v>
      </c>
    </row>
    <row r="47" spans="3:44" x14ac:dyDescent="0.25">
      <c r="F47" s="28" t="s">
        <v>536</v>
      </c>
      <c r="G47" s="28" t="s">
        <v>244</v>
      </c>
      <c r="J47" s="101">
        <f t="shared" ref="J47:AP47" si="2">J$36 * J44</f>
        <v>2189491.3443846181</v>
      </c>
      <c r="K47" s="101">
        <f t="shared" si="2"/>
        <v>947161.21908553923</v>
      </c>
      <c r="L47" s="101">
        <f t="shared" si="2"/>
        <v>7786.5383932145696</v>
      </c>
      <c r="M47" s="101">
        <f t="shared" si="2"/>
        <v>596566.02115443023</v>
      </c>
      <c r="N47" s="101">
        <f t="shared" si="2"/>
        <v>769122.27090054296</v>
      </c>
      <c r="O47" s="101">
        <f t="shared" si="2"/>
        <v>480.36934491660793</v>
      </c>
      <c r="P47" s="101">
        <f t="shared" si="2"/>
        <v>8081.6466273703545</v>
      </c>
      <c r="Q47" s="101">
        <f t="shared" si="2"/>
        <v>0.22720482772005091</v>
      </c>
      <c r="R47" s="101">
        <f t="shared" si="2"/>
        <v>1391.9695177438066</v>
      </c>
      <c r="S47" s="101">
        <f t="shared" si="2"/>
        <v>0</v>
      </c>
      <c r="T47" s="101">
        <f t="shared" si="2"/>
        <v>0</v>
      </c>
      <c r="U47" s="101">
        <f t="shared" si="2"/>
        <v>0</v>
      </c>
      <c r="V47" s="101">
        <f t="shared" si="2"/>
        <v>0</v>
      </c>
      <c r="W47" s="101">
        <f t="shared" si="2"/>
        <v>0</v>
      </c>
      <c r="X47" s="101">
        <f t="shared" si="2"/>
        <v>10853.083355833238</v>
      </c>
      <c r="Y47" s="101">
        <f t="shared" si="2"/>
        <v>2051.9508820734691</v>
      </c>
      <c r="Z47" s="101">
        <f t="shared" si="2"/>
        <v>66.311765003601082</v>
      </c>
      <c r="AA47" s="101">
        <f t="shared" si="2"/>
        <v>4876.4335403102705</v>
      </c>
      <c r="AB47" s="101">
        <f t="shared" si="2"/>
        <v>0</v>
      </c>
      <c r="AC47" s="101">
        <f t="shared" si="2"/>
        <v>457.01050454691773</v>
      </c>
      <c r="AD47" s="101">
        <f t="shared" si="2"/>
        <v>0</v>
      </c>
      <c r="AE47" s="101">
        <f t="shared" si="2"/>
        <v>9729.3600177885619</v>
      </c>
      <c r="AF47" s="101">
        <f t="shared" si="2"/>
        <v>0</v>
      </c>
      <c r="AG47" s="101">
        <f t="shared" si="2"/>
        <v>0</v>
      </c>
      <c r="AH47" s="101">
        <f t="shared" si="2"/>
        <v>0</v>
      </c>
      <c r="AI47" s="101">
        <f t="shared" si="2"/>
        <v>1127.4675542398977</v>
      </c>
      <c r="AJ47" s="101">
        <f t="shared" si="2"/>
        <v>0</v>
      </c>
      <c r="AK47" s="101">
        <f t="shared" si="2"/>
        <v>0</v>
      </c>
      <c r="AL47" s="101">
        <f t="shared" si="2"/>
        <v>0</v>
      </c>
      <c r="AM47" s="101">
        <f t="shared" si="2"/>
        <v>144200.89038551459</v>
      </c>
      <c r="AN47" s="101">
        <f t="shared" si="2"/>
        <v>0</v>
      </c>
      <c r="AO47" s="101">
        <f t="shared" si="2"/>
        <v>0</v>
      </c>
      <c r="AP47" s="101">
        <f t="shared" si="2"/>
        <v>0</v>
      </c>
    </row>
    <row r="48" spans="3:44" x14ac:dyDescent="0.25">
      <c r="F48" s="67" t="s">
        <v>314</v>
      </c>
      <c r="G48" s="67" t="s">
        <v>244</v>
      </c>
      <c r="H48" s="37"/>
      <c r="I48" s="37"/>
      <c r="J48" s="103">
        <f t="shared" ref="J48:AP48" si="3">J$36 * J45</f>
        <v>2907104.1162421969</v>
      </c>
      <c r="K48" s="103">
        <f t="shared" si="3"/>
        <v>966818.83428525098</v>
      </c>
      <c r="L48" s="103">
        <f t="shared" si="3"/>
        <v>14912.826604807104</v>
      </c>
      <c r="M48" s="103">
        <f t="shared" si="3"/>
        <v>429809.03852022614</v>
      </c>
      <c r="N48" s="103">
        <f t="shared" si="3"/>
        <v>539710.54452033155</v>
      </c>
      <c r="O48" s="103">
        <f t="shared" si="3"/>
        <v>2086.6594914924267</v>
      </c>
      <c r="P48" s="103">
        <f t="shared" si="3"/>
        <v>5154.7801157039703</v>
      </c>
      <c r="Q48" s="103">
        <f t="shared" si="3"/>
        <v>0.14727635602294606</v>
      </c>
      <c r="R48" s="103">
        <f t="shared" si="3"/>
        <v>816.44633810943492</v>
      </c>
      <c r="S48" s="103">
        <f t="shared" si="3"/>
        <v>0</v>
      </c>
      <c r="T48" s="103">
        <f t="shared" si="3"/>
        <v>0</v>
      </c>
      <c r="U48" s="103">
        <f t="shared" si="3"/>
        <v>0</v>
      </c>
      <c r="V48" s="103">
        <f t="shared" si="3"/>
        <v>0</v>
      </c>
      <c r="W48" s="103">
        <f t="shared" si="3"/>
        <v>0</v>
      </c>
      <c r="X48" s="103">
        <f t="shared" si="3"/>
        <v>17430.46560418807</v>
      </c>
      <c r="Y48" s="103">
        <f t="shared" si="3"/>
        <v>19685.410275808492</v>
      </c>
      <c r="Z48" s="103">
        <f t="shared" si="3"/>
        <v>291.97146315335459</v>
      </c>
      <c r="AA48" s="103">
        <f t="shared" si="3"/>
        <v>2738.0487625954261</v>
      </c>
      <c r="AB48" s="103">
        <f t="shared" si="3"/>
        <v>0</v>
      </c>
      <c r="AC48" s="103">
        <f t="shared" si="3"/>
        <v>873.24776758253404</v>
      </c>
      <c r="AD48" s="103">
        <f t="shared" si="3"/>
        <v>0</v>
      </c>
      <c r="AE48" s="103">
        <f t="shared" si="3"/>
        <v>18590.692841871849</v>
      </c>
      <c r="AF48" s="103">
        <f t="shared" si="3"/>
        <v>0</v>
      </c>
      <c r="AG48" s="103">
        <f t="shared" si="3"/>
        <v>0</v>
      </c>
      <c r="AH48" s="103">
        <f t="shared" si="3"/>
        <v>0</v>
      </c>
      <c r="AI48" s="103">
        <f t="shared" si="3"/>
        <v>2154.3455018344184</v>
      </c>
      <c r="AJ48" s="103">
        <f t="shared" si="3"/>
        <v>0</v>
      </c>
      <c r="AK48" s="103">
        <f t="shared" si="3"/>
        <v>0</v>
      </c>
      <c r="AL48" s="103">
        <f t="shared" si="3"/>
        <v>0</v>
      </c>
      <c r="AM48" s="103">
        <f t="shared" si="3"/>
        <v>275536.56723362417</v>
      </c>
      <c r="AN48" s="103">
        <f t="shared" si="3"/>
        <v>0</v>
      </c>
      <c r="AO48" s="103">
        <f t="shared" si="3"/>
        <v>0</v>
      </c>
      <c r="AP48" s="103">
        <f t="shared" si="3"/>
        <v>0</v>
      </c>
    </row>
    <row r="49" spans="5:42" x14ac:dyDescent="0.25">
      <c r="F49" s="28"/>
      <c r="G49" s="28"/>
    </row>
    <row r="50" spans="5:42" x14ac:dyDescent="0.25">
      <c r="E50" s="32" t="s">
        <v>315</v>
      </c>
      <c r="F50" s="28"/>
      <c r="G50" s="28"/>
    </row>
    <row r="51" spans="5:42" x14ac:dyDescent="0.25">
      <c r="E51" s="29" t="s">
        <v>534</v>
      </c>
    </row>
    <row r="52" spans="5:42" x14ac:dyDescent="0.25">
      <c r="F52" s="64" t="s">
        <v>535</v>
      </c>
      <c r="G52" s="64" t="s">
        <v>204</v>
      </c>
      <c r="H52" s="23"/>
      <c r="I52" s="23"/>
      <c r="J52" s="110">
        <f>'Inputs by customer type'!J58</f>
        <v>0</v>
      </c>
      <c r="K52" s="110">
        <f>'Inputs by customer type'!K58</f>
        <v>0</v>
      </c>
      <c r="L52" s="110">
        <f>'Inputs by customer type'!L58</f>
        <v>0</v>
      </c>
      <c r="M52" s="110">
        <f>'Inputs by customer type'!M58</f>
        <v>0</v>
      </c>
      <c r="N52" s="110">
        <f>'Inputs by customer type'!N58</f>
        <v>0</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536</v>
      </c>
      <c r="G53" s="28" t="s">
        <v>204</v>
      </c>
      <c r="J53" s="25">
        <f>'Inputs by customer type'!J59</f>
        <v>0</v>
      </c>
      <c r="K53" s="25">
        <f>'Inputs by customer type'!K59</f>
        <v>0</v>
      </c>
      <c r="L53" s="25">
        <f>'Inputs by customer type'!L59</f>
        <v>0</v>
      </c>
      <c r="M53" s="25">
        <f>'Inputs by customer type'!M59</f>
        <v>0</v>
      </c>
      <c r="N53" s="25">
        <f>'Inputs by customer type'!N59</f>
        <v>0</v>
      </c>
      <c r="O53" s="25">
        <f>'Inputs by customer type'!O59</f>
        <v>0</v>
      </c>
      <c r="P53" s="25">
        <f>'Inputs by customer type'!P59</f>
        <v>0</v>
      </c>
      <c r="Q53" s="25">
        <f>'Inputs by customer type'!Q59</f>
        <v>0</v>
      </c>
      <c r="R53" s="25">
        <f>'Inputs by customer type'!R59</f>
        <v>0</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314</v>
      </c>
      <c r="G54" s="67" t="s">
        <v>204</v>
      </c>
      <c r="H54" s="37"/>
      <c r="I54" s="37"/>
      <c r="J54" s="144">
        <f>'Inputs by customer type'!J60</f>
        <v>0</v>
      </c>
      <c r="K54" s="144">
        <f>'Inputs by customer type'!K60</f>
        <v>1</v>
      </c>
      <c r="L54" s="144">
        <f>'Inputs by customer type'!L60</f>
        <v>0</v>
      </c>
      <c r="M54" s="144">
        <f>'Inputs by customer type'!M60</f>
        <v>0</v>
      </c>
      <c r="N54" s="144">
        <f>'Inputs by customer type'!N60</f>
        <v>1</v>
      </c>
      <c r="O54" s="144">
        <f>'Inputs by customer type'!O60</f>
        <v>0</v>
      </c>
      <c r="P54" s="144">
        <f>'Inputs by customer type'!P60</f>
        <v>1</v>
      </c>
      <c r="Q54" s="144">
        <f>'Inputs by customer type'!Q60</f>
        <v>1</v>
      </c>
      <c r="R54" s="144">
        <f>'Inputs by customer type'!R60</f>
        <v>1</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535</v>
      </c>
      <c r="G55" s="28" t="s">
        <v>244</v>
      </c>
      <c r="J55" s="101">
        <f t="shared" ref="J55:AP55" si="4">J$37 * J52</f>
        <v>0</v>
      </c>
      <c r="K55" s="101">
        <f t="shared" si="4"/>
        <v>0</v>
      </c>
      <c r="L55" s="101">
        <f t="shared" si="4"/>
        <v>0</v>
      </c>
      <c r="M55" s="101">
        <f t="shared" si="4"/>
        <v>0</v>
      </c>
      <c r="N55" s="101">
        <f t="shared" si="4"/>
        <v>0</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536</v>
      </c>
      <c r="G56" s="28" t="s">
        <v>244</v>
      </c>
      <c r="J56" s="101">
        <f t="shared" ref="J56:AP56" si="5">J$37 * J53</f>
        <v>0</v>
      </c>
      <c r="K56" s="101">
        <f t="shared" si="5"/>
        <v>0</v>
      </c>
      <c r="L56" s="101">
        <f t="shared" si="5"/>
        <v>0</v>
      </c>
      <c r="M56" s="101">
        <f t="shared" si="5"/>
        <v>0</v>
      </c>
      <c r="N56" s="101">
        <f t="shared" si="5"/>
        <v>0</v>
      </c>
      <c r="O56" s="101">
        <f t="shared" si="5"/>
        <v>0</v>
      </c>
      <c r="P56" s="101">
        <f t="shared" si="5"/>
        <v>0</v>
      </c>
      <c r="Q56" s="101">
        <f t="shared" si="5"/>
        <v>0</v>
      </c>
      <c r="R56" s="101">
        <f t="shared" si="5"/>
        <v>0</v>
      </c>
      <c r="S56" s="101">
        <f t="shared" si="5"/>
        <v>8212.1579615585051</v>
      </c>
      <c r="T56" s="101">
        <f t="shared" si="5"/>
        <v>78004.79777326365</v>
      </c>
      <c r="U56" s="101">
        <f t="shared" si="5"/>
        <v>1531300.292687048</v>
      </c>
      <c r="V56" s="101">
        <f t="shared" si="5"/>
        <v>120244.74578240186</v>
      </c>
      <c r="W56" s="101">
        <f t="shared" si="5"/>
        <v>2837353.6691905577</v>
      </c>
      <c r="X56" s="101">
        <f t="shared" si="5"/>
        <v>0</v>
      </c>
      <c r="Y56" s="101">
        <f t="shared" si="5"/>
        <v>0</v>
      </c>
      <c r="Z56" s="101">
        <f t="shared" si="5"/>
        <v>0</v>
      </c>
      <c r="AA56" s="101">
        <f t="shared" si="5"/>
        <v>0</v>
      </c>
      <c r="AB56" s="101">
        <f t="shared" si="5"/>
        <v>33031.440290376238</v>
      </c>
      <c r="AC56" s="101">
        <f t="shared" si="5"/>
        <v>0</v>
      </c>
      <c r="AD56" s="101">
        <f t="shared" si="5"/>
        <v>0</v>
      </c>
      <c r="AE56" s="101">
        <f t="shared" si="5"/>
        <v>0</v>
      </c>
      <c r="AF56" s="101">
        <f t="shared" si="5"/>
        <v>0</v>
      </c>
      <c r="AG56" s="101">
        <f t="shared" si="5"/>
        <v>6003.5671991277068</v>
      </c>
      <c r="AH56" s="101">
        <f t="shared" si="5"/>
        <v>0</v>
      </c>
      <c r="AI56" s="101">
        <f t="shared" si="5"/>
        <v>0</v>
      </c>
      <c r="AJ56" s="101">
        <f t="shared" si="5"/>
        <v>0</v>
      </c>
      <c r="AK56" s="101">
        <f t="shared" si="5"/>
        <v>1386.3166215887916</v>
      </c>
      <c r="AL56" s="101">
        <f t="shared" si="5"/>
        <v>0</v>
      </c>
      <c r="AM56" s="101">
        <f t="shared" si="5"/>
        <v>0</v>
      </c>
      <c r="AN56" s="101">
        <f t="shared" si="5"/>
        <v>0</v>
      </c>
      <c r="AO56" s="101">
        <f t="shared" si="5"/>
        <v>234395.58417537581</v>
      </c>
      <c r="AP56" s="101">
        <f t="shared" si="5"/>
        <v>0</v>
      </c>
    </row>
    <row r="57" spans="5:42" x14ac:dyDescent="0.25">
      <c r="F57" s="67" t="s">
        <v>314</v>
      </c>
      <c r="G57" s="67" t="s">
        <v>244</v>
      </c>
      <c r="H57" s="37"/>
      <c r="I57" s="37"/>
      <c r="J57" s="103">
        <f t="shared" ref="J57:AP57" si="6">J$37 * J54</f>
        <v>0</v>
      </c>
      <c r="K57" s="103">
        <f t="shared" si="6"/>
        <v>1019036.5249223392</v>
      </c>
      <c r="L57" s="103">
        <f t="shared" si="6"/>
        <v>0</v>
      </c>
      <c r="M57" s="103">
        <f t="shared" si="6"/>
        <v>0</v>
      </c>
      <c r="N57" s="103">
        <f t="shared" si="6"/>
        <v>451482.07597799349</v>
      </c>
      <c r="O57" s="103">
        <f t="shared" si="6"/>
        <v>0</v>
      </c>
      <c r="P57" s="103">
        <f t="shared" si="6"/>
        <v>4514.3531474235097</v>
      </c>
      <c r="Q57" s="103">
        <f t="shared" si="6"/>
        <v>0</v>
      </c>
      <c r="R57" s="103">
        <f t="shared" si="6"/>
        <v>842.84934146739215</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316</v>
      </c>
      <c r="F59" s="28"/>
      <c r="G59" s="28"/>
    </row>
    <row r="60" spans="5:42" x14ac:dyDescent="0.25">
      <c r="E60" s="29" t="s">
        <v>534</v>
      </c>
    </row>
    <row r="61" spans="5:42" x14ac:dyDescent="0.25">
      <c r="F61" s="64" t="s">
        <v>535</v>
      </c>
      <c r="G61" s="64" t="s">
        <v>204</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536</v>
      </c>
      <c r="G62" s="28" t="s">
        <v>204</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314</v>
      </c>
      <c r="G63" s="67" t="s">
        <v>204</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535</v>
      </c>
      <c r="G64" s="28" t="s">
        <v>244</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536</v>
      </c>
      <c r="G65" s="28" t="s">
        <v>244</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314</v>
      </c>
      <c r="G66" s="67" t="s">
        <v>244</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13794.537224726715</v>
      </c>
      <c r="T66" s="103">
        <f t="shared" si="9"/>
        <v>84563.498185875345</v>
      </c>
      <c r="U66" s="103">
        <f t="shared" si="9"/>
        <v>1665693.0604758498</v>
      </c>
      <c r="V66" s="103">
        <f t="shared" si="9"/>
        <v>141436.21101046051</v>
      </c>
      <c r="W66" s="103">
        <f t="shared" si="9"/>
        <v>4088471.1518656551</v>
      </c>
      <c r="X66" s="103">
        <f t="shared" si="9"/>
        <v>0</v>
      </c>
      <c r="Y66" s="103">
        <f t="shared" si="9"/>
        <v>0</v>
      </c>
      <c r="Z66" s="103">
        <f t="shared" si="9"/>
        <v>0</v>
      </c>
      <c r="AA66" s="103">
        <f t="shared" si="9"/>
        <v>0</v>
      </c>
      <c r="AB66" s="103">
        <f t="shared" si="9"/>
        <v>166291.0895487376</v>
      </c>
      <c r="AC66" s="103">
        <f t="shared" si="9"/>
        <v>0</v>
      </c>
      <c r="AD66" s="103">
        <f t="shared" si="9"/>
        <v>0</v>
      </c>
      <c r="AE66" s="103">
        <f t="shared" si="9"/>
        <v>0</v>
      </c>
      <c r="AF66" s="103">
        <f t="shared" si="9"/>
        <v>0</v>
      </c>
      <c r="AG66" s="103">
        <f t="shared" si="9"/>
        <v>8927.0882180837252</v>
      </c>
      <c r="AH66" s="103">
        <f t="shared" si="9"/>
        <v>0</v>
      </c>
      <c r="AI66" s="103">
        <f t="shared" si="9"/>
        <v>0</v>
      </c>
      <c r="AJ66" s="103">
        <f t="shared" si="9"/>
        <v>0</v>
      </c>
      <c r="AK66" s="103">
        <f t="shared" si="9"/>
        <v>3100.3150081195781</v>
      </c>
      <c r="AL66" s="103">
        <f t="shared" si="9"/>
        <v>0</v>
      </c>
      <c r="AM66" s="103">
        <f t="shared" si="9"/>
        <v>0</v>
      </c>
      <c r="AN66" s="103">
        <f t="shared" si="9"/>
        <v>0</v>
      </c>
      <c r="AO66" s="103">
        <f t="shared" si="9"/>
        <v>405234.32478734496</v>
      </c>
      <c r="AP66" s="103">
        <f t="shared" si="9"/>
        <v>0</v>
      </c>
    </row>
    <row r="68" spans="3:44" x14ac:dyDescent="0.25">
      <c r="E68" s="32" t="s">
        <v>538</v>
      </c>
      <c r="F68" s="28"/>
      <c r="G68" s="28"/>
    </row>
    <row r="69" spans="3:44" x14ac:dyDescent="0.25">
      <c r="E69" s="29" t="s">
        <v>534</v>
      </c>
    </row>
    <row r="70" spans="3:44" x14ac:dyDescent="0.25">
      <c r="F70" s="64" t="s">
        <v>535</v>
      </c>
      <c r="G70" s="64" t="s">
        <v>204</v>
      </c>
      <c r="H70" s="23"/>
      <c r="I70" s="23"/>
      <c r="J70" s="158">
        <f>IF(J$39 = 0, 0, (J64+  J55 + J46) / J$39)</f>
        <v>0.13371685416286261</v>
      </c>
      <c r="K70" s="158">
        <f t="shared" ref="K70:AP70" si="10">IF(K$39 = 0, 0, (K64+  K55 + K46) / K$39)</f>
        <v>0.10366571290760232</v>
      </c>
      <c r="L70" s="158">
        <f t="shared" si="10"/>
        <v>4.5355186832534769E-2</v>
      </c>
      <c r="M70" s="158">
        <f t="shared" si="10"/>
        <v>0.11656968483529889</v>
      </c>
      <c r="N70" s="158">
        <f t="shared" si="10"/>
        <v>9.8990831860249484E-2</v>
      </c>
      <c r="O70" s="158">
        <f t="shared" si="10"/>
        <v>1.5909652063275811E-2</v>
      </c>
      <c r="P70" s="158">
        <f t="shared" si="10"/>
        <v>0.1047323675029285</v>
      </c>
      <c r="Q70" s="158">
        <f t="shared" si="10"/>
        <v>0.13442171920657908</v>
      </c>
      <c r="R70" s="158">
        <f t="shared" si="10"/>
        <v>0.10030871985257507</v>
      </c>
      <c r="S70" s="158">
        <f>IF(S$39 = 0, 0, (S64+  S55 + S46) / S$39)</f>
        <v>0.10803345735332454</v>
      </c>
      <c r="T70" s="158">
        <f t="shared" si="10"/>
        <v>0.10805829348045323</v>
      </c>
      <c r="U70" s="158">
        <f t="shared" si="10"/>
        <v>0.10709485603391296</v>
      </c>
      <c r="V70" s="158">
        <f t="shared" si="10"/>
        <v>0.10640662078272056</v>
      </c>
      <c r="W70" s="158">
        <f t="shared" si="10"/>
        <v>9.7057153757440714E-2</v>
      </c>
      <c r="X70" s="158">
        <f t="shared" si="10"/>
        <v>2.9425231429498239E-2</v>
      </c>
      <c r="Y70" s="158">
        <f t="shared" si="10"/>
        <v>5.061333499213988E-2</v>
      </c>
      <c r="Z70" s="158">
        <f t="shared" si="10"/>
        <v>9.3864536382589403E-2</v>
      </c>
      <c r="AA70" s="158">
        <f t="shared" si="10"/>
        <v>8.798706029313522E-3</v>
      </c>
      <c r="AB70" s="158">
        <f t="shared" si="10"/>
        <v>5.0611792902637696E-2</v>
      </c>
      <c r="AC70" s="158">
        <f t="shared" si="10"/>
        <v>8.938356164383561E-2</v>
      </c>
      <c r="AD70" s="158">
        <f t="shared" si="10"/>
        <v>0</v>
      </c>
      <c r="AE70" s="158">
        <f t="shared" si="10"/>
        <v>8.938356164383561E-2</v>
      </c>
      <c r="AF70" s="158">
        <f t="shared" si="10"/>
        <v>0</v>
      </c>
      <c r="AG70" s="158">
        <f t="shared" si="10"/>
        <v>9.2952312595903697E-2</v>
      </c>
      <c r="AH70" s="158">
        <f t="shared" si="10"/>
        <v>0</v>
      </c>
      <c r="AI70" s="158">
        <f t="shared" si="10"/>
        <v>8.938356164383561E-2</v>
      </c>
      <c r="AJ70" s="158">
        <f t="shared" si="10"/>
        <v>0</v>
      </c>
      <c r="AK70" s="158">
        <f t="shared" si="10"/>
        <v>8.6268129025088749E-2</v>
      </c>
      <c r="AL70" s="158">
        <f t="shared" si="10"/>
        <v>0</v>
      </c>
      <c r="AM70" s="158">
        <f t="shared" si="10"/>
        <v>8.938356164383561E-2</v>
      </c>
      <c r="AN70" s="158">
        <f t="shared" si="10"/>
        <v>0</v>
      </c>
      <c r="AO70" s="158">
        <f t="shared" si="10"/>
        <v>0.12395330844662816</v>
      </c>
      <c r="AP70" s="158">
        <f t="shared" si="10"/>
        <v>0</v>
      </c>
    </row>
    <row r="71" spans="3:44" x14ac:dyDescent="0.25">
      <c r="F71" s="28" t="s">
        <v>536</v>
      </c>
      <c r="G71" s="28" t="s">
        <v>204</v>
      </c>
      <c r="J71" s="148">
        <f t="shared" ref="J71:AP71" si="11">IF(J$39 = 0, 0, (J65+  J56 + J47) / J$39)</f>
        <v>0.37215420848085484</v>
      </c>
      <c r="K71" s="148">
        <f t="shared" si="11"/>
        <v>0.28945389615378969</v>
      </c>
      <c r="L71" s="148">
        <f t="shared" si="11"/>
        <v>0.32747076802630654</v>
      </c>
      <c r="M71" s="148">
        <f t="shared" si="11"/>
        <v>0.51348140537638154</v>
      </c>
      <c r="N71" s="148">
        <f t="shared" si="11"/>
        <v>0.39367173503324698</v>
      </c>
      <c r="O71" s="148">
        <f t="shared" si="11"/>
        <v>0.18415330169738534</v>
      </c>
      <c r="P71" s="148">
        <f t="shared" si="11"/>
        <v>0.4076010568209959</v>
      </c>
      <c r="Q71" s="148">
        <f t="shared" si="11"/>
        <v>0.52516273901990085</v>
      </c>
      <c r="R71" s="148">
        <f t="shared" si="11"/>
        <v>0.41043395324825321</v>
      </c>
      <c r="S71" s="148">
        <f>IF(S$39 = 0, 0, (S65+  S56 + S47) / S$39)</f>
        <v>0.33285189269148874</v>
      </c>
      <c r="T71" s="148">
        <f t="shared" si="11"/>
        <v>0.42797848148746398</v>
      </c>
      <c r="U71" s="148">
        <f t="shared" si="11"/>
        <v>0.4276849393334885</v>
      </c>
      <c r="V71" s="148">
        <f t="shared" si="11"/>
        <v>0.4106141693828827</v>
      </c>
      <c r="W71" s="148">
        <f t="shared" si="11"/>
        <v>0.36991524678283472</v>
      </c>
      <c r="X71" s="148">
        <f t="shared" si="11"/>
        <v>0.37243306634728185</v>
      </c>
      <c r="Y71" s="148">
        <f t="shared" si="11"/>
        <v>8.9619654867135926E-2</v>
      </c>
      <c r="Z71" s="148">
        <f t="shared" si="11"/>
        <v>0.16770933496921578</v>
      </c>
      <c r="AA71" s="148">
        <f t="shared" si="11"/>
        <v>0.63478080883753785</v>
      </c>
      <c r="AB71" s="148">
        <f t="shared" si="11"/>
        <v>0.15733123546262578</v>
      </c>
      <c r="AC71" s="148">
        <f t="shared" si="11"/>
        <v>0.31284246575342467</v>
      </c>
      <c r="AD71" s="148">
        <f t="shared" si="11"/>
        <v>0</v>
      </c>
      <c r="AE71" s="148">
        <f t="shared" si="11"/>
        <v>0.31284246575342467</v>
      </c>
      <c r="AF71" s="148">
        <f t="shared" si="11"/>
        <v>0</v>
      </c>
      <c r="AG71" s="148">
        <f t="shared" si="11"/>
        <v>0.36472087741483233</v>
      </c>
      <c r="AH71" s="148">
        <f t="shared" si="11"/>
        <v>0</v>
      </c>
      <c r="AI71" s="148">
        <f t="shared" si="11"/>
        <v>0.31284246575342467</v>
      </c>
      <c r="AJ71" s="148">
        <f t="shared" si="11"/>
        <v>0</v>
      </c>
      <c r="AK71" s="148">
        <f t="shared" si="11"/>
        <v>0.28233244557460607</v>
      </c>
      <c r="AL71" s="148">
        <f t="shared" si="11"/>
        <v>0</v>
      </c>
      <c r="AM71" s="148">
        <f t="shared" si="11"/>
        <v>0.31284246575342467</v>
      </c>
      <c r="AN71" s="148">
        <f t="shared" si="11"/>
        <v>0</v>
      </c>
      <c r="AO71" s="148">
        <f t="shared" si="11"/>
        <v>0.32103169841534984</v>
      </c>
      <c r="AP71" s="148">
        <f t="shared" si="11"/>
        <v>0</v>
      </c>
    </row>
    <row r="72" spans="3:44" x14ac:dyDescent="0.25">
      <c r="F72" s="67" t="s">
        <v>314</v>
      </c>
      <c r="G72" s="67" t="s">
        <v>204</v>
      </c>
      <c r="H72" s="37"/>
      <c r="I72" s="37"/>
      <c r="J72" s="159">
        <f t="shared" ref="J72:AP72" si="12">IF(J$39 = 0, 0, (J66+  J57 + J48) / J$39)</f>
        <v>0.49412893735628255</v>
      </c>
      <c r="K72" s="159">
        <f t="shared" si="12"/>
        <v>0.60688039093860791</v>
      </c>
      <c r="L72" s="159">
        <f t="shared" si="12"/>
        <v>0.62717404514115871</v>
      </c>
      <c r="M72" s="159">
        <f t="shared" si="12"/>
        <v>0.36994890978831957</v>
      </c>
      <c r="N72" s="159">
        <f t="shared" si="12"/>
        <v>0.50733743310650359</v>
      </c>
      <c r="O72" s="159">
        <f t="shared" si="12"/>
        <v>0.79993704623933881</v>
      </c>
      <c r="P72" s="159">
        <f t="shared" si="12"/>
        <v>0.48766657567607552</v>
      </c>
      <c r="Q72" s="159">
        <f t="shared" si="12"/>
        <v>0.34041554177352007</v>
      </c>
      <c r="R72" s="159">
        <f t="shared" si="12"/>
        <v>0.48925732689917167</v>
      </c>
      <c r="S72" s="159">
        <f>IF(S$39 = 0, 0, (S66+  S57 + S48) / S$39)</f>
        <v>0.55911464995518678</v>
      </c>
      <c r="T72" s="159">
        <f t="shared" si="12"/>
        <v>0.46396322503208293</v>
      </c>
      <c r="U72" s="159">
        <f t="shared" si="12"/>
        <v>0.46522020463259861</v>
      </c>
      <c r="V72" s="159">
        <f t="shared" si="12"/>
        <v>0.48297920983439679</v>
      </c>
      <c r="W72" s="159">
        <f t="shared" si="12"/>
        <v>0.53302759945972455</v>
      </c>
      <c r="X72" s="159">
        <f t="shared" si="12"/>
        <v>0.59814170222321994</v>
      </c>
      <c r="Y72" s="159">
        <f t="shared" si="12"/>
        <v>0.8597670101407241</v>
      </c>
      <c r="Z72" s="159">
        <f t="shared" si="12"/>
        <v>0.73842612864819468</v>
      </c>
      <c r="AA72" s="159">
        <f t="shared" si="12"/>
        <v>0.35642048513314867</v>
      </c>
      <c r="AB72" s="159">
        <f t="shared" si="12"/>
        <v>0.79205697163473654</v>
      </c>
      <c r="AC72" s="159">
        <f t="shared" si="12"/>
        <v>0.59777397260273968</v>
      </c>
      <c r="AD72" s="159">
        <f t="shared" si="12"/>
        <v>0</v>
      </c>
      <c r="AE72" s="159">
        <f t="shared" si="12"/>
        <v>0.59777397260273968</v>
      </c>
      <c r="AF72" s="159">
        <f t="shared" si="12"/>
        <v>0</v>
      </c>
      <c r="AG72" s="159">
        <f t="shared" si="12"/>
        <v>0.54232680998926386</v>
      </c>
      <c r="AH72" s="159">
        <f t="shared" si="12"/>
        <v>0</v>
      </c>
      <c r="AI72" s="159">
        <f t="shared" si="12"/>
        <v>0.59777397260273968</v>
      </c>
      <c r="AJ72" s="159">
        <f t="shared" si="12"/>
        <v>0</v>
      </c>
      <c r="AK72" s="159">
        <f t="shared" si="12"/>
        <v>0.63139942540030514</v>
      </c>
      <c r="AL72" s="159">
        <f t="shared" si="12"/>
        <v>0</v>
      </c>
      <c r="AM72" s="159">
        <f t="shared" si="12"/>
        <v>0.59777397260273968</v>
      </c>
      <c r="AN72" s="159">
        <f t="shared" si="12"/>
        <v>0</v>
      </c>
      <c r="AO72" s="159">
        <f t="shared" si="12"/>
        <v>0.55501499313802194</v>
      </c>
      <c r="AP72" s="159">
        <f t="shared" si="12"/>
        <v>0</v>
      </c>
    </row>
    <row r="73" spans="3:44" x14ac:dyDescent="0.25">
      <c r="F73" s="28" t="s">
        <v>535</v>
      </c>
      <c r="G73" s="28" t="s">
        <v>244</v>
      </c>
      <c r="J73" s="124">
        <f t="shared" ref="J73:AP73" si="13">J64+  J55 + J46</f>
        <v>786695.10680272034</v>
      </c>
      <c r="K73" s="124">
        <f t="shared" si="13"/>
        <v>339218.59169851284</v>
      </c>
      <c r="L73" s="124">
        <f t="shared" si="13"/>
        <v>1078.4471106580777</v>
      </c>
      <c r="M73" s="124">
        <f t="shared" si="13"/>
        <v>135431.41453865558</v>
      </c>
      <c r="N73" s="124">
        <f t="shared" si="13"/>
        <v>193399.84719060143</v>
      </c>
      <c r="O73" s="124">
        <f t="shared" si="13"/>
        <v>41.500798894421735</v>
      </c>
      <c r="P73" s="124">
        <f t="shared" si="13"/>
        <v>2076.5647449689222</v>
      </c>
      <c r="Q73" s="124">
        <f t="shared" si="13"/>
        <v>5.8155808257002992E-2</v>
      </c>
      <c r="R73" s="124">
        <f t="shared" si="13"/>
        <v>340.19281127610213</v>
      </c>
      <c r="S73" s="124">
        <f t="shared" si="13"/>
        <v>2665.4131654318253</v>
      </c>
      <c r="T73" s="124">
        <f t="shared" si="13"/>
        <v>19695.068082327467</v>
      </c>
      <c r="U73" s="124">
        <f t="shared" si="13"/>
        <v>383446.71347459609</v>
      </c>
      <c r="V73" s="124">
        <f t="shared" si="13"/>
        <v>31160.24243589109</v>
      </c>
      <c r="W73" s="124">
        <f t="shared" si="13"/>
        <v>744455.58470461331</v>
      </c>
      <c r="X73" s="124">
        <f t="shared" si="13"/>
        <v>857.48156736233682</v>
      </c>
      <c r="Y73" s="124">
        <f t="shared" si="13"/>
        <v>1158.853797593524</v>
      </c>
      <c r="Z73" s="124">
        <f t="shared" si="13"/>
        <v>37.113754460458331</v>
      </c>
      <c r="AA73" s="124">
        <f t="shared" si="13"/>
        <v>67.592316269372049</v>
      </c>
      <c r="AB73" s="124">
        <f t="shared" si="13"/>
        <v>10625.864662770657</v>
      </c>
      <c r="AC73" s="124">
        <f t="shared" si="13"/>
        <v>130.5744298705479</v>
      </c>
      <c r="AD73" s="124">
        <f t="shared" si="13"/>
        <v>0</v>
      </c>
      <c r="AE73" s="124">
        <f t="shared" si="13"/>
        <v>2779.8171479395892</v>
      </c>
      <c r="AF73" s="124">
        <f t="shared" si="13"/>
        <v>0</v>
      </c>
      <c r="AG73" s="124">
        <f t="shared" si="13"/>
        <v>1530.0617253920277</v>
      </c>
      <c r="AH73" s="124">
        <f t="shared" si="13"/>
        <v>0</v>
      </c>
      <c r="AI73" s="124">
        <f t="shared" si="13"/>
        <v>322.13358692568499</v>
      </c>
      <c r="AJ73" s="124">
        <f t="shared" si="13"/>
        <v>0</v>
      </c>
      <c r="AK73" s="124">
        <f t="shared" si="13"/>
        <v>423.59616493048139</v>
      </c>
      <c r="AL73" s="124">
        <f t="shared" si="13"/>
        <v>0</v>
      </c>
      <c r="AM73" s="124">
        <f t="shared" si="13"/>
        <v>41200.25439586131</v>
      </c>
      <c r="AN73" s="124">
        <f t="shared" si="13"/>
        <v>0</v>
      </c>
      <c r="AO73" s="124">
        <f t="shared" si="13"/>
        <v>90502.303315318844</v>
      </c>
      <c r="AP73" s="124">
        <f t="shared" si="13"/>
        <v>0</v>
      </c>
    </row>
    <row r="74" spans="3:44" x14ac:dyDescent="0.25">
      <c r="F74" s="28" t="s">
        <v>536</v>
      </c>
      <c r="G74" s="28" t="s">
        <v>244</v>
      </c>
      <c r="J74" s="124">
        <f t="shared" ref="J74:AP74" si="14">J65+  J56 + J47</f>
        <v>2189491.3443846181</v>
      </c>
      <c r="K74" s="124">
        <f t="shared" si="14"/>
        <v>947161.21908553923</v>
      </c>
      <c r="L74" s="124">
        <f t="shared" si="14"/>
        <v>7786.5383932145696</v>
      </c>
      <c r="M74" s="124">
        <f t="shared" si="14"/>
        <v>596566.02115443023</v>
      </c>
      <c r="N74" s="124">
        <f t="shared" si="14"/>
        <v>769122.27090054296</v>
      </c>
      <c r="O74" s="124">
        <f t="shared" si="14"/>
        <v>480.36934491660793</v>
      </c>
      <c r="P74" s="124">
        <f t="shared" si="14"/>
        <v>8081.6466273703545</v>
      </c>
      <c r="Q74" s="124">
        <f t="shared" si="14"/>
        <v>0.22720482772005091</v>
      </c>
      <c r="R74" s="124">
        <f t="shared" si="14"/>
        <v>1391.9695177438066</v>
      </c>
      <c r="S74" s="124">
        <f t="shared" si="14"/>
        <v>8212.1579615585051</v>
      </c>
      <c r="T74" s="124">
        <f t="shared" si="14"/>
        <v>78004.79777326365</v>
      </c>
      <c r="U74" s="124">
        <f t="shared" si="14"/>
        <v>1531300.292687048</v>
      </c>
      <c r="V74" s="124">
        <f t="shared" si="14"/>
        <v>120244.74578240186</v>
      </c>
      <c r="W74" s="124">
        <f t="shared" si="14"/>
        <v>2837353.6691905577</v>
      </c>
      <c r="X74" s="124">
        <f t="shared" si="14"/>
        <v>10853.083355833238</v>
      </c>
      <c r="Y74" s="124">
        <f t="shared" si="14"/>
        <v>2051.9508820734691</v>
      </c>
      <c r="Z74" s="124">
        <f t="shared" si="14"/>
        <v>66.311765003601082</v>
      </c>
      <c r="AA74" s="124">
        <f t="shared" si="14"/>
        <v>4876.4335403102705</v>
      </c>
      <c r="AB74" s="124">
        <f t="shared" si="14"/>
        <v>33031.440290376238</v>
      </c>
      <c r="AC74" s="124">
        <f t="shared" si="14"/>
        <v>457.01050454691773</v>
      </c>
      <c r="AD74" s="124">
        <f t="shared" si="14"/>
        <v>0</v>
      </c>
      <c r="AE74" s="124">
        <f t="shared" si="14"/>
        <v>9729.3600177885619</v>
      </c>
      <c r="AF74" s="124">
        <f t="shared" si="14"/>
        <v>0</v>
      </c>
      <c r="AG74" s="124">
        <f t="shared" si="14"/>
        <v>6003.5671991277068</v>
      </c>
      <c r="AH74" s="124">
        <f t="shared" si="14"/>
        <v>0</v>
      </c>
      <c r="AI74" s="124">
        <f t="shared" si="14"/>
        <v>1127.4675542398977</v>
      </c>
      <c r="AJ74" s="124">
        <f t="shared" si="14"/>
        <v>0</v>
      </c>
      <c r="AK74" s="124">
        <f t="shared" si="14"/>
        <v>1386.3166215887916</v>
      </c>
      <c r="AL74" s="124">
        <f t="shared" si="14"/>
        <v>0</v>
      </c>
      <c r="AM74" s="124">
        <f t="shared" si="14"/>
        <v>144200.89038551459</v>
      </c>
      <c r="AN74" s="124">
        <f t="shared" si="14"/>
        <v>0</v>
      </c>
      <c r="AO74" s="124">
        <f t="shared" si="14"/>
        <v>234395.58417537581</v>
      </c>
      <c r="AP74" s="124">
        <f t="shared" si="14"/>
        <v>0</v>
      </c>
    </row>
    <row r="75" spans="3:44" x14ac:dyDescent="0.25">
      <c r="F75" s="67" t="s">
        <v>314</v>
      </c>
      <c r="G75" s="67" t="s">
        <v>244</v>
      </c>
      <c r="H75" s="37"/>
      <c r="I75" s="37"/>
      <c r="J75" s="134">
        <f t="shared" ref="J75:AP75" si="15">J66+  J57 + J48</f>
        <v>2907104.1162421969</v>
      </c>
      <c r="K75" s="134">
        <f t="shared" si="15"/>
        <v>1985855.3592075901</v>
      </c>
      <c r="L75" s="134">
        <f t="shared" si="15"/>
        <v>14912.826604807104</v>
      </c>
      <c r="M75" s="134">
        <f t="shared" si="15"/>
        <v>429809.03852022614</v>
      </c>
      <c r="N75" s="134">
        <f t="shared" si="15"/>
        <v>991192.62049832498</v>
      </c>
      <c r="O75" s="134">
        <f t="shared" si="15"/>
        <v>2086.6594914924267</v>
      </c>
      <c r="P75" s="134">
        <f t="shared" si="15"/>
        <v>9669.1332631274799</v>
      </c>
      <c r="Q75" s="134">
        <f t="shared" si="15"/>
        <v>0.14727635602294606</v>
      </c>
      <c r="R75" s="134">
        <f t="shared" si="15"/>
        <v>1659.2956795768271</v>
      </c>
      <c r="S75" s="134">
        <f t="shared" si="15"/>
        <v>13794.537224726715</v>
      </c>
      <c r="T75" s="134">
        <f t="shared" si="15"/>
        <v>84563.498185875345</v>
      </c>
      <c r="U75" s="134">
        <f t="shared" si="15"/>
        <v>1665693.0604758498</v>
      </c>
      <c r="V75" s="134">
        <f t="shared" si="15"/>
        <v>141436.21101046051</v>
      </c>
      <c r="W75" s="134">
        <f t="shared" si="15"/>
        <v>4088471.1518656551</v>
      </c>
      <c r="X75" s="134">
        <f t="shared" si="15"/>
        <v>17430.46560418807</v>
      </c>
      <c r="Y75" s="134">
        <f t="shared" si="15"/>
        <v>19685.410275808492</v>
      </c>
      <c r="Z75" s="134">
        <f t="shared" si="15"/>
        <v>291.97146315335459</v>
      </c>
      <c r="AA75" s="134">
        <f t="shared" si="15"/>
        <v>2738.0487625954261</v>
      </c>
      <c r="AB75" s="134">
        <f t="shared" si="15"/>
        <v>166291.0895487376</v>
      </c>
      <c r="AC75" s="134">
        <f t="shared" si="15"/>
        <v>873.24776758253404</v>
      </c>
      <c r="AD75" s="134">
        <f t="shared" si="15"/>
        <v>0</v>
      </c>
      <c r="AE75" s="134">
        <f t="shared" si="15"/>
        <v>18590.692841871849</v>
      </c>
      <c r="AF75" s="134">
        <f t="shared" si="15"/>
        <v>0</v>
      </c>
      <c r="AG75" s="134">
        <f t="shared" si="15"/>
        <v>8927.0882180837252</v>
      </c>
      <c r="AH75" s="134">
        <f t="shared" si="15"/>
        <v>0</v>
      </c>
      <c r="AI75" s="134">
        <f t="shared" si="15"/>
        <v>2154.3455018344184</v>
      </c>
      <c r="AJ75" s="134">
        <f t="shared" si="15"/>
        <v>0</v>
      </c>
      <c r="AK75" s="134">
        <f t="shared" si="15"/>
        <v>3100.3150081195781</v>
      </c>
      <c r="AL75" s="134">
        <f t="shared" si="15"/>
        <v>0</v>
      </c>
      <c r="AM75" s="134">
        <f t="shared" si="15"/>
        <v>275536.56723362417</v>
      </c>
      <c r="AN75" s="134">
        <f t="shared" si="15"/>
        <v>0</v>
      </c>
      <c r="AO75" s="134">
        <f t="shared" si="15"/>
        <v>405234.32478734496</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539</v>
      </c>
    </row>
    <row r="80" spans="3:44" x14ac:dyDescent="0.25">
      <c r="F80" s="64" t="s">
        <v>535</v>
      </c>
      <c r="G80" s="64" t="s">
        <v>204</v>
      </c>
      <c r="H80" s="160">
        <f>SUM(X73:AB73) / SUM($X$73:$AB$75)</f>
        <v>4.7199730550286083E-2</v>
      </c>
    </row>
    <row r="81" spans="2:44" x14ac:dyDescent="0.25">
      <c r="F81" s="28" t="s">
        <v>536</v>
      </c>
      <c r="G81" s="28" t="s">
        <v>204</v>
      </c>
      <c r="H81" s="84">
        <f>SUM(X74:AB74) / SUM($X$73:$AB$75)</f>
        <v>0.18839751765688159</v>
      </c>
    </row>
    <row r="82" spans="2:44" x14ac:dyDescent="0.25">
      <c r="F82" s="67" t="s">
        <v>314</v>
      </c>
      <c r="G82" s="67" t="s">
        <v>204</v>
      </c>
      <c r="H82" s="161">
        <f>SUM(X75:AB75) / SUM($X$73:$AB$75)</f>
        <v>0.76440275179283235</v>
      </c>
    </row>
    <row r="84" spans="2:44" x14ac:dyDescent="0.25">
      <c r="E84" s="28" t="s">
        <v>540</v>
      </c>
      <c r="F84" s="28"/>
      <c r="G84" s="28" t="s">
        <v>184</v>
      </c>
      <c r="H84" s="101">
        <f>X29</f>
        <v>255</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541</v>
      </c>
      <c r="G88" t="s">
        <v>343</v>
      </c>
      <c r="H88" s="92"/>
      <c r="I88" s="92"/>
      <c r="J88" s="92">
        <f t="shared" ref="J88:AP88" si="16">J70 * hours_in_year / J29</f>
        <v>1.4959893262665087</v>
      </c>
      <c r="K88" s="92">
        <f t="shared" si="16"/>
        <v>1.1597849873187691</v>
      </c>
      <c r="L88" s="92">
        <f t="shared" si="16"/>
        <v>0.50742201360536987</v>
      </c>
      <c r="M88" s="92">
        <f t="shared" si="16"/>
        <v>1.3041512632914665</v>
      </c>
      <c r="N88" s="92">
        <f t="shared" si="16"/>
        <v>1.107483636137657</v>
      </c>
      <c r="O88" s="92">
        <f t="shared" si="16"/>
        <v>0.17799304224048035</v>
      </c>
      <c r="P88" s="92">
        <f t="shared" si="16"/>
        <v>1.1717184410289319</v>
      </c>
      <c r="Q88" s="92">
        <f t="shared" si="16"/>
        <v>1.503875172732609</v>
      </c>
      <c r="R88" s="92">
        <f t="shared" si="16"/>
        <v>1.1222278236380046</v>
      </c>
      <c r="S88" s="92">
        <f t="shared" si="16"/>
        <v>1.208650174221102</v>
      </c>
      <c r="T88" s="92">
        <f t="shared" si="16"/>
        <v>1.208928034340703</v>
      </c>
      <c r="U88" s="92">
        <f t="shared" si="16"/>
        <v>1.1981493471993327</v>
      </c>
      <c r="V88" s="92">
        <f t="shared" si="16"/>
        <v>1.1904495505193258</v>
      </c>
      <c r="W88" s="92">
        <f t="shared" si="16"/>
        <v>1.0858501493169612</v>
      </c>
      <c r="X88" s="92">
        <f t="shared" si="16"/>
        <v>1.0108432444015867</v>
      </c>
      <c r="Y88" s="92">
        <f t="shared" si="16"/>
        <v>1.7387169197299819</v>
      </c>
      <c r="Z88" s="92">
        <f t="shared" si="16"/>
        <v>3.2245228969077768</v>
      </c>
      <c r="AA88" s="92">
        <f t="shared" si="16"/>
        <v>0.30226143065406452</v>
      </c>
      <c r="AB88" s="92">
        <f t="shared" si="16"/>
        <v>1.7386639444200243</v>
      </c>
      <c r="AC88" s="92">
        <f t="shared" si="16"/>
        <v>1</v>
      </c>
      <c r="AD88" s="92">
        <f t="shared" si="16"/>
        <v>0</v>
      </c>
      <c r="AE88" s="92">
        <f t="shared" si="16"/>
        <v>1</v>
      </c>
      <c r="AF88" s="92">
        <f t="shared" si="16"/>
        <v>0</v>
      </c>
      <c r="AG88" s="92">
        <f t="shared" si="16"/>
        <v>1.0399262558622178</v>
      </c>
      <c r="AH88" s="92">
        <f t="shared" si="16"/>
        <v>0</v>
      </c>
      <c r="AI88" s="92">
        <f t="shared" si="16"/>
        <v>1</v>
      </c>
      <c r="AJ88" s="92">
        <f t="shared" si="16"/>
        <v>0</v>
      </c>
      <c r="AK88" s="92">
        <f t="shared" si="16"/>
        <v>0.96514535154505421</v>
      </c>
      <c r="AL88" s="92">
        <f t="shared" si="16"/>
        <v>0</v>
      </c>
      <c r="AM88" s="92">
        <f t="shared" si="16"/>
        <v>1</v>
      </c>
      <c r="AN88" s="92">
        <f t="shared" si="16"/>
        <v>0</v>
      </c>
      <c r="AO88" s="92">
        <f t="shared" si="16"/>
        <v>1.3867573205523152</v>
      </c>
      <c r="AP88" s="92">
        <f t="shared" si="16"/>
        <v>0</v>
      </c>
    </row>
    <row r="89" spans="2:44" x14ac:dyDescent="0.25">
      <c r="E89" t="s">
        <v>542</v>
      </c>
      <c r="G89" t="s">
        <v>343</v>
      </c>
      <c r="H89" s="92">
        <f>H80 * hours_in_year / H84</f>
        <v>1.6214495671392395</v>
      </c>
      <c r="I89" s="92" t="s">
        <v>191</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543</v>
      </c>
    </row>
    <row r="90" spans="2:44" x14ac:dyDescent="0.25">
      <c r="E90" t="s">
        <v>544</v>
      </c>
      <c r="G90" t="s">
        <v>343</v>
      </c>
      <c r="H90" s="92"/>
      <c r="I90" s="92"/>
      <c r="J90" s="92">
        <f t="shared" ref="J90:AP90" si="17">IF(J24, $H89, J88)</f>
        <v>1.4959893262665087</v>
      </c>
      <c r="K90" s="92">
        <f t="shared" si="17"/>
        <v>1.1597849873187691</v>
      </c>
      <c r="L90" s="92">
        <f t="shared" si="17"/>
        <v>0.50742201360536987</v>
      </c>
      <c r="M90" s="92">
        <f t="shared" si="17"/>
        <v>1.3041512632914665</v>
      </c>
      <c r="N90" s="92">
        <f t="shared" si="17"/>
        <v>1.107483636137657</v>
      </c>
      <c r="O90" s="92">
        <f t="shared" si="17"/>
        <v>0.17799304224048035</v>
      </c>
      <c r="P90" s="92">
        <f t="shared" si="17"/>
        <v>1.1717184410289319</v>
      </c>
      <c r="Q90" s="92">
        <f t="shared" si="17"/>
        <v>1.503875172732609</v>
      </c>
      <c r="R90" s="92">
        <f t="shared" si="17"/>
        <v>1.1222278236380046</v>
      </c>
      <c r="S90" s="92">
        <f t="shared" si="17"/>
        <v>1.208650174221102</v>
      </c>
      <c r="T90" s="92">
        <f t="shared" si="17"/>
        <v>1.208928034340703</v>
      </c>
      <c r="U90" s="92">
        <f t="shared" si="17"/>
        <v>1.1981493471993327</v>
      </c>
      <c r="V90" s="92">
        <f t="shared" si="17"/>
        <v>1.1904495505193258</v>
      </c>
      <c r="W90" s="92">
        <f t="shared" si="17"/>
        <v>1.0858501493169612</v>
      </c>
      <c r="X90" s="92">
        <f t="shared" si="17"/>
        <v>1.6214495671392395</v>
      </c>
      <c r="Y90" s="92">
        <f t="shared" si="17"/>
        <v>1.6214495671392395</v>
      </c>
      <c r="Z90" s="92">
        <f t="shared" si="17"/>
        <v>1.6214495671392395</v>
      </c>
      <c r="AA90" s="92">
        <f t="shared" si="17"/>
        <v>1.6214495671392395</v>
      </c>
      <c r="AB90" s="92">
        <f t="shared" si="17"/>
        <v>1.6214495671392395</v>
      </c>
      <c r="AC90" s="92">
        <f t="shared" si="17"/>
        <v>1</v>
      </c>
      <c r="AD90" s="92">
        <f t="shared" si="17"/>
        <v>0</v>
      </c>
      <c r="AE90" s="92">
        <f t="shared" si="17"/>
        <v>1</v>
      </c>
      <c r="AF90" s="92">
        <f t="shared" si="17"/>
        <v>0</v>
      </c>
      <c r="AG90" s="92">
        <f t="shared" si="17"/>
        <v>1.0399262558622178</v>
      </c>
      <c r="AH90" s="92">
        <f t="shared" si="17"/>
        <v>0</v>
      </c>
      <c r="AI90" s="92">
        <f t="shared" si="17"/>
        <v>1</v>
      </c>
      <c r="AJ90" s="92">
        <f t="shared" si="17"/>
        <v>0</v>
      </c>
      <c r="AK90" s="92">
        <f t="shared" si="17"/>
        <v>0.96514535154505421</v>
      </c>
      <c r="AL90" s="92">
        <f t="shared" si="17"/>
        <v>0</v>
      </c>
      <c r="AM90" s="92">
        <f t="shared" si="17"/>
        <v>1</v>
      </c>
      <c r="AN90" s="92">
        <f t="shared" si="17"/>
        <v>0</v>
      </c>
      <c r="AO90" s="92">
        <f t="shared" si="17"/>
        <v>1.3867573205523152</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545</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546</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292</v>
      </c>
      <c r="G98" s="28" t="s">
        <v>204</v>
      </c>
      <c r="J98" s="25">
        <f>'Inputs by customer type'!J15</f>
        <v>0.41407872498730502</v>
      </c>
      <c r="K98" s="25">
        <f>'Inputs by customer type'!K15</f>
        <v>0.49248975388733579</v>
      </c>
      <c r="L98" s="25">
        <f>'Inputs by customer type'!L15</f>
        <v>0.14305577157852312</v>
      </c>
      <c r="M98" s="25">
        <f>'Inputs by customer type'!M15</f>
        <v>0.34609457148438277</v>
      </c>
      <c r="N98" s="25">
        <f>'Inputs by customer type'!N15</f>
        <v>0.49545703656924811</v>
      </c>
      <c r="O98" s="25">
        <f>'Inputs by customer type'!O15</f>
        <v>0.24100502718886166</v>
      </c>
      <c r="P98" s="25">
        <f>'Inputs by customer type'!P15</f>
        <v>0.49840423475127543</v>
      </c>
      <c r="Q98" s="25">
        <f>'Inputs by customer type'!Q15</f>
        <v>0.49840423475127543</v>
      </c>
      <c r="R98" s="25">
        <f>'Inputs by customer type'!R15</f>
        <v>0.45245269166658703</v>
      </c>
      <c r="S98" s="25">
        <f>'Inputs by customer type'!S15</f>
        <v>0.43865363928278661</v>
      </c>
      <c r="T98" s="25">
        <f>'Inputs by customer type'!T15</f>
        <v>0.43823771268620382</v>
      </c>
      <c r="U98" s="25">
        <f>'Inputs by customer type'!U15</f>
        <v>0.54894368430984619</v>
      </c>
      <c r="V98" s="25">
        <f>'Inputs by customer type'!V15</f>
        <v>0.5869018049531709</v>
      </c>
      <c r="W98" s="25">
        <f>'Inputs by customer type'!W15</f>
        <v>0.71829507571907503</v>
      </c>
      <c r="X98" s="25">
        <f>'Inputs by customer type'!X15</f>
        <v>0.99999999999989286</v>
      </c>
      <c r="Y98" s="25">
        <f>'Inputs by customer type'!Y15</f>
        <v>0.47339376284943491</v>
      </c>
      <c r="Z98" s="25">
        <f>'Inputs by customer type'!Z15</f>
        <v>0.26105460677253245</v>
      </c>
      <c r="AA98" s="25">
        <f>'Inputs by customer type'!AA15</f>
        <v>0.51369285328412573</v>
      </c>
      <c r="AB98" s="25">
        <f>'Inputs by customer type'!AB15</f>
        <v>0.44099130198956971</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294</v>
      </c>
      <c r="G99" s="28" t="s">
        <v>204</v>
      </c>
      <c r="J99" s="25">
        <f>'Inputs by customer type'!J16</f>
        <v>0.92367240367563086</v>
      </c>
      <c r="K99" s="25">
        <f>'Inputs by customer type'!K16</f>
        <v>0.9075472005377071</v>
      </c>
      <c r="L99" s="25">
        <f>'Inputs by customer type'!L16</f>
        <v>0</v>
      </c>
      <c r="M99" s="25">
        <f>'Inputs by customer type'!M16</f>
        <v>0.61692796143931661</v>
      </c>
      <c r="N99" s="25">
        <f>'Inputs by customer type'!N16</f>
        <v>0.79655092022147578</v>
      </c>
      <c r="O99" s="25">
        <f>'Inputs by customer type'!O16</f>
        <v>0</v>
      </c>
      <c r="P99" s="25">
        <f>'Inputs by customer type'!P16</f>
        <v>0.76849866998234573</v>
      </c>
      <c r="Q99" s="25">
        <f>'Inputs by customer type'!Q16</f>
        <v>0.76849866998234573</v>
      </c>
      <c r="R99" s="25">
        <f>'Inputs by customer type'!R16</f>
        <v>0.71161920281123192</v>
      </c>
      <c r="S99" s="25">
        <f>'Inputs by customer type'!S16</f>
        <v>0.91770070036425977</v>
      </c>
      <c r="T99" s="25">
        <f>'Inputs by customer type'!T16</f>
        <v>0.7286543398258174</v>
      </c>
      <c r="U99" s="25">
        <f>'Inputs by customer type'!U16</f>
        <v>0.77765575918340302</v>
      </c>
      <c r="V99" s="25">
        <f>'Inputs by customer type'!V16</f>
        <v>0.80937096609958281</v>
      </c>
      <c r="W99" s="25">
        <f>'Inputs by customer type'!W16</f>
        <v>0.81197577048147129</v>
      </c>
      <c r="X99" s="25">
        <f>'Inputs by customer type'!X16</f>
        <v>1</v>
      </c>
      <c r="Y99" s="25">
        <f>'Inputs by customer type'!Y16</f>
        <v>1</v>
      </c>
      <c r="Z99" s="25">
        <f>'Inputs by customer type'!Z16</f>
        <v>1</v>
      </c>
      <c r="AA99" s="25">
        <f>'Inputs by customer type'!AA16</f>
        <v>2.8444444444444443E-4</v>
      </c>
      <c r="AB99" s="25">
        <f>'Inputs by customer type'!AB16</f>
        <v>0.93776475529294456</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547</v>
      </c>
      <c r="X103" s="63"/>
      <c r="Y103" s="63"/>
      <c r="Z103" s="63"/>
      <c r="AA103" s="63"/>
      <c r="AB103" s="63"/>
      <c r="AC103" s="63"/>
    </row>
    <row r="104" spans="3:44" x14ac:dyDescent="0.25">
      <c r="D104" s="32"/>
      <c r="X104" s="63"/>
      <c r="Y104" s="63"/>
      <c r="Z104" s="63"/>
      <c r="AA104" s="63"/>
      <c r="AB104" s="63"/>
      <c r="AC104" s="63"/>
    </row>
    <row r="105" spans="3:44" x14ac:dyDescent="0.25">
      <c r="E105" t="s">
        <v>548</v>
      </c>
      <c r="G105" t="s">
        <v>209</v>
      </c>
      <c r="J105" s="79"/>
      <c r="K105" s="79"/>
      <c r="L105" s="79"/>
      <c r="M105" s="79"/>
      <c r="N105" s="79"/>
      <c r="O105" s="79"/>
      <c r="P105" s="79"/>
      <c r="Q105" s="79"/>
      <c r="R105" s="79"/>
      <c r="S105" s="79"/>
      <c r="T105" s="79"/>
      <c r="U105" s="79"/>
      <c r="V105" s="79"/>
      <c r="W105" s="79"/>
      <c r="X105" s="101">
        <f>X39 / hours_in_year</f>
        <v>3.3266016583771281</v>
      </c>
      <c r="Y105" s="101">
        <f>Y39 / hours_in_year</f>
        <v>2.6137231684332747</v>
      </c>
      <c r="Z105" s="101">
        <f>Z39 / hours_in_year</f>
        <v>4.5136641851302971E-2</v>
      </c>
      <c r="AA105" s="101">
        <f>AA39 / hours_in_year</f>
        <v>0.87694915744007629</v>
      </c>
      <c r="AB105" s="101">
        <f>AB39 / hours_in_year</f>
        <v>23.966711701128368</v>
      </c>
      <c r="AC105" s="79"/>
      <c r="AD105" s="79"/>
      <c r="AE105" s="79"/>
      <c r="AF105" s="79"/>
      <c r="AG105" s="79"/>
      <c r="AH105" s="79"/>
      <c r="AI105" s="79"/>
      <c r="AJ105" s="79"/>
      <c r="AK105" s="79"/>
      <c r="AL105" s="79"/>
      <c r="AM105" s="79"/>
      <c r="AN105" s="79"/>
      <c r="AO105" s="79"/>
      <c r="AP105" s="79"/>
    </row>
    <row r="106" spans="3:44" x14ac:dyDescent="0.25">
      <c r="E106" t="s">
        <v>549</v>
      </c>
      <c r="G106" t="s">
        <v>209</v>
      </c>
      <c r="J106" s="79"/>
      <c r="K106" s="79"/>
      <c r="L106" s="79"/>
      <c r="M106" s="79"/>
      <c r="N106" s="79"/>
      <c r="O106" s="79"/>
      <c r="P106" s="79"/>
      <c r="Q106" s="79"/>
      <c r="R106" s="79"/>
      <c r="S106" s="79"/>
      <c r="T106" s="79"/>
      <c r="U106" s="79"/>
      <c r="V106" s="79"/>
      <c r="W106" s="79"/>
      <c r="X106" s="92">
        <f>IF(X98 = 0, 0, X39 / (X98 * hours_in_year))</f>
        <v>3.3266016583774847</v>
      </c>
      <c r="Y106" s="92">
        <f>IF(Y98 = 0, 0, Y39 / (Y98 * hours_in_year))</f>
        <v>5.5212454695238167</v>
      </c>
      <c r="Z106" s="92">
        <f>IF(Z98 = 0, 0, Z39 / (Z98 * hours_in_year))</f>
        <v>0.17290115048853505</v>
      </c>
      <c r="AA106" s="92">
        <f>IF(AA98 = 0, 0, AA39 / (AA98 * hours_in_year))</f>
        <v>1.7071468910528758</v>
      </c>
      <c r="AB106" s="92">
        <f>IF(AB98 = 0, 0, AB39 / (AB98 * hours_in_year))</f>
        <v>54.347356950126937</v>
      </c>
      <c r="AC106" s="79"/>
      <c r="AD106" s="79"/>
      <c r="AE106" s="79"/>
      <c r="AF106" s="79"/>
      <c r="AG106" s="79"/>
      <c r="AH106" s="79"/>
      <c r="AI106" s="79"/>
      <c r="AJ106" s="79"/>
      <c r="AK106" s="79"/>
      <c r="AL106" s="79"/>
      <c r="AM106" s="79"/>
      <c r="AN106" s="79"/>
      <c r="AO106" s="79"/>
      <c r="AP106" s="79"/>
    </row>
    <row r="107" spans="3:44" x14ac:dyDescent="0.25">
      <c r="E107" t="s">
        <v>550</v>
      </c>
      <c r="G107" t="s">
        <v>209</v>
      </c>
      <c r="J107" s="79"/>
      <c r="K107" s="79"/>
      <c r="L107" s="79"/>
      <c r="M107" s="79"/>
      <c r="N107" s="79"/>
      <c r="O107" s="79"/>
      <c r="P107" s="79"/>
      <c r="Q107" s="79"/>
      <c r="R107" s="79"/>
      <c r="S107" s="79"/>
      <c r="T107" s="79"/>
      <c r="U107" s="79"/>
      <c r="V107" s="79"/>
      <c r="W107" s="79"/>
      <c r="X107" s="92">
        <f>X106 * X99</f>
        <v>3.3266016583774847</v>
      </c>
      <c r="Y107" s="92">
        <f>Y106 * Y99</f>
        <v>5.5212454695238167</v>
      </c>
      <c r="Z107" s="92">
        <f>Z106 * Z99</f>
        <v>0.17290115048853505</v>
      </c>
      <c r="AA107" s="92">
        <f>AA106 * AA99</f>
        <v>4.8558844901059575E-4</v>
      </c>
      <c r="AB107" s="92">
        <f>AB106 * AB99</f>
        <v>50.965035891154095</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551</v>
      </c>
    </row>
    <row r="110" spans="3:44" x14ac:dyDescent="0.25">
      <c r="D110" s="32"/>
    </row>
    <row r="111" spans="3:44" x14ac:dyDescent="0.25">
      <c r="E111" t="s">
        <v>292</v>
      </c>
      <c r="G111" t="s">
        <v>204</v>
      </c>
      <c r="H111" s="84">
        <f>SUM(X105:AB105) / SUM(X106:AB106)</f>
        <v>0.47374572242278123</v>
      </c>
    </row>
    <row r="112" spans="3:44" x14ac:dyDescent="0.25">
      <c r="E112" t="s">
        <v>294</v>
      </c>
      <c r="G112" t="s">
        <v>204</v>
      </c>
      <c r="H112" s="84">
        <f>SUM(X107:AB107) / SUM(X106:AB106)</f>
        <v>0.92179849949369097</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552</v>
      </c>
      <c r="G116" s="28" t="s">
        <v>343</v>
      </c>
      <c r="J116" s="101">
        <f t="shared" ref="J116:AP116" si="18">IF(AND(J98 = 0, J99 = 0), 1, J99 / J98)</f>
        <v>2.230668585312972</v>
      </c>
      <c r="K116" s="101">
        <f t="shared" si="18"/>
        <v>1.8427737701631894</v>
      </c>
      <c r="L116" s="101">
        <f t="shared" si="18"/>
        <v>0</v>
      </c>
      <c r="M116" s="101">
        <f t="shared" si="18"/>
        <v>1.7825415717829454</v>
      </c>
      <c r="N116" s="101">
        <f t="shared" si="18"/>
        <v>1.6077093701950986</v>
      </c>
      <c r="O116" s="101">
        <f t="shared" si="18"/>
        <v>0</v>
      </c>
      <c r="P116" s="101">
        <f t="shared" si="18"/>
        <v>1.5419184196255049</v>
      </c>
      <c r="Q116" s="101">
        <f t="shared" si="18"/>
        <v>1.5419184196255049</v>
      </c>
      <c r="R116" s="101">
        <f t="shared" si="18"/>
        <v>1.5728035569641943</v>
      </c>
      <c r="S116" s="101">
        <f t="shared" si="18"/>
        <v>2.0920850032493314</v>
      </c>
      <c r="T116" s="101">
        <f t="shared" si="18"/>
        <v>1.6626920019262783</v>
      </c>
      <c r="U116" s="101">
        <f t="shared" si="18"/>
        <v>1.4166403247012538</v>
      </c>
      <c r="V116" s="101">
        <f t="shared" si="18"/>
        <v>1.3790568699378303</v>
      </c>
      <c r="W116" s="101">
        <f t="shared" si="18"/>
        <v>1.1304209062948314</v>
      </c>
      <c r="X116" s="101">
        <f t="shared" si="18"/>
        <v>1.000000000000107</v>
      </c>
      <c r="Y116" s="101">
        <f t="shared" si="18"/>
        <v>2.1124063696590247</v>
      </c>
      <c r="Z116" s="101">
        <f t="shared" si="18"/>
        <v>3.8306161778303376</v>
      </c>
      <c r="AA116" s="101">
        <f t="shared" si="18"/>
        <v>5.5372474548933813E-4</v>
      </c>
      <c r="AB116" s="101">
        <f t="shared" si="18"/>
        <v>2.1264926338958143</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553</v>
      </c>
      <c r="G117" s="28" t="s">
        <v>343</v>
      </c>
      <c r="H117" s="92">
        <f>H112 / H111</f>
        <v>1.9457663802841842</v>
      </c>
      <c r="I117" t="s">
        <v>191</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554</v>
      </c>
    </row>
    <row r="118" spans="2:44" x14ac:dyDescent="0.25">
      <c r="E118" s="28" t="s">
        <v>555</v>
      </c>
      <c r="G118" s="28" t="s">
        <v>343</v>
      </c>
      <c r="J118" s="92">
        <f t="shared" ref="J118:AP118" si="19">IF(J$24, $H117, J116)</f>
        <v>2.230668585312972</v>
      </c>
      <c r="K118" s="92">
        <f t="shared" si="19"/>
        <v>1.8427737701631894</v>
      </c>
      <c r="L118" s="92">
        <f t="shared" si="19"/>
        <v>0</v>
      </c>
      <c r="M118" s="92">
        <f t="shared" si="19"/>
        <v>1.7825415717829454</v>
      </c>
      <c r="N118" s="92">
        <f t="shared" si="19"/>
        <v>1.6077093701950986</v>
      </c>
      <c r="O118" s="92">
        <f t="shared" si="19"/>
        <v>0</v>
      </c>
      <c r="P118" s="92">
        <f t="shared" si="19"/>
        <v>1.5419184196255049</v>
      </c>
      <c r="Q118" s="92">
        <f t="shared" si="19"/>
        <v>1.5419184196255049</v>
      </c>
      <c r="R118" s="92">
        <f t="shared" si="19"/>
        <v>1.5728035569641943</v>
      </c>
      <c r="S118" s="92">
        <f t="shared" si="19"/>
        <v>2.0920850032493314</v>
      </c>
      <c r="T118" s="92">
        <f t="shared" si="19"/>
        <v>1.6626920019262783</v>
      </c>
      <c r="U118" s="92">
        <f t="shared" si="19"/>
        <v>1.4166403247012538</v>
      </c>
      <c r="V118" s="92">
        <f t="shared" si="19"/>
        <v>1.3790568699378303</v>
      </c>
      <c r="W118" s="92">
        <f t="shared" si="19"/>
        <v>1.1304209062948314</v>
      </c>
      <c r="X118" s="92">
        <f t="shared" si="19"/>
        <v>1.9457663802841842</v>
      </c>
      <c r="Y118" s="92">
        <f t="shared" si="19"/>
        <v>1.9457663802841842</v>
      </c>
      <c r="Z118" s="92">
        <f t="shared" si="19"/>
        <v>1.9457663802841842</v>
      </c>
      <c r="AA118" s="92">
        <f t="shared" si="19"/>
        <v>1.9457663802841842</v>
      </c>
      <c r="AB118" s="92">
        <f t="shared" si="19"/>
        <v>1.9457663802841842</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556</v>
      </c>
      <c r="G120" s="28" t="s">
        <v>343</v>
      </c>
      <c r="J120" s="92">
        <f>IF(OR(J90 = 0, J99 = 0), 1, J118 / J90)</f>
        <v>1.4910992653135955</v>
      </c>
      <c r="K120" s="92">
        <f t="shared" ref="K120:AP120" si="20">IF(OR(K90 = 0, K99 = 0), 1, K118 / K90)</f>
        <v>1.5888925881196112</v>
      </c>
      <c r="L120" s="92">
        <f t="shared" si="20"/>
        <v>1</v>
      </c>
      <c r="M120" s="92">
        <f t="shared" si="20"/>
        <v>1.3668211824478851</v>
      </c>
      <c r="N120" s="92">
        <f t="shared" si="20"/>
        <v>1.4516777654629518</v>
      </c>
      <c r="O120" s="92">
        <f t="shared" si="20"/>
        <v>1</v>
      </c>
      <c r="P120" s="92">
        <f t="shared" si="20"/>
        <v>1.3159461911954597</v>
      </c>
      <c r="Q120" s="92">
        <f t="shared" si="20"/>
        <v>1.0252968115856116</v>
      </c>
      <c r="R120" s="92">
        <f t="shared" si="20"/>
        <v>1.4015011246696119</v>
      </c>
      <c r="S120" s="92">
        <f t="shared" si="20"/>
        <v>1.7309268205728319</v>
      </c>
      <c r="T120" s="92">
        <f t="shared" si="20"/>
        <v>1.375344069039675</v>
      </c>
      <c r="U120" s="92">
        <f t="shared" si="20"/>
        <v>1.1823570475689382</v>
      </c>
      <c r="V120" s="92">
        <f t="shared" si="20"/>
        <v>1.1584336936716266</v>
      </c>
      <c r="W120" s="92">
        <f t="shared" si="20"/>
        <v>1.0410468765012435</v>
      </c>
      <c r="X120" s="92">
        <f t="shared" si="20"/>
        <v>1.2000165899190711</v>
      </c>
      <c r="Y120" s="92">
        <f t="shared" si="20"/>
        <v>1.2000165899190711</v>
      </c>
      <c r="Z120" s="92">
        <f t="shared" si="20"/>
        <v>1.2000165899190711</v>
      </c>
      <c r="AA120" s="92">
        <f t="shared" si="20"/>
        <v>1.2000165899190711</v>
      </c>
      <c r="AB120" s="92">
        <f t="shared" si="20"/>
        <v>1.2000165899190711</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557</v>
      </c>
      <c r="G121" s="28" t="s">
        <v>343</v>
      </c>
      <c r="H121" s="92">
        <f>H117 / H89</f>
        <v>1.2000165899190711</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558</v>
      </c>
      <c r="G122" s="28" t="s">
        <v>343</v>
      </c>
      <c r="I122" t="s">
        <v>191</v>
      </c>
      <c r="J122" s="92">
        <f t="shared" ref="J122:AP122" si="21">IF(J$24, $H121, J120)</f>
        <v>1.4910992653135955</v>
      </c>
      <c r="K122" s="92">
        <f t="shared" si="21"/>
        <v>1.5888925881196112</v>
      </c>
      <c r="L122" s="92">
        <f t="shared" si="21"/>
        <v>1</v>
      </c>
      <c r="M122" s="92">
        <f t="shared" si="21"/>
        <v>1.3668211824478851</v>
      </c>
      <c r="N122" s="92">
        <f t="shared" si="21"/>
        <v>1.4516777654629518</v>
      </c>
      <c r="O122" s="92">
        <f t="shared" si="21"/>
        <v>1</v>
      </c>
      <c r="P122" s="92">
        <f t="shared" si="21"/>
        <v>1.3159461911954597</v>
      </c>
      <c r="Q122" s="92">
        <f t="shared" si="21"/>
        <v>1.0252968115856116</v>
      </c>
      <c r="R122" s="92">
        <f t="shared" si="21"/>
        <v>1.4015011246696119</v>
      </c>
      <c r="S122" s="92">
        <f t="shared" si="21"/>
        <v>1.7309268205728319</v>
      </c>
      <c r="T122" s="92">
        <f t="shared" si="21"/>
        <v>1.375344069039675</v>
      </c>
      <c r="U122" s="92">
        <f t="shared" si="21"/>
        <v>1.1823570475689382</v>
      </c>
      <c r="V122" s="92">
        <f t="shared" si="21"/>
        <v>1.1584336936716266</v>
      </c>
      <c r="W122" s="92">
        <f t="shared" si="21"/>
        <v>1.0410468765012435</v>
      </c>
      <c r="X122" s="92">
        <f t="shared" si="21"/>
        <v>1.2000165899190711</v>
      </c>
      <c r="Y122" s="92">
        <f t="shared" si="21"/>
        <v>1.2000165899190711</v>
      </c>
      <c r="Z122" s="92">
        <f t="shared" si="21"/>
        <v>1.2000165899190711</v>
      </c>
      <c r="AA122" s="92">
        <f t="shared" si="21"/>
        <v>1.2000165899190711</v>
      </c>
      <c r="AB122" s="92">
        <f t="shared" si="21"/>
        <v>1.2000165899190711</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559</v>
      </c>
    </row>
    <row r="123" spans="2:44" x14ac:dyDescent="0.25">
      <c r="F123" s="28"/>
      <c r="G123" s="28"/>
    </row>
    <row r="124" spans="2:44" x14ac:dyDescent="0.25">
      <c r="B124" s="107" t="s">
        <v>560</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191</v>
      </c>
      <c r="AR125" t="s">
        <v>561</v>
      </c>
    </row>
    <row r="126" spans="2:44" x14ac:dyDescent="0.25">
      <c r="C126" s="29" t="s">
        <v>562</v>
      </c>
    </row>
    <row r="127" spans="2:44" x14ac:dyDescent="0.25">
      <c r="C127" s="29" t="s">
        <v>563</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564</v>
      </c>
      <c r="G131" s="28"/>
    </row>
    <row r="132" spans="3:44" x14ac:dyDescent="0.25">
      <c r="F132" s="78" t="s">
        <v>354</v>
      </c>
      <c r="G132" s="64" t="s">
        <v>204</v>
      </c>
      <c r="H132" s="110">
        <f>'Inputs by network level'!K40</f>
        <v>0.88925081433224751</v>
      </c>
    </row>
    <row r="133" spans="3:44" x14ac:dyDescent="0.25">
      <c r="F133" s="72" t="s">
        <v>355</v>
      </c>
      <c r="G133" s="28" t="s">
        <v>204</v>
      </c>
      <c r="H133" s="25">
        <f>'Inputs by network level'!K41</f>
        <v>0.11074918566775245</v>
      </c>
    </row>
    <row r="134" spans="3:44" x14ac:dyDescent="0.25">
      <c r="F134" s="80" t="s">
        <v>314</v>
      </c>
      <c r="G134" s="67" t="s">
        <v>204</v>
      </c>
      <c r="H134" s="144">
        <f>'Inputs by network level'!K42</f>
        <v>0</v>
      </c>
    </row>
    <row r="135" spans="3:44" x14ac:dyDescent="0.25">
      <c r="F135" s="78" t="s">
        <v>356</v>
      </c>
      <c r="G135" s="64" t="s">
        <v>204</v>
      </c>
      <c r="H135" s="110">
        <f>'Inputs by network level'!K43</f>
        <v>0.77284281790892262</v>
      </c>
    </row>
    <row r="136" spans="3:44" x14ac:dyDescent="0.25">
      <c r="F136" s="72" t="s">
        <v>365</v>
      </c>
      <c r="G136" s="28" t="s">
        <v>204</v>
      </c>
      <c r="H136" s="160">
        <f>SUM(H132:H133) - H135</f>
        <v>0.22715718209107738</v>
      </c>
    </row>
    <row r="137" spans="3:44" x14ac:dyDescent="0.25">
      <c r="F137" s="80" t="s">
        <v>314</v>
      </c>
      <c r="G137" s="67" t="s">
        <v>204</v>
      </c>
      <c r="H137" s="162">
        <f>H134</f>
        <v>0</v>
      </c>
    </row>
    <row r="138" spans="3:44" x14ac:dyDescent="0.25">
      <c r="F138" s="29"/>
      <c r="G138" s="28"/>
    </row>
    <row r="139" spans="3:44" x14ac:dyDescent="0.25">
      <c r="E139" s="32" t="s">
        <v>565</v>
      </c>
      <c r="G139" s="28"/>
    </row>
    <row r="140" spans="3:44" x14ac:dyDescent="0.25">
      <c r="F140" s="78" t="s">
        <v>535</v>
      </c>
      <c r="G140" s="64" t="s">
        <v>204</v>
      </c>
      <c r="H140" s="110">
        <f>'Inputs by network level'!L40</f>
        <v>0.77342304201310019</v>
      </c>
    </row>
    <row r="141" spans="3:44" x14ac:dyDescent="0.25">
      <c r="F141" s="72" t="s">
        <v>536</v>
      </c>
      <c r="G141" s="28" t="s">
        <v>204</v>
      </c>
      <c r="H141" s="25">
        <f>'Inputs by network level'!L41</f>
        <v>0.21193915344884084</v>
      </c>
    </row>
    <row r="142" spans="3:44" x14ac:dyDescent="0.25">
      <c r="F142" s="80" t="s">
        <v>314</v>
      </c>
      <c r="G142" s="67" t="s">
        <v>204</v>
      </c>
      <c r="H142" s="144">
        <f>'Inputs by network level'!L42</f>
        <v>1.4637804538059027E-2</v>
      </c>
    </row>
    <row r="143" spans="3:44" x14ac:dyDescent="0.25">
      <c r="F143" s="78" t="s">
        <v>356</v>
      </c>
      <c r="G143" s="64" t="s">
        <v>204</v>
      </c>
      <c r="H143" s="110">
        <f>'Inputs by network level'!L43</f>
        <v>0.74424444907551823</v>
      </c>
    </row>
    <row r="144" spans="3:44" x14ac:dyDescent="0.25">
      <c r="F144" s="72" t="s">
        <v>365</v>
      </c>
      <c r="G144" s="28" t="s">
        <v>204</v>
      </c>
      <c r="H144" s="160">
        <f>SUM(H140:H141) - H143</f>
        <v>0.2411177463864228</v>
      </c>
    </row>
    <row r="145" spans="5:8" x14ac:dyDescent="0.25">
      <c r="F145" s="80" t="s">
        <v>314</v>
      </c>
      <c r="G145" s="67" t="s">
        <v>204</v>
      </c>
      <c r="H145" s="162">
        <f>H142</f>
        <v>1.4637804538059027E-2</v>
      </c>
    </row>
    <row r="146" spans="5:8" x14ac:dyDescent="0.25">
      <c r="F146" s="29"/>
      <c r="G146" s="28"/>
    </row>
    <row r="147" spans="5:8" x14ac:dyDescent="0.25">
      <c r="E147" s="32" t="s">
        <v>566</v>
      </c>
      <c r="G147" s="28"/>
    </row>
    <row r="148" spans="5:8" x14ac:dyDescent="0.25">
      <c r="F148" s="78" t="s">
        <v>535</v>
      </c>
      <c r="G148" s="64" t="s">
        <v>204</v>
      </c>
      <c r="H148" s="110">
        <f>'Inputs by network level'!M40</f>
        <v>0.77342304201310019</v>
      </c>
    </row>
    <row r="149" spans="5:8" x14ac:dyDescent="0.25">
      <c r="F149" s="72" t="s">
        <v>536</v>
      </c>
      <c r="G149" s="28" t="s">
        <v>204</v>
      </c>
      <c r="H149" s="25">
        <f>'Inputs by network level'!M41</f>
        <v>0.21193915344884084</v>
      </c>
    </row>
    <row r="150" spans="5:8" x14ac:dyDescent="0.25">
      <c r="F150" s="80" t="s">
        <v>314</v>
      </c>
      <c r="G150" s="67" t="s">
        <v>204</v>
      </c>
      <c r="H150" s="144">
        <f>'Inputs by network level'!M42</f>
        <v>1.4637804538059027E-2</v>
      </c>
    </row>
    <row r="151" spans="5:8" x14ac:dyDescent="0.25">
      <c r="F151" s="78" t="s">
        <v>356</v>
      </c>
      <c r="G151" s="64" t="s">
        <v>204</v>
      </c>
      <c r="H151" s="110">
        <f>'Inputs by network level'!M43</f>
        <v>0.74424444907551823</v>
      </c>
    </row>
    <row r="152" spans="5:8" x14ac:dyDescent="0.25">
      <c r="F152" s="72" t="s">
        <v>365</v>
      </c>
      <c r="G152" s="28" t="s">
        <v>204</v>
      </c>
      <c r="H152" s="160">
        <f>SUM(H148:H149) - H151</f>
        <v>0.2411177463864228</v>
      </c>
    </row>
    <row r="153" spans="5:8" x14ac:dyDescent="0.25">
      <c r="F153" s="80" t="s">
        <v>314</v>
      </c>
      <c r="G153" s="67" t="s">
        <v>204</v>
      </c>
      <c r="H153" s="162">
        <f>H150</f>
        <v>1.4637804538059027E-2</v>
      </c>
    </row>
    <row r="154" spans="5:8" x14ac:dyDescent="0.25">
      <c r="F154" s="29"/>
      <c r="G154" s="28"/>
    </row>
    <row r="155" spans="5:8" x14ac:dyDescent="0.25">
      <c r="E155" s="32" t="s">
        <v>567</v>
      </c>
      <c r="G155" s="28"/>
    </row>
    <row r="156" spans="5:8" x14ac:dyDescent="0.25">
      <c r="F156" s="78" t="s">
        <v>535</v>
      </c>
      <c r="G156" s="64" t="s">
        <v>204</v>
      </c>
      <c r="H156" s="110">
        <f>'Inputs by network level'!N40</f>
        <v>0.64991237301101812</v>
      </c>
    </row>
    <row r="157" spans="5:8" x14ac:dyDescent="0.25">
      <c r="F157" s="72" t="s">
        <v>536</v>
      </c>
      <c r="G157" s="28" t="s">
        <v>204</v>
      </c>
      <c r="H157" s="25">
        <f>'Inputs by network level'!N41</f>
        <v>0.30891882546720989</v>
      </c>
    </row>
    <row r="158" spans="5:8" x14ac:dyDescent="0.25">
      <c r="F158" s="80" t="s">
        <v>314</v>
      </c>
      <c r="G158" s="67" t="s">
        <v>204</v>
      </c>
      <c r="H158" s="144">
        <f>'Inputs by network level'!N42</f>
        <v>4.1168801521771874E-2</v>
      </c>
    </row>
    <row r="159" spans="5:8" x14ac:dyDescent="0.25">
      <c r="F159" s="78" t="s">
        <v>356</v>
      </c>
      <c r="G159" s="64" t="s">
        <v>204</v>
      </c>
      <c r="H159" s="110">
        <f>'Inputs by network level'!N43</f>
        <v>0.6301860563682623</v>
      </c>
    </row>
    <row r="160" spans="5:8" x14ac:dyDescent="0.25">
      <c r="F160" s="72" t="s">
        <v>365</v>
      </c>
      <c r="G160" s="28" t="s">
        <v>204</v>
      </c>
      <c r="H160" s="160">
        <f>SUM(H156:H157) - H159</f>
        <v>0.32864514210996576</v>
      </c>
    </row>
    <row r="161" spans="5:8" x14ac:dyDescent="0.25">
      <c r="F161" s="80" t="s">
        <v>314</v>
      </c>
      <c r="G161" s="67" t="s">
        <v>204</v>
      </c>
      <c r="H161" s="162">
        <f>H158</f>
        <v>4.1168801521771874E-2</v>
      </c>
    </row>
    <row r="162" spans="5:8" x14ac:dyDescent="0.25">
      <c r="F162" s="29"/>
      <c r="G162" s="28"/>
    </row>
    <row r="163" spans="5:8" x14ac:dyDescent="0.25">
      <c r="E163" s="32" t="s">
        <v>568</v>
      </c>
      <c r="G163" s="28"/>
    </row>
    <row r="164" spans="5:8" x14ac:dyDescent="0.25">
      <c r="F164" s="78" t="s">
        <v>535</v>
      </c>
      <c r="G164" s="64" t="s">
        <v>204</v>
      </c>
      <c r="H164" s="110">
        <f>'Inputs by network level'!O40</f>
        <v>0.64991237301101812</v>
      </c>
    </row>
    <row r="165" spans="5:8" x14ac:dyDescent="0.25">
      <c r="F165" s="72" t="s">
        <v>536</v>
      </c>
      <c r="G165" s="28" t="s">
        <v>204</v>
      </c>
      <c r="H165" s="25">
        <f>'Inputs by network level'!O41</f>
        <v>0.30891882546720989</v>
      </c>
    </row>
    <row r="166" spans="5:8" x14ac:dyDescent="0.25">
      <c r="F166" s="80" t="s">
        <v>314</v>
      </c>
      <c r="G166" s="67" t="s">
        <v>204</v>
      </c>
      <c r="H166" s="144">
        <f>'Inputs by network level'!O42</f>
        <v>4.1168801521771874E-2</v>
      </c>
    </row>
    <row r="167" spans="5:8" x14ac:dyDescent="0.25">
      <c r="F167" s="78" t="s">
        <v>356</v>
      </c>
      <c r="G167" s="64" t="s">
        <v>204</v>
      </c>
      <c r="H167" s="110">
        <f>'Inputs by network level'!O43</f>
        <v>0.6301860563682623</v>
      </c>
    </row>
    <row r="168" spans="5:8" x14ac:dyDescent="0.25">
      <c r="F168" s="72" t="s">
        <v>365</v>
      </c>
      <c r="G168" s="28" t="s">
        <v>204</v>
      </c>
      <c r="H168" s="160">
        <f>SUM(H164:H165) - H167</f>
        <v>0.32864514210996576</v>
      </c>
    </row>
    <row r="169" spans="5:8" x14ac:dyDescent="0.25">
      <c r="F169" s="80" t="s">
        <v>314</v>
      </c>
      <c r="G169" s="67" t="s">
        <v>204</v>
      </c>
      <c r="H169" s="162">
        <f>H166</f>
        <v>4.1168801521771874E-2</v>
      </c>
    </row>
    <row r="170" spans="5:8" x14ac:dyDescent="0.25">
      <c r="F170" s="29"/>
      <c r="G170" s="28"/>
    </row>
    <row r="171" spans="5:8" x14ac:dyDescent="0.25">
      <c r="E171" s="32" t="s">
        <v>569</v>
      </c>
      <c r="G171" s="28"/>
    </row>
    <row r="172" spans="5:8" x14ac:dyDescent="0.25">
      <c r="F172" s="78" t="s">
        <v>535</v>
      </c>
      <c r="G172" s="64" t="s">
        <v>204</v>
      </c>
      <c r="H172" s="110">
        <f>'Inputs by network level'!P40</f>
        <v>0.77342304201310019</v>
      </c>
    </row>
    <row r="173" spans="5:8" x14ac:dyDescent="0.25">
      <c r="F173" s="72" t="s">
        <v>536</v>
      </c>
      <c r="G173" s="28" t="s">
        <v>204</v>
      </c>
      <c r="H173" s="25">
        <f>'Inputs by network level'!P41</f>
        <v>0.21193915344884084</v>
      </c>
    </row>
    <row r="174" spans="5:8" x14ac:dyDescent="0.25">
      <c r="F174" s="80" t="s">
        <v>314</v>
      </c>
      <c r="G174" s="67" t="s">
        <v>204</v>
      </c>
      <c r="H174" s="144">
        <f>'Inputs by network level'!P42</f>
        <v>1.4637804538059027E-2</v>
      </c>
    </row>
    <row r="175" spans="5:8" x14ac:dyDescent="0.25">
      <c r="F175" s="78" t="s">
        <v>356</v>
      </c>
      <c r="G175" s="64" t="s">
        <v>204</v>
      </c>
      <c r="H175" s="110">
        <f>'Inputs by network level'!P43</f>
        <v>0.74424444907551823</v>
      </c>
    </row>
    <row r="176" spans="5:8" x14ac:dyDescent="0.25">
      <c r="F176" s="72" t="s">
        <v>365</v>
      </c>
      <c r="G176" s="28" t="s">
        <v>204</v>
      </c>
      <c r="H176" s="160">
        <f>SUM(H172:H173) - H175</f>
        <v>0.2411177463864228</v>
      </c>
    </row>
    <row r="177" spans="5:8" x14ac:dyDescent="0.25">
      <c r="F177" s="80" t="s">
        <v>314</v>
      </c>
      <c r="G177" s="67" t="s">
        <v>204</v>
      </c>
      <c r="H177" s="162">
        <f>H174</f>
        <v>1.4637804538059027E-2</v>
      </c>
    </row>
    <row r="178" spans="5:8" x14ac:dyDescent="0.25">
      <c r="F178" s="29"/>
      <c r="G178" s="28"/>
    </row>
    <row r="179" spans="5:8" x14ac:dyDescent="0.25">
      <c r="E179" s="32" t="s">
        <v>570</v>
      </c>
      <c r="G179" s="28"/>
    </row>
    <row r="180" spans="5:8" x14ac:dyDescent="0.25">
      <c r="F180" s="78" t="s">
        <v>535</v>
      </c>
      <c r="G180" s="64" t="s">
        <v>204</v>
      </c>
      <c r="H180" s="110">
        <f>'Inputs by network level'!Q40</f>
        <v>0.64991237301101812</v>
      </c>
    </row>
    <row r="181" spans="5:8" x14ac:dyDescent="0.25">
      <c r="F181" s="72" t="s">
        <v>536</v>
      </c>
      <c r="G181" s="28" t="s">
        <v>204</v>
      </c>
      <c r="H181" s="25">
        <f>'Inputs by network level'!Q41</f>
        <v>0.30891882546720989</v>
      </c>
    </row>
    <row r="182" spans="5:8" x14ac:dyDescent="0.25">
      <c r="F182" s="80" t="s">
        <v>314</v>
      </c>
      <c r="G182" s="67" t="s">
        <v>204</v>
      </c>
      <c r="H182" s="144">
        <f>'Inputs by network level'!Q42</f>
        <v>4.1168801521771874E-2</v>
      </c>
    </row>
    <row r="183" spans="5:8" x14ac:dyDescent="0.25">
      <c r="F183" s="78" t="s">
        <v>356</v>
      </c>
      <c r="G183" s="64" t="s">
        <v>204</v>
      </c>
      <c r="H183" s="110">
        <f>'Inputs by network level'!Q43</f>
        <v>0.6301860563682623</v>
      </c>
    </row>
    <row r="184" spans="5:8" x14ac:dyDescent="0.25">
      <c r="F184" s="72" t="s">
        <v>365</v>
      </c>
      <c r="G184" s="28" t="s">
        <v>204</v>
      </c>
      <c r="H184" s="160">
        <f>SUM(H180:H181) - H183</f>
        <v>0.32864514210996576</v>
      </c>
    </row>
    <row r="185" spans="5:8" x14ac:dyDescent="0.25">
      <c r="F185" s="80" t="s">
        <v>314</v>
      </c>
      <c r="G185" s="67" t="s">
        <v>204</v>
      </c>
      <c r="H185" s="162">
        <f>H182</f>
        <v>4.1168801521771874E-2</v>
      </c>
    </row>
    <row r="186" spans="5:8" x14ac:dyDescent="0.25">
      <c r="F186" s="29"/>
      <c r="G186" s="28"/>
    </row>
    <row r="187" spans="5:8" x14ac:dyDescent="0.25">
      <c r="E187" s="32" t="s">
        <v>571</v>
      </c>
      <c r="G187" s="28"/>
    </row>
    <row r="188" spans="5:8" x14ac:dyDescent="0.25">
      <c r="F188" s="78" t="s">
        <v>535</v>
      </c>
      <c r="G188" s="64" t="s">
        <v>204</v>
      </c>
      <c r="H188" s="110">
        <f>'Inputs by network level'!R40</f>
        <v>0.64991237301101812</v>
      </c>
    </row>
    <row r="189" spans="5:8" x14ac:dyDescent="0.25">
      <c r="F189" s="72" t="s">
        <v>536</v>
      </c>
      <c r="G189" s="28" t="s">
        <v>204</v>
      </c>
      <c r="H189" s="25">
        <f>'Inputs by network level'!R41</f>
        <v>0.30891882546720989</v>
      </c>
    </row>
    <row r="190" spans="5:8" x14ac:dyDescent="0.25">
      <c r="F190" s="80" t="s">
        <v>314</v>
      </c>
      <c r="G190" s="67" t="s">
        <v>204</v>
      </c>
      <c r="H190" s="144">
        <f>'Inputs by network level'!R42</f>
        <v>4.1168801521771874E-2</v>
      </c>
    </row>
    <row r="191" spans="5:8" x14ac:dyDescent="0.25">
      <c r="F191" s="78" t="s">
        <v>356</v>
      </c>
      <c r="G191" s="64" t="s">
        <v>204</v>
      </c>
      <c r="H191" s="110">
        <f>'Inputs by network level'!R43</f>
        <v>0.6301860563682623</v>
      </c>
    </row>
    <row r="192" spans="5:8" x14ac:dyDescent="0.25">
      <c r="F192" s="72" t="s">
        <v>365</v>
      </c>
      <c r="G192" s="28" t="s">
        <v>204</v>
      </c>
      <c r="H192" s="160">
        <f>SUM(H188:H189) - H191</f>
        <v>0.32864514210996576</v>
      </c>
    </row>
    <row r="193" spans="3:44" x14ac:dyDescent="0.25">
      <c r="F193" s="80" t="s">
        <v>314</v>
      </c>
      <c r="G193" s="67" t="s">
        <v>204</v>
      </c>
      <c r="H193" s="162">
        <f>H190</f>
        <v>4.1168801521771874E-2</v>
      </c>
    </row>
    <row r="194" spans="3:44" x14ac:dyDescent="0.25">
      <c r="F194" s="29"/>
      <c r="G194" s="28"/>
    </row>
    <row r="195" spans="3:44" x14ac:dyDescent="0.25">
      <c r="E195" s="32" t="s">
        <v>572</v>
      </c>
      <c r="G195" s="28"/>
    </row>
    <row r="196" spans="3:44" x14ac:dyDescent="0.25">
      <c r="F196" s="78" t="s">
        <v>535</v>
      </c>
      <c r="G196" s="64" t="s">
        <v>204</v>
      </c>
      <c r="H196" s="110">
        <f>'Inputs by network level'!S40</f>
        <v>0.64991237301101812</v>
      </c>
    </row>
    <row r="197" spans="3:44" x14ac:dyDescent="0.25">
      <c r="F197" s="72" t="s">
        <v>536</v>
      </c>
      <c r="G197" s="28" t="s">
        <v>204</v>
      </c>
      <c r="H197" s="25">
        <f>'Inputs by network level'!S41</f>
        <v>0.30891882546720989</v>
      </c>
    </row>
    <row r="198" spans="3:44" x14ac:dyDescent="0.25">
      <c r="F198" s="80" t="s">
        <v>314</v>
      </c>
      <c r="G198" s="67" t="s">
        <v>204</v>
      </c>
      <c r="H198" s="144">
        <f>'Inputs by network level'!S42</f>
        <v>4.1168801521771874E-2</v>
      </c>
    </row>
    <row r="199" spans="3:44" x14ac:dyDescent="0.25">
      <c r="F199" s="78" t="s">
        <v>356</v>
      </c>
      <c r="G199" s="64" t="s">
        <v>204</v>
      </c>
      <c r="H199" s="110">
        <f>'Inputs by network level'!S43</f>
        <v>0.6301860563682623</v>
      </c>
    </row>
    <row r="200" spans="3:44" x14ac:dyDescent="0.25">
      <c r="F200" s="72" t="s">
        <v>365</v>
      </c>
      <c r="G200" s="28" t="s">
        <v>204</v>
      </c>
      <c r="H200" s="160">
        <f>SUM(H196:H197) - H199</f>
        <v>0.32864514210996576</v>
      </c>
      <c r="R200" s="63"/>
    </row>
    <row r="201" spans="3:44" x14ac:dyDescent="0.25">
      <c r="F201" s="80" t="s">
        <v>314</v>
      </c>
      <c r="G201" s="67" t="s">
        <v>204</v>
      </c>
      <c r="H201" s="162">
        <f>H198</f>
        <v>4.1168801521771874E-2</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564</v>
      </c>
      <c r="G205" s="28"/>
    </row>
    <row r="206" spans="3:44" x14ac:dyDescent="0.25">
      <c r="E206" s="29"/>
      <c r="F206" s="78" t="s">
        <v>535</v>
      </c>
      <c r="G206" s="64" t="s">
        <v>204</v>
      </c>
      <c r="H206" s="110"/>
      <c r="I206" s="23"/>
      <c r="J206" s="158">
        <f t="shared" ref="J206:AP206" si="22">IF(J$24, $H135, $H132)</f>
        <v>0.88925081433224751</v>
      </c>
      <c r="K206" s="158">
        <f t="shared" si="22"/>
        <v>0.88925081433224751</v>
      </c>
      <c r="L206" s="158">
        <f t="shared" si="22"/>
        <v>0.88925081433224751</v>
      </c>
      <c r="M206" s="158">
        <f t="shared" si="22"/>
        <v>0.88925081433224751</v>
      </c>
      <c r="N206" s="158">
        <f t="shared" si="22"/>
        <v>0.88925081433224751</v>
      </c>
      <c r="O206" s="158">
        <f t="shared" si="22"/>
        <v>0.88925081433224751</v>
      </c>
      <c r="P206" s="158">
        <f t="shared" si="22"/>
        <v>0.88925081433224751</v>
      </c>
      <c r="Q206" s="158">
        <f t="shared" si="22"/>
        <v>0.88925081433224751</v>
      </c>
      <c r="R206" s="158">
        <f t="shared" si="22"/>
        <v>0.88925081433224751</v>
      </c>
      <c r="S206" s="158">
        <f t="shared" si="22"/>
        <v>0.88925081433224751</v>
      </c>
      <c r="T206" s="158">
        <f t="shared" si="22"/>
        <v>0.88925081433224751</v>
      </c>
      <c r="U206" s="158">
        <f t="shared" si="22"/>
        <v>0.88925081433224751</v>
      </c>
      <c r="V206" s="158">
        <f t="shared" si="22"/>
        <v>0.88925081433224751</v>
      </c>
      <c r="W206" s="158">
        <f t="shared" si="22"/>
        <v>0.88925081433224751</v>
      </c>
      <c r="X206" s="158">
        <f t="shared" si="22"/>
        <v>0.77284281790892262</v>
      </c>
      <c r="Y206" s="158">
        <f t="shared" si="22"/>
        <v>0.77284281790892262</v>
      </c>
      <c r="Z206" s="158">
        <f t="shared" si="22"/>
        <v>0.77284281790892262</v>
      </c>
      <c r="AA206" s="158">
        <f t="shared" si="22"/>
        <v>0.77284281790892262</v>
      </c>
      <c r="AB206" s="158">
        <f t="shared" si="22"/>
        <v>0.77284281790892262</v>
      </c>
      <c r="AC206" s="158">
        <f t="shared" si="22"/>
        <v>0.88925081433224751</v>
      </c>
      <c r="AD206" s="158">
        <f t="shared" si="22"/>
        <v>0.88925081433224751</v>
      </c>
      <c r="AE206" s="158">
        <f t="shared" si="22"/>
        <v>0.88925081433224751</v>
      </c>
      <c r="AF206" s="158">
        <f t="shared" si="22"/>
        <v>0.88925081433224751</v>
      </c>
      <c r="AG206" s="158">
        <f t="shared" si="22"/>
        <v>0.88925081433224751</v>
      </c>
      <c r="AH206" s="158">
        <f t="shared" si="22"/>
        <v>0.88925081433224751</v>
      </c>
      <c r="AI206" s="158">
        <f t="shared" si="22"/>
        <v>0.88925081433224751</v>
      </c>
      <c r="AJ206" s="158">
        <f t="shared" si="22"/>
        <v>0.88925081433224751</v>
      </c>
      <c r="AK206" s="158">
        <f t="shared" si="22"/>
        <v>0.88925081433224751</v>
      </c>
      <c r="AL206" s="158">
        <f t="shared" si="22"/>
        <v>0.88925081433224751</v>
      </c>
      <c r="AM206" s="158">
        <f t="shared" si="22"/>
        <v>0.88925081433224751</v>
      </c>
      <c r="AN206" s="158">
        <f t="shared" si="22"/>
        <v>0.88925081433224751</v>
      </c>
      <c r="AO206" s="158">
        <f t="shared" si="22"/>
        <v>0.88925081433224751</v>
      </c>
      <c r="AP206" s="158">
        <f t="shared" si="22"/>
        <v>0.88925081433224751</v>
      </c>
    </row>
    <row r="207" spans="3:44" x14ac:dyDescent="0.25">
      <c r="E207" s="29"/>
      <c r="F207" s="72" t="s">
        <v>536</v>
      </c>
      <c r="G207" s="28" t="s">
        <v>204</v>
      </c>
      <c r="H207" s="25"/>
      <c r="J207" s="148">
        <f t="shared" ref="J207:AP207" si="23">IF(J$24, $H136, $H133)</f>
        <v>0.11074918566775245</v>
      </c>
      <c r="K207" s="148">
        <f t="shared" si="23"/>
        <v>0.11074918566775245</v>
      </c>
      <c r="L207" s="148">
        <f t="shared" si="23"/>
        <v>0.11074918566775245</v>
      </c>
      <c r="M207" s="148">
        <f t="shared" si="23"/>
        <v>0.11074918566775245</v>
      </c>
      <c r="N207" s="148">
        <f t="shared" si="23"/>
        <v>0.11074918566775245</v>
      </c>
      <c r="O207" s="148">
        <f t="shared" si="23"/>
        <v>0.11074918566775245</v>
      </c>
      <c r="P207" s="148">
        <f t="shared" si="23"/>
        <v>0.11074918566775245</v>
      </c>
      <c r="Q207" s="148">
        <f t="shared" si="23"/>
        <v>0.11074918566775245</v>
      </c>
      <c r="R207" s="148">
        <f t="shared" si="23"/>
        <v>0.11074918566775245</v>
      </c>
      <c r="S207" s="148">
        <f t="shared" si="23"/>
        <v>0.11074918566775245</v>
      </c>
      <c r="T207" s="148">
        <f t="shared" si="23"/>
        <v>0.11074918566775245</v>
      </c>
      <c r="U207" s="148">
        <f t="shared" si="23"/>
        <v>0.11074918566775245</v>
      </c>
      <c r="V207" s="148">
        <f t="shared" si="23"/>
        <v>0.11074918566775245</v>
      </c>
      <c r="W207" s="148">
        <f t="shared" si="23"/>
        <v>0.11074918566775245</v>
      </c>
      <c r="X207" s="148">
        <f t="shared" si="23"/>
        <v>0.22715718209107738</v>
      </c>
      <c r="Y207" s="148">
        <f t="shared" si="23"/>
        <v>0.22715718209107738</v>
      </c>
      <c r="Z207" s="148">
        <f t="shared" si="23"/>
        <v>0.22715718209107738</v>
      </c>
      <c r="AA207" s="148">
        <f t="shared" si="23"/>
        <v>0.22715718209107738</v>
      </c>
      <c r="AB207" s="148">
        <f t="shared" si="23"/>
        <v>0.22715718209107738</v>
      </c>
      <c r="AC207" s="148">
        <f t="shared" si="23"/>
        <v>0.11074918566775245</v>
      </c>
      <c r="AD207" s="148">
        <f t="shared" si="23"/>
        <v>0.11074918566775245</v>
      </c>
      <c r="AE207" s="148">
        <f t="shared" si="23"/>
        <v>0.11074918566775245</v>
      </c>
      <c r="AF207" s="148">
        <f t="shared" si="23"/>
        <v>0.11074918566775245</v>
      </c>
      <c r="AG207" s="148">
        <f t="shared" si="23"/>
        <v>0.11074918566775245</v>
      </c>
      <c r="AH207" s="148">
        <f t="shared" si="23"/>
        <v>0.11074918566775245</v>
      </c>
      <c r="AI207" s="148">
        <f t="shared" si="23"/>
        <v>0.11074918566775245</v>
      </c>
      <c r="AJ207" s="148">
        <f t="shared" si="23"/>
        <v>0.11074918566775245</v>
      </c>
      <c r="AK207" s="148">
        <f t="shared" si="23"/>
        <v>0.11074918566775245</v>
      </c>
      <c r="AL207" s="148">
        <f t="shared" si="23"/>
        <v>0.11074918566775245</v>
      </c>
      <c r="AM207" s="148">
        <f t="shared" si="23"/>
        <v>0.11074918566775245</v>
      </c>
      <c r="AN207" s="148">
        <f t="shared" si="23"/>
        <v>0.11074918566775245</v>
      </c>
      <c r="AO207" s="148">
        <f t="shared" si="23"/>
        <v>0.11074918566775245</v>
      </c>
      <c r="AP207" s="148">
        <f t="shared" si="23"/>
        <v>0.11074918566775245</v>
      </c>
    </row>
    <row r="208" spans="3:44" x14ac:dyDescent="0.25">
      <c r="E208" s="29"/>
      <c r="F208" s="80" t="s">
        <v>314</v>
      </c>
      <c r="G208" s="67" t="s">
        <v>204</v>
      </c>
      <c r="H208" s="144"/>
      <c r="I208" s="37"/>
      <c r="J208" s="159">
        <f t="shared" ref="J208:AP208" si="24">IF(J$24, $H137, $H134)</f>
        <v>0</v>
      </c>
      <c r="K208" s="159">
        <f t="shared" si="24"/>
        <v>0</v>
      </c>
      <c r="L208" s="159">
        <f t="shared" si="24"/>
        <v>0</v>
      </c>
      <c r="M208" s="159">
        <f t="shared" si="24"/>
        <v>0</v>
      </c>
      <c r="N208" s="159">
        <f t="shared" si="24"/>
        <v>0</v>
      </c>
      <c r="O208" s="159">
        <f t="shared" si="24"/>
        <v>0</v>
      </c>
      <c r="P208" s="159">
        <f t="shared" si="24"/>
        <v>0</v>
      </c>
      <c r="Q208" s="159">
        <f t="shared" si="24"/>
        <v>0</v>
      </c>
      <c r="R208" s="159">
        <f t="shared" si="24"/>
        <v>0</v>
      </c>
      <c r="S208" s="159">
        <f t="shared" si="24"/>
        <v>0</v>
      </c>
      <c r="T208" s="159">
        <f t="shared" si="24"/>
        <v>0</v>
      </c>
      <c r="U208" s="159">
        <f t="shared" si="24"/>
        <v>0</v>
      </c>
      <c r="V208" s="159">
        <f t="shared" si="24"/>
        <v>0</v>
      </c>
      <c r="W208" s="159">
        <f t="shared" si="24"/>
        <v>0</v>
      </c>
      <c r="X208" s="159">
        <f t="shared" si="24"/>
        <v>0</v>
      </c>
      <c r="Y208" s="159">
        <f t="shared" si="24"/>
        <v>0</v>
      </c>
      <c r="Z208" s="159">
        <f t="shared" si="24"/>
        <v>0</v>
      </c>
      <c r="AA208" s="159">
        <f t="shared" si="24"/>
        <v>0</v>
      </c>
      <c r="AB208" s="159">
        <f t="shared" si="24"/>
        <v>0</v>
      </c>
      <c r="AC208" s="159">
        <f t="shared" si="24"/>
        <v>0</v>
      </c>
      <c r="AD208" s="159">
        <f t="shared" si="24"/>
        <v>0</v>
      </c>
      <c r="AE208" s="159">
        <f t="shared" si="24"/>
        <v>0</v>
      </c>
      <c r="AF208" s="159">
        <f t="shared" si="24"/>
        <v>0</v>
      </c>
      <c r="AG208" s="159">
        <f t="shared" si="24"/>
        <v>0</v>
      </c>
      <c r="AH208" s="159">
        <f t="shared" si="24"/>
        <v>0</v>
      </c>
      <c r="AI208" s="159">
        <f t="shared" si="24"/>
        <v>0</v>
      </c>
      <c r="AJ208" s="159">
        <f t="shared" si="24"/>
        <v>0</v>
      </c>
      <c r="AK208" s="159">
        <f t="shared" si="24"/>
        <v>0</v>
      </c>
      <c r="AL208" s="159">
        <f t="shared" si="24"/>
        <v>0</v>
      </c>
      <c r="AM208" s="159">
        <f t="shared" si="24"/>
        <v>0</v>
      </c>
      <c r="AN208" s="159">
        <f t="shared" si="24"/>
        <v>0</v>
      </c>
      <c r="AO208" s="159">
        <f t="shared" si="24"/>
        <v>0</v>
      </c>
      <c r="AP208" s="159">
        <f t="shared" si="24"/>
        <v>0</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565</v>
      </c>
      <c r="G210" s="28"/>
    </row>
    <row r="211" spans="5:42" x14ac:dyDescent="0.25">
      <c r="E211" s="29"/>
      <c r="F211" s="78" t="s">
        <v>535</v>
      </c>
      <c r="G211" s="64" t="s">
        <v>204</v>
      </c>
      <c r="H211" s="110"/>
      <c r="I211" s="23"/>
      <c r="J211" s="158">
        <f t="shared" ref="J211:AP211" si="25">IF(J$24, $H143, $H140)</f>
        <v>0.77342304201310019</v>
      </c>
      <c r="K211" s="158">
        <f t="shared" si="25"/>
        <v>0.77342304201310019</v>
      </c>
      <c r="L211" s="158">
        <f t="shared" si="25"/>
        <v>0.77342304201310019</v>
      </c>
      <c r="M211" s="158">
        <f t="shared" si="25"/>
        <v>0.77342304201310019</v>
      </c>
      <c r="N211" s="158">
        <f t="shared" si="25"/>
        <v>0.77342304201310019</v>
      </c>
      <c r="O211" s="158">
        <f t="shared" si="25"/>
        <v>0.77342304201310019</v>
      </c>
      <c r="P211" s="158">
        <f t="shared" si="25"/>
        <v>0.77342304201310019</v>
      </c>
      <c r="Q211" s="158">
        <f t="shared" si="25"/>
        <v>0.77342304201310019</v>
      </c>
      <c r="R211" s="158">
        <f t="shared" si="25"/>
        <v>0.77342304201310019</v>
      </c>
      <c r="S211" s="158">
        <f t="shared" si="25"/>
        <v>0.77342304201310019</v>
      </c>
      <c r="T211" s="158">
        <f t="shared" si="25"/>
        <v>0.77342304201310019</v>
      </c>
      <c r="U211" s="158">
        <f t="shared" si="25"/>
        <v>0.77342304201310019</v>
      </c>
      <c r="V211" s="158">
        <f t="shared" si="25"/>
        <v>0.77342304201310019</v>
      </c>
      <c r="W211" s="158">
        <f t="shared" si="25"/>
        <v>0.77342304201310019</v>
      </c>
      <c r="X211" s="158">
        <f t="shared" si="25"/>
        <v>0.74424444907551823</v>
      </c>
      <c r="Y211" s="158">
        <f t="shared" si="25"/>
        <v>0.74424444907551823</v>
      </c>
      <c r="Z211" s="158">
        <f t="shared" si="25"/>
        <v>0.74424444907551823</v>
      </c>
      <c r="AA211" s="158">
        <f t="shared" si="25"/>
        <v>0.74424444907551823</v>
      </c>
      <c r="AB211" s="158">
        <f t="shared" si="25"/>
        <v>0.74424444907551823</v>
      </c>
      <c r="AC211" s="158">
        <f t="shared" si="25"/>
        <v>0.77342304201310019</v>
      </c>
      <c r="AD211" s="158">
        <f t="shared" si="25"/>
        <v>0.77342304201310019</v>
      </c>
      <c r="AE211" s="158">
        <f t="shared" si="25"/>
        <v>0.77342304201310019</v>
      </c>
      <c r="AF211" s="158">
        <f t="shared" si="25"/>
        <v>0.77342304201310019</v>
      </c>
      <c r="AG211" s="158">
        <f t="shared" si="25"/>
        <v>0.77342304201310019</v>
      </c>
      <c r="AH211" s="158">
        <f t="shared" si="25"/>
        <v>0.77342304201310019</v>
      </c>
      <c r="AI211" s="158">
        <f t="shared" si="25"/>
        <v>0.77342304201310019</v>
      </c>
      <c r="AJ211" s="158">
        <f t="shared" si="25"/>
        <v>0.77342304201310019</v>
      </c>
      <c r="AK211" s="158">
        <f t="shared" si="25"/>
        <v>0.77342304201310019</v>
      </c>
      <c r="AL211" s="158">
        <f t="shared" si="25"/>
        <v>0.77342304201310019</v>
      </c>
      <c r="AM211" s="158">
        <f t="shared" si="25"/>
        <v>0.77342304201310019</v>
      </c>
      <c r="AN211" s="158">
        <f t="shared" si="25"/>
        <v>0.77342304201310019</v>
      </c>
      <c r="AO211" s="158">
        <f t="shared" si="25"/>
        <v>0.77342304201310019</v>
      </c>
      <c r="AP211" s="158">
        <f t="shared" si="25"/>
        <v>0.77342304201310019</v>
      </c>
    </row>
    <row r="212" spans="5:42" x14ac:dyDescent="0.25">
      <c r="E212" s="29"/>
      <c r="F212" s="72" t="s">
        <v>536</v>
      </c>
      <c r="G212" s="28" t="s">
        <v>204</v>
      </c>
      <c r="H212" s="25"/>
      <c r="J212" s="148">
        <f t="shared" ref="J212:AP212" si="26">IF(J$24, $H144, $H141)</f>
        <v>0.21193915344884084</v>
      </c>
      <c r="K212" s="148">
        <f t="shared" si="26"/>
        <v>0.21193915344884084</v>
      </c>
      <c r="L212" s="148">
        <f t="shared" si="26"/>
        <v>0.21193915344884084</v>
      </c>
      <c r="M212" s="148">
        <f t="shared" si="26"/>
        <v>0.21193915344884084</v>
      </c>
      <c r="N212" s="148">
        <f t="shared" si="26"/>
        <v>0.21193915344884084</v>
      </c>
      <c r="O212" s="148">
        <f t="shared" si="26"/>
        <v>0.21193915344884084</v>
      </c>
      <c r="P212" s="148">
        <f t="shared" si="26"/>
        <v>0.21193915344884084</v>
      </c>
      <c r="Q212" s="148">
        <f t="shared" si="26"/>
        <v>0.21193915344884084</v>
      </c>
      <c r="R212" s="148">
        <f t="shared" si="26"/>
        <v>0.21193915344884084</v>
      </c>
      <c r="S212" s="148">
        <f t="shared" si="26"/>
        <v>0.21193915344884084</v>
      </c>
      <c r="T212" s="148">
        <f t="shared" si="26"/>
        <v>0.21193915344884084</v>
      </c>
      <c r="U212" s="148">
        <f t="shared" si="26"/>
        <v>0.21193915344884084</v>
      </c>
      <c r="V212" s="148">
        <f t="shared" si="26"/>
        <v>0.21193915344884084</v>
      </c>
      <c r="W212" s="148">
        <f t="shared" si="26"/>
        <v>0.21193915344884084</v>
      </c>
      <c r="X212" s="148">
        <f t="shared" si="26"/>
        <v>0.2411177463864228</v>
      </c>
      <c r="Y212" s="148">
        <f t="shared" si="26"/>
        <v>0.2411177463864228</v>
      </c>
      <c r="Z212" s="148">
        <f t="shared" si="26"/>
        <v>0.2411177463864228</v>
      </c>
      <c r="AA212" s="148">
        <f t="shared" si="26"/>
        <v>0.2411177463864228</v>
      </c>
      <c r="AB212" s="148">
        <f t="shared" si="26"/>
        <v>0.2411177463864228</v>
      </c>
      <c r="AC212" s="148">
        <f t="shared" si="26"/>
        <v>0.21193915344884084</v>
      </c>
      <c r="AD212" s="148">
        <f t="shared" si="26"/>
        <v>0.21193915344884084</v>
      </c>
      <c r="AE212" s="148">
        <f t="shared" si="26"/>
        <v>0.21193915344884084</v>
      </c>
      <c r="AF212" s="148">
        <f t="shared" si="26"/>
        <v>0.21193915344884084</v>
      </c>
      <c r="AG212" s="148">
        <f t="shared" si="26"/>
        <v>0.21193915344884084</v>
      </c>
      <c r="AH212" s="148">
        <f t="shared" si="26"/>
        <v>0.21193915344884084</v>
      </c>
      <c r="AI212" s="148">
        <f t="shared" si="26"/>
        <v>0.21193915344884084</v>
      </c>
      <c r="AJ212" s="148">
        <f t="shared" si="26"/>
        <v>0.21193915344884084</v>
      </c>
      <c r="AK212" s="148">
        <f t="shared" si="26"/>
        <v>0.21193915344884084</v>
      </c>
      <c r="AL212" s="148">
        <f t="shared" si="26"/>
        <v>0.21193915344884084</v>
      </c>
      <c r="AM212" s="148">
        <f t="shared" si="26"/>
        <v>0.21193915344884084</v>
      </c>
      <c r="AN212" s="148">
        <f t="shared" si="26"/>
        <v>0.21193915344884084</v>
      </c>
      <c r="AO212" s="148">
        <f t="shared" si="26"/>
        <v>0.21193915344884084</v>
      </c>
      <c r="AP212" s="148">
        <f t="shared" si="26"/>
        <v>0.21193915344884084</v>
      </c>
    </row>
    <row r="213" spans="5:42" x14ac:dyDescent="0.25">
      <c r="E213" s="29"/>
      <c r="F213" s="80" t="s">
        <v>314</v>
      </c>
      <c r="G213" s="67" t="s">
        <v>204</v>
      </c>
      <c r="H213" s="144"/>
      <c r="I213" s="37"/>
      <c r="J213" s="159">
        <f t="shared" ref="J213:AP213" si="27">IF(J$24, $H145, $H142)</f>
        <v>1.4637804538059027E-2</v>
      </c>
      <c r="K213" s="159">
        <f t="shared" si="27"/>
        <v>1.4637804538059027E-2</v>
      </c>
      <c r="L213" s="159">
        <f t="shared" si="27"/>
        <v>1.4637804538059027E-2</v>
      </c>
      <c r="M213" s="159">
        <f t="shared" si="27"/>
        <v>1.4637804538059027E-2</v>
      </c>
      <c r="N213" s="159">
        <f t="shared" si="27"/>
        <v>1.4637804538059027E-2</v>
      </c>
      <c r="O213" s="159">
        <f t="shared" si="27"/>
        <v>1.4637804538059027E-2</v>
      </c>
      <c r="P213" s="159">
        <f t="shared" si="27"/>
        <v>1.4637804538059027E-2</v>
      </c>
      <c r="Q213" s="159">
        <f t="shared" si="27"/>
        <v>1.4637804538059027E-2</v>
      </c>
      <c r="R213" s="159">
        <f t="shared" si="27"/>
        <v>1.4637804538059027E-2</v>
      </c>
      <c r="S213" s="159">
        <f t="shared" si="27"/>
        <v>1.4637804538059027E-2</v>
      </c>
      <c r="T213" s="159">
        <f t="shared" si="27"/>
        <v>1.4637804538059027E-2</v>
      </c>
      <c r="U213" s="159">
        <f t="shared" si="27"/>
        <v>1.4637804538059027E-2</v>
      </c>
      <c r="V213" s="159">
        <f t="shared" si="27"/>
        <v>1.4637804538059027E-2</v>
      </c>
      <c r="W213" s="159">
        <f t="shared" si="27"/>
        <v>1.4637804538059027E-2</v>
      </c>
      <c r="X213" s="159">
        <f t="shared" si="27"/>
        <v>1.4637804538059027E-2</v>
      </c>
      <c r="Y213" s="159">
        <f t="shared" si="27"/>
        <v>1.4637804538059027E-2</v>
      </c>
      <c r="Z213" s="159">
        <f t="shared" si="27"/>
        <v>1.4637804538059027E-2</v>
      </c>
      <c r="AA213" s="159">
        <f t="shared" si="27"/>
        <v>1.4637804538059027E-2</v>
      </c>
      <c r="AB213" s="159">
        <f t="shared" si="27"/>
        <v>1.4637804538059027E-2</v>
      </c>
      <c r="AC213" s="159">
        <f t="shared" si="27"/>
        <v>1.4637804538059027E-2</v>
      </c>
      <c r="AD213" s="159">
        <f t="shared" si="27"/>
        <v>1.4637804538059027E-2</v>
      </c>
      <c r="AE213" s="159">
        <f t="shared" si="27"/>
        <v>1.4637804538059027E-2</v>
      </c>
      <c r="AF213" s="159">
        <f t="shared" si="27"/>
        <v>1.4637804538059027E-2</v>
      </c>
      <c r="AG213" s="159">
        <f t="shared" si="27"/>
        <v>1.4637804538059027E-2</v>
      </c>
      <c r="AH213" s="159">
        <f t="shared" si="27"/>
        <v>1.4637804538059027E-2</v>
      </c>
      <c r="AI213" s="159">
        <f t="shared" si="27"/>
        <v>1.4637804538059027E-2</v>
      </c>
      <c r="AJ213" s="159">
        <f t="shared" si="27"/>
        <v>1.4637804538059027E-2</v>
      </c>
      <c r="AK213" s="159">
        <f t="shared" si="27"/>
        <v>1.4637804538059027E-2</v>
      </c>
      <c r="AL213" s="159">
        <f t="shared" si="27"/>
        <v>1.4637804538059027E-2</v>
      </c>
      <c r="AM213" s="159">
        <f t="shared" si="27"/>
        <v>1.4637804538059027E-2</v>
      </c>
      <c r="AN213" s="159">
        <f t="shared" si="27"/>
        <v>1.4637804538059027E-2</v>
      </c>
      <c r="AO213" s="159">
        <f t="shared" si="27"/>
        <v>1.4637804538059027E-2</v>
      </c>
      <c r="AP213" s="159">
        <f t="shared" si="27"/>
        <v>1.4637804538059027E-2</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566</v>
      </c>
      <c r="G215" s="28"/>
    </row>
    <row r="216" spans="5:42" x14ac:dyDescent="0.25">
      <c r="E216" s="29"/>
      <c r="F216" s="78" t="s">
        <v>535</v>
      </c>
      <c r="G216" s="64" t="s">
        <v>204</v>
      </c>
      <c r="H216" s="110"/>
      <c r="I216" s="23"/>
      <c r="J216" s="158">
        <f t="shared" ref="J216:AP216" si="28">IF(J$24, $H151, $H148)</f>
        <v>0.77342304201310019</v>
      </c>
      <c r="K216" s="158">
        <f t="shared" si="28"/>
        <v>0.77342304201310019</v>
      </c>
      <c r="L216" s="158">
        <f t="shared" si="28"/>
        <v>0.77342304201310019</v>
      </c>
      <c r="M216" s="158">
        <f t="shared" si="28"/>
        <v>0.77342304201310019</v>
      </c>
      <c r="N216" s="158">
        <f t="shared" si="28"/>
        <v>0.77342304201310019</v>
      </c>
      <c r="O216" s="158">
        <f t="shared" si="28"/>
        <v>0.77342304201310019</v>
      </c>
      <c r="P216" s="158">
        <f t="shared" si="28"/>
        <v>0.77342304201310019</v>
      </c>
      <c r="Q216" s="158">
        <f t="shared" si="28"/>
        <v>0.77342304201310019</v>
      </c>
      <c r="R216" s="158">
        <f t="shared" si="28"/>
        <v>0.77342304201310019</v>
      </c>
      <c r="S216" s="158">
        <f t="shared" si="28"/>
        <v>0.77342304201310019</v>
      </c>
      <c r="T216" s="158">
        <f t="shared" si="28"/>
        <v>0.77342304201310019</v>
      </c>
      <c r="U216" s="158">
        <f t="shared" si="28"/>
        <v>0.77342304201310019</v>
      </c>
      <c r="V216" s="158">
        <f t="shared" si="28"/>
        <v>0.77342304201310019</v>
      </c>
      <c r="W216" s="158">
        <f t="shared" si="28"/>
        <v>0.77342304201310019</v>
      </c>
      <c r="X216" s="158">
        <f t="shared" si="28"/>
        <v>0.74424444907551823</v>
      </c>
      <c r="Y216" s="158">
        <f t="shared" si="28"/>
        <v>0.74424444907551823</v>
      </c>
      <c r="Z216" s="158">
        <f t="shared" si="28"/>
        <v>0.74424444907551823</v>
      </c>
      <c r="AA216" s="158">
        <f t="shared" si="28"/>
        <v>0.74424444907551823</v>
      </c>
      <c r="AB216" s="158">
        <f t="shared" si="28"/>
        <v>0.74424444907551823</v>
      </c>
      <c r="AC216" s="158">
        <f t="shared" si="28"/>
        <v>0.77342304201310019</v>
      </c>
      <c r="AD216" s="158">
        <f t="shared" si="28"/>
        <v>0.77342304201310019</v>
      </c>
      <c r="AE216" s="158">
        <f t="shared" si="28"/>
        <v>0.77342304201310019</v>
      </c>
      <c r="AF216" s="158">
        <f t="shared" si="28"/>
        <v>0.77342304201310019</v>
      </c>
      <c r="AG216" s="158">
        <f t="shared" si="28"/>
        <v>0.77342304201310019</v>
      </c>
      <c r="AH216" s="158">
        <f t="shared" si="28"/>
        <v>0.77342304201310019</v>
      </c>
      <c r="AI216" s="158">
        <f t="shared" si="28"/>
        <v>0.77342304201310019</v>
      </c>
      <c r="AJ216" s="158">
        <f t="shared" si="28"/>
        <v>0.77342304201310019</v>
      </c>
      <c r="AK216" s="158">
        <f t="shared" si="28"/>
        <v>0.77342304201310019</v>
      </c>
      <c r="AL216" s="158">
        <f t="shared" si="28"/>
        <v>0.77342304201310019</v>
      </c>
      <c r="AM216" s="158">
        <f t="shared" si="28"/>
        <v>0.77342304201310019</v>
      </c>
      <c r="AN216" s="158">
        <f t="shared" si="28"/>
        <v>0.77342304201310019</v>
      </c>
      <c r="AO216" s="158">
        <f t="shared" si="28"/>
        <v>0.77342304201310019</v>
      </c>
      <c r="AP216" s="158">
        <f t="shared" si="28"/>
        <v>0.77342304201310019</v>
      </c>
    </row>
    <row r="217" spans="5:42" x14ac:dyDescent="0.25">
      <c r="E217" s="29"/>
      <c r="F217" s="72" t="s">
        <v>536</v>
      </c>
      <c r="G217" s="28" t="s">
        <v>204</v>
      </c>
      <c r="H217" s="25"/>
      <c r="J217" s="148">
        <f t="shared" ref="J217:AP217" si="29">IF(J$24, $H152, $H149)</f>
        <v>0.21193915344884084</v>
      </c>
      <c r="K217" s="148">
        <f t="shared" si="29"/>
        <v>0.21193915344884084</v>
      </c>
      <c r="L217" s="148">
        <f t="shared" si="29"/>
        <v>0.21193915344884084</v>
      </c>
      <c r="M217" s="148">
        <f t="shared" si="29"/>
        <v>0.21193915344884084</v>
      </c>
      <c r="N217" s="148">
        <f t="shared" si="29"/>
        <v>0.21193915344884084</v>
      </c>
      <c r="O217" s="148">
        <f t="shared" si="29"/>
        <v>0.21193915344884084</v>
      </c>
      <c r="P217" s="148">
        <f t="shared" si="29"/>
        <v>0.21193915344884084</v>
      </c>
      <c r="Q217" s="148">
        <f t="shared" si="29"/>
        <v>0.21193915344884084</v>
      </c>
      <c r="R217" s="148">
        <f t="shared" si="29"/>
        <v>0.21193915344884084</v>
      </c>
      <c r="S217" s="148">
        <f t="shared" si="29"/>
        <v>0.21193915344884084</v>
      </c>
      <c r="T217" s="148">
        <f t="shared" si="29"/>
        <v>0.21193915344884084</v>
      </c>
      <c r="U217" s="148">
        <f t="shared" si="29"/>
        <v>0.21193915344884084</v>
      </c>
      <c r="V217" s="148">
        <f t="shared" si="29"/>
        <v>0.21193915344884084</v>
      </c>
      <c r="W217" s="148">
        <f t="shared" si="29"/>
        <v>0.21193915344884084</v>
      </c>
      <c r="X217" s="148">
        <f t="shared" si="29"/>
        <v>0.2411177463864228</v>
      </c>
      <c r="Y217" s="148">
        <f t="shared" si="29"/>
        <v>0.2411177463864228</v>
      </c>
      <c r="Z217" s="148">
        <f t="shared" si="29"/>
        <v>0.2411177463864228</v>
      </c>
      <c r="AA217" s="148">
        <f t="shared" si="29"/>
        <v>0.2411177463864228</v>
      </c>
      <c r="AB217" s="148">
        <f t="shared" si="29"/>
        <v>0.2411177463864228</v>
      </c>
      <c r="AC217" s="148">
        <f t="shared" si="29"/>
        <v>0.21193915344884084</v>
      </c>
      <c r="AD217" s="148">
        <f t="shared" si="29"/>
        <v>0.21193915344884084</v>
      </c>
      <c r="AE217" s="148">
        <f t="shared" si="29"/>
        <v>0.21193915344884084</v>
      </c>
      <c r="AF217" s="148">
        <f t="shared" si="29"/>
        <v>0.21193915344884084</v>
      </c>
      <c r="AG217" s="148">
        <f t="shared" si="29"/>
        <v>0.21193915344884084</v>
      </c>
      <c r="AH217" s="148">
        <f t="shared" si="29"/>
        <v>0.21193915344884084</v>
      </c>
      <c r="AI217" s="148">
        <f t="shared" si="29"/>
        <v>0.21193915344884084</v>
      </c>
      <c r="AJ217" s="148">
        <f t="shared" si="29"/>
        <v>0.21193915344884084</v>
      </c>
      <c r="AK217" s="148">
        <f t="shared" si="29"/>
        <v>0.21193915344884084</v>
      </c>
      <c r="AL217" s="148">
        <f t="shared" si="29"/>
        <v>0.21193915344884084</v>
      </c>
      <c r="AM217" s="148">
        <f t="shared" si="29"/>
        <v>0.21193915344884084</v>
      </c>
      <c r="AN217" s="148">
        <f t="shared" si="29"/>
        <v>0.21193915344884084</v>
      </c>
      <c r="AO217" s="148">
        <f t="shared" si="29"/>
        <v>0.21193915344884084</v>
      </c>
      <c r="AP217" s="148">
        <f t="shared" si="29"/>
        <v>0.21193915344884084</v>
      </c>
    </row>
    <row r="218" spans="5:42" x14ac:dyDescent="0.25">
      <c r="E218" s="29"/>
      <c r="F218" s="80" t="s">
        <v>314</v>
      </c>
      <c r="G218" s="67" t="s">
        <v>204</v>
      </c>
      <c r="H218" s="144"/>
      <c r="I218" s="37"/>
      <c r="J218" s="159">
        <f t="shared" ref="J218:AP218" si="30">IF(J$24, $H153, $H150)</f>
        <v>1.4637804538059027E-2</v>
      </c>
      <c r="K218" s="159">
        <f t="shared" si="30"/>
        <v>1.4637804538059027E-2</v>
      </c>
      <c r="L218" s="159">
        <f t="shared" si="30"/>
        <v>1.4637804538059027E-2</v>
      </c>
      <c r="M218" s="159">
        <f t="shared" si="30"/>
        <v>1.4637804538059027E-2</v>
      </c>
      <c r="N218" s="159">
        <f t="shared" si="30"/>
        <v>1.4637804538059027E-2</v>
      </c>
      <c r="O218" s="159">
        <f t="shared" si="30"/>
        <v>1.4637804538059027E-2</v>
      </c>
      <c r="P218" s="159">
        <f t="shared" si="30"/>
        <v>1.4637804538059027E-2</v>
      </c>
      <c r="Q218" s="159">
        <f t="shared" si="30"/>
        <v>1.4637804538059027E-2</v>
      </c>
      <c r="R218" s="159">
        <f t="shared" si="30"/>
        <v>1.4637804538059027E-2</v>
      </c>
      <c r="S218" s="159">
        <f t="shared" si="30"/>
        <v>1.4637804538059027E-2</v>
      </c>
      <c r="T218" s="159">
        <f t="shared" si="30"/>
        <v>1.4637804538059027E-2</v>
      </c>
      <c r="U218" s="159">
        <f t="shared" si="30"/>
        <v>1.4637804538059027E-2</v>
      </c>
      <c r="V218" s="159">
        <f t="shared" si="30"/>
        <v>1.4637804538059027E-2</v>
      </c>
      <c r="W218" s="159">
        <f t="shared" si="30"/>
        <v>1.4637804538059027E-2</v>
      </c>
      <c r="X218" s="159">
        <f t="shared" si="30"/>
        <v>1.4637804538059027E-2</v>
      </c>
      <c r="Y218" s="159">
        <f t="shared" si="30"/>
        <v>1.4637804538059027E-2</v>
      </c>
      <c r="Z218" s="159">
        <f t="shared" si="30"/>
        <v>1.4637804538059027E-2</v>
      </c>
      <c r="AA218" s="159">
        <f t="shared" si="30"/>
        <v>1.4637804538059027E-2</v>
      </c>
      <c r="AB218" s="159">
        <f t="shared" si="30"/>
        <v>1.4637804538059027E-2</v>
      </c>
      <c r="AC218" s="159">
        <f t="shared" si="30"/>
        <v>1.4637804538059027E-2</v>
      </c>
      <c r="AD218" s="159">
        <f t="shared" si="30"/>
        <v>1.4637804538059027E-2</v>
      </c>
      <c r="AE218" s="159">
        <f t="shared" si="30"/>
        <v>1.4637804538059027E-2</v>
      </c>
      <c r="AF218" s="159">
        <f t="shared" si="30"/>
        <v>1.4637804538059027E-2</v>
      </c>
      <c r="AG218" s="159">
        <f t="shared" si="30"/>
        <v>1.4637804538059027E-2</v>
      </c>
      <c r="AH218" s="159">
        <f t="shared" si="30"/>
        <v>1.4637804538059027E-2</v>
      </c>
      <c r="AI218" s="159">
        <f t="shared" si="30"/>
        <v>1.4637804538059027E-2</v>
      </c>
      <c r="AJ218" s="159">
        <f t="shared" si="30"/>
        <v>1.4637804538059027E-2</v>
      </c>
      <c r="AK218" s="159">
        <f t="shared" si="30"/>
        <v>1.4637804538059027E-2</v>
      </c>
      <c r="AL218" s="159">
        <f t="shared" si="30"/>
        <v>1.4637804538059027E-2</v>
      </c>
      <c r="AM218" s="159">
        <f t="shared" si="30"/>
        <v>1.4637804538059027E-2</v>
      </c>
      <c r="AN218" s="159">
        <f t="shared" si="30"/>
        <v>1.4637804538059027E-2</v>
      </c>
      <c r="AO218" s="159">
        <f t="shared" si="30"/>
        <v>1.4637804538059027E-2</v>
      </c>
      <c r="AP218" s="159">
        <f t="shared" si="30"/>
        <v>1.4637804538059027E-2</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567</v>
      </c>
      <c r="G220" s="28"/>
    </row>
    <row r="221" spans="5:42" x14ac:dyDescent="0.25">
      <c r="E221" s="29"/>
      <c r="F221" s="78" t="s">
        <v>535</v>
      </c>
      <c r="G221" s="64" t="s">
        <v>204</v>
      </c>
      <c r="H221" s="110"/>
      <c r="I221" s="23"/>
      <c r="J221" s="158">
        <f t="shared" ref="J221:AP221" si="31">IF(J$24, $H159, $H156)</f>
        <v>0.64991237301101812</v>
      </c>
      <c r="K221" s="158">
        <f t="shared" si="31"/>
        <v>0.64991237301101812</v>
      </c>
      <c r="L221" s="158">
        <f t="shared" si="31"/>
        <v>0.64991237301101812</v>
      </c>
      <c r="M221" s="158">
        <f t="shared" si="31"/>
        <v>0.64991237301101812</v>
      </c>
      <c r="N221" s="158">
        <f t="shared" si="31"/>
        <v>0.64991237301101812</v>
      </c>
      <c r="O221" s="158">
        <f t="shared" si="31"/>
        <v>0.64991237301101812</v>
      </c>
      <c r="P221" s="158">
        <f t="shared" si="31"/>
        <v>0.64991237301101812</v>
      </c>
      <c r="Q221" s="158">
        <f t="shared" si="31"/>
        <v>0.64991237301101812</v>
      </c>
      <c r="R221" s="158">
        <f t="shared" si="31"/>
        <v>0.64991237301101812</v>
      </c>
      <c r="S221" s="158">
        <f t="shared" si="31"/>
        <v>0.64991237301101812</v>
      </c>
      <c r="T221" s="158">
        <f t="shared" si="31"/>
        <v>0.64991237301101812</v>
      </c>
      <c r="U221" s="158">
        <f t="shared" si="31"/>
        <v>0.64991237301101812</v>
      </c>
      <c r="V221" s="158">
        <f t="shared" si="31"/>
        <v>0.64991237301101812</v>
      </c>
      <c r="W221" s="158">
        <f t="shared" si="31"/>
        <v>0.64991237301101812</v>
      </c>
      <c r="X221" s="158">
        <f t="shared" si="31"/>
        <v>0.6301860563682623</v>
      </c>
      <c r="Y221" s="158">
        <f t="shared" si="31"/>
        <v>0.6301860563682623</v>
      </c>
      <c r="Z221" s="158">
        <f t="shared" si="31"/>
        <v>0.6301860563682623</v>
      </c>
      <c r="AA221" s="158">
        <f t="shared" si="31"/>
        <v>0.6301860563682623</v>
      </c>
      <c r="AB221" s="158">
        <f t="shared" si="31"/>
        <v>0.6301860563682623</v>
      </c>
      <c r="AC221" s="158">
        <f t="shared" si="31"/>
        <v>0.64991237301101812</v>
      </c>
      <c r="AD221" s="158">
        <f t="shared" si="31"/>
        <v>0.64991237301101812</v>
      </c>
      <c r="AE221" s="158">
        <f t="shared" si="31"/>
        <v>0.64991237301101812</v>
      </c>
      <c r="AF221" s="158">
        <f t="shared" si="31"/>
        <v>0.64991237301101812</v>
      </c>
      <c r="AG221" s="158">
        <f t="shared" si="31"/>
        <v>0.64991237301101812</v>
      </c>
      <c r="AH221" s="158">
        <f t="shared" si="31"/>
        <v>0.64991237301101812</v>
      </c>
      <c r="AI221" s="158">
        <f t="shared" si="31"/>
        <v>0.64991237301101812</v>
      </c>
      <c r="AJ221" s="158">
        <f t="shared" si="31"/>
        <v>0.64991237301101812</v>
      </c>
      <c r="AK221" s="158">
        <f t="shared" si="31"/>
        <v>0.64991237301101812</v>
      </c>
      <c r="AL221" s="158">
        <f t="shared" si="31"/>
        <v>0.64991237301101812</v>
      </c>
      <c r="AM221" s="158">
        <f t="shared" si="31"/>
        <v>0.64991237301101812</v>
      </c>
      <c r="AN221" s="158">
        <f t="shared" si="31"/>
        <v>0.64991237301101812</v>
      </c>
      <c r="AO221" s="158">
        <f t="shared" si="31"/>
        <v>0.64991237301101812</v>
      </c>
      <c r="AP221" s="158">
        <f t="shared" si="31"/>
        <v>0.64991237301101812</v>
      </c>
    </row>
    <row r="222" spans="5:42" x14ac:dyDescent="0.25">
      <c r="E222" s="29"/>
      <c r="F222" s="72" t="s">
        <v>536</v>
      </c>
      <c r="G222" s="28" t="s">
        <v>204</v>
      </c>
      <c r="H222" s="25"/>
      <c r="J222" s="148">
        <f t="shared" ref="J222:AP222" si="32">IF(J$24, $H160, $H157)</f>
        <v>0.30891882546720989</v>
      </c>
      <c r="K222" s="148">
        <f t="shared" si="32"/>
        <v>0.30891882546720989</v>
      </c>
      <c r="L222" s="148">
        <f t="shared" si="32"/>
        <v>0.30891882546720989</v>
      </c>
      <c r="M222" s="148">
        <f t="shared" si="32"/>
        <v>0.30891882546720989</v>
      </c>
      <c r="N222" s="148">
        <f t="shared" si="32"/>
        <v>0.30891882546720989</v>
      </c>
      <c r="O222" s="148">
        <f t="shared" si="32"/>
        <v>0.30891882546720989</v>
      </c>
      <c r="P222" s="148">
        <f t="shared" si="32"/>
        <v>0.30891882546720989</v>
      </c>
      <c r="Q222" s="148">
        <f t="shared" si="32"/>
        <v>0.30891882546720989</v>
      </c>
      <c r="R222" s="148">
        <f t="shared" si="32"/>
        <v>0.30891882546720989</v>
      </c>
      <c r="S222" s="148">
        <f t="shared" si="32"/>
        <v>0.30891882546720989</v>
      </c>
      <c r="T222" s="148">
        <f t="shared" si="32"/>
        <v>0.30891882546720989</v>
      </c>
      <c r="U222" s="148">
        <f t="shared" si="32"/>
        <v>0.30891882546720989</v>
      </c>
      <c r="V222" s="148">
        <f t="shared" si="32"/>
        <v>0.30891882546720989</v>
      </c>
      <c r="W222" s="148">
        <f t="shared" si="32"/>
        <v>0.30891882546720989</v>
      </c>
      <c r="X222" s="148">
        <f t="shared" si="32"/>
        <v>0.32864514210996576</v>
      </c>
      <c r="Y222" s="148">
        <f t="shared" si="32"/>
        <v>0.32864514210996576</v>
      </c>
      <c r="Z222" s="148">
        <f t="shared" si="32"/>
        <v>0.32864514210996576</v>
      </c>
      <c r="AA222" s="148">
        <f t="shared" si="32"/>
        <v>0.32864514210996576</v>
      </c>
      <c r="AB222" s="148">
        <f t="shared" si="32"/>
        <v>0.32864514210996576</v>
      </c>
      <c r="AC222" s="148">
        <f t="shared" si="32"/>
        <v>0.30891882546720989</v>
      </c>
      <c r="AD222" s="148">
        <f t="shared" si="32"/>
        <v>0.30891882546720989</v>
      </c>
      <c r="AE222" s="148">
        <f t="shared" si="32"/>
        <v>0.30891882546720989</v>
      </c>
      <c r="AF222" s="148">
        <f t="shared" si="32"/>
        <v>0.30891882546720989</v>
      </c>
      <c r="AG222" s="148">
        <f t="shared" si="32"/>
        <v>0.30891882546720989</v>
      </c>
      <c r="AH222" s="148">
        <f t="shared" si="32"/>
        <v>0.30891882546720989</v>
      </c>
      <c r="AI222" s="148">
        <f t="shared" si="32"/>
        <v>0.30891882546720989</v>
      </c>
      <c r="AJ222" s="148">
        <f t="shared" si="32"/>
        <v>0.30891882546720989</v>
      </c>
      <c r="AK222" s="148">
        <f t="shared" si="32"/>
        <v>0.30891882546720989</v>
      </c>
      <c r="AL222" s="148">
        <f t="shared" si="32"/>
        <v>0.30891882546720989</v>
      </c>
      <c r="AM222" s="148">
        <f t="shared" si="32"/>
        <v>0.30891882546720989</v>
      </c>
      <c r="AN222" s="148">
        <f t="shared" si="32"/>
        <v>0.30891882546720989</v>
      </c>
      <c r="AO222" s="148">
        <f t="shared" si="32"/>
        <v>0.30891882546720989</v>
      </c>
      <c r="AP222" s="148">
        <f t="shared" si="32"/>
        <v>0.30891882546720989</v>
      </c>
    </row>
    <row r="223" spans="5:42" x14ac:dyDescent="0.25">
      <c r="E223" s="29"/>
      <c r="F223" s="80" t="s">
        <v>314</v>
      </c>
      <c r="G223" s="67" t="s">
        <v>204</v>
      </c>
      <c r="H223" s="144"/>
      <c r="I223" s="37"/>
      <c r="J223" s="159">
        <f t="shared" ref="J223:AP223" si="33">IF(J$24, $H161, $H158)</f>
        <v>4.1168801521771874E-2</v>
      </c>
      <c r="K223" s="159">
        <f t="shared" si="33"/>
        <v>4.1168801521771874E-2</v>
      </c>
      <c r="L223" s="159">
        <f t="shared" si="33"/>
        <v>4.1168801521771874E-2</v>
      </c>
      <c r="M223" s="159">
        <f t="shared" si="33"/>
        <v>4.1168801521771874E-2</v>
      </c>
      <c r="N223" s="159">
        <f t="shared" si="33"/>
        <v>4.1168801521771874E-2</v>
      </c>
      <c r="O223" s="159">
        <f t="shared" si="33"/>
        <v>4.1168801521771874E-2</v>
      </c>
      <c r="P223" s="159">
        <f t="shared" si="33"/>
        <v>4.1168801521771874E-2</v>
      </c>
      <c r="Q223" s="159">
        <f t="shared" si="33"/>
        <v>4.1168801521771874E-2</v>
      </c>
      <c r="R223" s="159">
        <f t="shared" si="33"/>
        <v>4.1168801521771874E-2</v>
      </c>
      <c r="S223" s="159">
        <f t="shared" si="33"/>
        <v>4.1168801521771874E-2</v>
      </c>
      <c r="T223" s="159">
        <f t="shared" si="33"/>
        <v>4.1168801521771874E-2</v>
      </c>
      <c r="U223" s="159">
        <f t="shared" si="33"/>
        <v>4.1168801521771874E-2</v>
      </c>
      <c r="V223" s="159">
        <f t="shared" si="33"/>
        <v>4.1168801521771874E-2</v>
      </c>
      <c r="W223" s="159">
        <f t="shared" si="33"/>
        <v>4.1168801521771874E-2</v>
      </c>
      <c r="X223" s="159">
        <f t="shared" si="33"/>
        <v>4.1168801521771874E-2</v>
      </c>
      <c r="Y223" s="159">
        <f t="shared" si="33"/>
        <v>4.1168801521771874E-2</v>
      </c>
      <c r="Z223" s="159">
        <f t="shared" si="33"/>
        <v>4.1168801521771874E-2</v>
      </c>
      <c r="AA223" s="159">
        <f t="shared" si="33"/>
        <v>4.1168801521771874E-2</v>
      </c>
      <c r="AB223" s="159">
        <f t="shared" si="33"/>
        <v>4.1168801521771874E-2</v>
      </c>
      <c r="AC223" s="159">
        <f t="shared" si="33"/>
        <v>4.1168801521771874E-2</v>
      </c>
      <c r="AD223" s="159">
        <f t="shared" si="33"/>
        <v>4.1168801521771874E-2</v>
      </c>
      <c r="AE223" s="159">
        <f t="shared" si="33"/>
        <v>4.1168801521771874E-2</v>
      </c>
      <c r="AF223" s="159">
        <f t="shared" si="33"/>
        <v>4.1168801521771874E-2</v>
      </c>
      <c r="AG223" s="159">
        <f t="shared" si="33"/>
        <v>4.1168801521771874E-2</v>
      </c>
      <c r="AH223" s="159">
        <f t="shared" si="33"/>
        <v>4.1168801521771874E-2</v>
      </c>
      <c r="AI223" s="159">
        <f t="shared" si="33"/>
        <v>4.1168801521771874E-2</v>
      </c>
      <c r="AJ223" s="159">
        <f t="shared" si="33"/>
        <v>4.1168801521771874E-2</v>
      </c>
      <c r="AK223" s="159">
        <f t="shared" si="33"/>
        <v>4.1168801521771874E-2</v>
      </c>
      <c r="AL223" s="159">
        <f t="shared" si="33"/>
        <v>4.1168801521771874E-2</v>
      </c>
      <c r="AM223" s="159">
        <f t="shared" si="33"/>
        <v>4.1168801521771874E-2</v>
      </c>
      <c r="AN223" s="159">
        <f t="shared" si="33"/>
        <v>4.1168801521771874E-2</v>
      </c>
      <c r="AO223" s="159">
        <f t="shared" si="33"/>
        <v>4.1168801521771874E-2</v>
      </c>
      <c r="AP223" s="159">
        <f t="shared" si="33"/>
        <v>4.1168801521771874E-2</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568</v>
      </c>
      <c r="G225" s="28"/>
    </row>
    <row r="226" spans="5:42" x14ac:dyDescent="0.25">
      <c r="E226" s="29"/>
      <c r="F226" s="78" t="s">
        <v>535</v>
      </c>
      <c r="G226" s="64" t="s">
        <v>204</v>
      </c>
      <c r="H226" s="110"/>
      <c r="I226" s="23"/>
      <c r="J226" s="158">
        <f t="shared" ref="J226:AP226" si="34">IF(J$24, $H167, $H164)</f>
        <v>0.64991237301101812</v>
      </c>
      <c r="K226" s="158">
        <f t="shared" si="34"/>
        <v>0.64991237301101812</v>
      </c>
      <c r="L226" s="158">
        <f t="shared" si="34"/>
        <v>0.64991237301101812</v>
      </c>
      <c r="M226" s="158">
        <f t="shared" si="34"/>
        <v>0.64991237301101812</v>
      </c>
      <c r="N226" s="158">
        <f t="shared" si="34"/>
        <v>0.64991237301101812</v>
      </c>
      <c r="O226" s="158">
        <f t="shared" si="34"/>
        <v>0.64991237301101812</v>
      </c>
      <c r="P226" s="158">
        <f t="shared" si="34"/>
        <v>0.64991237301101812</v>
      </c>
      <c r="Q226" s="158">
        <f t="shared" si="34"/>
        <v>0.64991237301101812</v>
      </c>
      <c r="R226" s="158">
        <f t="shared" si="34"/>
        <v>0.64991237301101812</v>
      </c>
      <c r="S226" s="158">
        <f t="shared" si="34"/>
        <v>0.64991237301101812</v>
      </c>
      <c r="T226" s="158">
        <f t="shared" si="34"/>
        <v>0.64991237301101812</v>
      </c>
      <c r="U226" s="158">
        <f t="shared" si="34"/>
        <v>0.64991237301101812</v>
      </c>
      <c r="V226" s="158">
        <f t="shared" si="34"/>
        <v>0.64991237301101812</v>
      </c>
      <c r="W226" s="158">
        <f t="shared" si="34"/>
        <v>0.64991237301101812</v>
      </c>
      <c r="X226" s="158">
        <f t="shared" si="34"/>
        <v>0.6301860563682623</v>
      </c>
      <c r="Y226" s="158">
        <f t="shared" si="34"/>
        <v>0.6301860563682623</v>
      </c>
      <c r="Z226" s="158">
        <f t="shared" si="34"/>
        <v>0.6301860563682623</v>
      </c>
      <c r="AA226" s="158">
        <f t="shared" si="34"/>
        <v>0.6301860563682623</v>
      </c>
      <c r="AB226" s="158">
        <f t="shared" si="34"/>
        <v>0.6301860563682623</v>
      </c>
      <c r="AC226" s="158">
        <f t="shared" si="34"/>
        <v>0.64991237301101812</v>
      </c>
      <c r="AD226" s="158">
        <f t="shared" si="34"/>
        <v>0.64991237301101812</v>
      </c>
      <c r="AE226" s="158">
        <f t="shared" si="34"/>
        <v>0.64991237301101812</v>
      </c>
      <c r="AF226" s="158">
        <f t="shared" si="34"/>
        <v>0.64991237301101812</v>
      </c>
      <c r="AG226" s="158">
        <f t="shared" si="34"/>
        <v>0.64991237301101812</v>
      </c>
      <c r="AH226" s="158">
        <f t="shared" si="34"/>
        <v>0.64991237301101812</v>
      </c>
      <c r="AI226" s="158">
        <f t="shared" si="34"/>
        <v>0.64991237301101812</v>
      </c>
      <c r="AJ226" s="158">
        <f t="shared" si="34"/>
        <v>0.64991237301101812</v>
      </c>
      <c r="AK226" s="158">
        <f t="shared" si="34"/>
        <v>0.64991237301101812</v>
      </c>
      <c r="AL226" s="158">
        <f t="shared" si="34"/>
        <v>0.64991237301101812</v>
      </c>
      <c r="AM226" s="158">
        <f t="shared" si="34"/>
        <v>0.64991237301101812</v>
      </c>
      <c r="AN226" s="158">
        <f t="shared" si="34"/>
        <v>0.64991237301101812</v>
      </c>
      <c r="AO226" s="158">
        <f t="shared" si="34"/>
        <v>0.64991237301101812</v>
      </c>
      <c r="AP226" s="158">
        <f t="shared" si="34"/>
        <v>0.64991237301101812</v>
      </c>
    </row>
    <row r="227" spans="5:42" x14ac:dyDescent="0.25">
      <c r="E227" s="29"/>
      <c r="F227" s="72" t="s">
        <v>536</v>
      </c>
      <c r="G227" s="28" t="s">
        <v>204</v>
      </c>
      <c r="H227" s="25"/>
      <c r="J227" s="148">
        <f t="shared" ref="J227:AP227" si="35">IF(J$24, $H168, $H165)</f>
        <v>0.30891882546720989</v>
      </c>
      <c r="K227" s="148">
        <f t="shared" si="35"/>
        <v>0.30891882546720989</v>
      </c>
      <c r="L227" s="148">
        <f t="shared" si="35"/>
        <v>0.30891882546720989</v>
      </c>
      <c r="M227" s="148">
        <f t="shared" si="35"/>
        <v>0.30891882546720989</v>
      </c>
      <c r="N227" s="148">
        <f t="shared" si="35"/>
        <v>0.30891882546720989</v>
      </c>
      <c r="O227" s="148">
        <f t="shared" si="35"/>
        <v>0.30891882546720989</v>
      </c>
      <c r="P227" s="148">
        <f t="shared" si="35"/>
        <v>0.30891882546720989</v>
      </c>
      <c r="Q227" s="148">
        <f t="shared" si="35"/>
        <v>0.30891882546720989</v>
      </c>
      <c r="R227" s="148">
        <f t="shared" si="35"/>
        <v>0.30891882546720989</v>
      </c>
      <c r="S227" s="148">
        <f t="shared" si="35"/>
        <v>0.30891882546720989</v>
      </c>
      <c r="T227" s="148">
        <f t="shared" si="35"/>
        <v>0.30891882546720989</v>
      </c>
      <c r="U227" s="148">
        <f t="shared" si="35"/>
        <v>0.30891882546720989</v>
      </c>
      <c r="V227" s="148">
        <f t="shared" si="35"/>
        <v>0.30891882546720989</v>
      </c>
      <c r="W227" s="148">
        <f t="shared" si="35"/>
        <v>0.30891882546720989</v>
      </c>
      <c r="X227" s="148">
        <f t="shared" si="35"/>
        <v>0.32864514210996576</v>
      </c>
      <c r="Y227" s="148">
        <f t="shared" si="35"/>
        <v>0.32864514210996576</v>
      </c>
      <c r="Z227" s="148">
        <f t="shared" si="35"/>
        <v>0.32864514210996576</v>
      </c>
      <c r="AA227" s="148">
        <f t="shared" si="35"/>
        <v>0.32864514210996576</v>
      </c>
      <c r="AB227" s="148">
        <f t="shared" si="35"/>
        <v>0.32864514210996576</v>
      </c>
      <c r="AC227" s="148">
        <f t="shared" si="35"/>
        <v>0.30891882546720989</v>
      </c>
      <c r="AD227" s="148">
        <f t="shared" si="35"/>
        <v>0.30891882546720989</v>
      </c>
      <c r="AE227" s="148">
        <f t="shared" si="35"/>
        <v>0.30891882546720989</v>
      </c>
      <c r="AF227" s="148">
        <f t="shared" si="35"/>
        <v>0.30891882546720989</v>
      </c>
      <c r="AG227" s="148">
        <f t="shared" si="35"/>
        <v>0.30891882546720989</v>
      </c>
      <c r="AH227" s="148">
        <f t="shared" si="35"/>
        <v>0.30891882546720989</v>
      </c>
      <c r="AI227" s="148">
        <f t="shared" si="35"/>
        <v>0.30891882546720989</v>
      </c>
      <c r="AJ227" s="148">
        <f t="shared" si="35"/>
        <v>0.30891882546720989</v>
      </c>
      <c r="AK227" s="148">
        <f t="shared" si="35"/>
        <v>0.30891882546720989</v>
      </c>
      <c r="AL227" s="148">
        <f t="shared" si="35"/>
        <v>0.30891882546720989</v>
      </c>
      <c r="AM227" s="148">
        <f t="shared" si="35"/>
        <v>0.30891882546720989</v>
      </c>
      <c r="AN227" s="148">
        <f t="shared" si="35"/>
        <v>0.30891882546720989</v>
      </c>
      <c r="AO227" s="148">
        <f t="shared" si="35"/>
        <v>0.30891882546720989</v>
      </c>
      <c r="AP227" s="148">
        <f t="shared" si="35"/>
        <v>0.30891882546720989</v>
      </c>
    </row>
    <row r="228" spans="5:42" x14ac:dyDescent="0.25">
      <c r="E228" s="29"/>
      <c r="F228" s="80" t="s">
        <v>314</v>
      </c>
      <c r="G228" s="67" t="s">
        <v>204</v>
      </c>
      <c r="H228" s="144"/>
      <c r="I228" s="37"/>
      <c r="J228" s="159">
        <f t="shared" ref="J228:AP228" si="36">IF(J$24, $H169, $H166)</f>
        <v>4.1168801521771874E-2</v>
      </c>
      <c r="K228" s="159">
        <f t="shared" si="36"/>
        <v>4.1168801521771874E-2</v>
      </c>
      <c r="L228" s="159">
        <f t="shared" si="36"/>
        <v>4.1168801521771874E-2</v>
      </c>
      <c r="M228" s="159">
        <f t="shared" si="36"/>
        <v>4.1168801521771874E-2</v>
      </c>
      <c r="N228" s="159">
        <f t="shared" si="36"/>
        <v>4.1168801521771874E-2</v>
      </c>
      <c r="O228" s="159">
        <f t="shared" si="36"/>
        <v>4.1168801521771874E-2</v>
      </c>
      <c r="P228" s="159">
        <f t="shared" si="36"/>
        <v>4.1168801521771874E-2</v>
      </c>
      <c r="Q228" s="159">
        <f t="shared" si="36"/>
        <v>4.1168801521771874E-2</v>
      </c>
      <c r="R228" s="159">
        <f t="shared" si="36"/>
        <v>4.1168801521771874E-2</v>
      </c>
      <c r="S228" s="159">
        <f t="shared" si="36"/>
        <v>4.1168801521771874E-2</v>
      </c>
      <c r="T228" s="159">
        <f t="shared" si="36"/>
        <v>4.1168801521771874E-2</v>
      </c>
      <c r="U228" s="159">
        <f t="shared" si="36"/>
        <v>4.1168801521771874E-2</v>
      </c>
      <c r="V228" s="159">
        <f t="shared" si="36"/>
        <v>4.1168801521771874E-2</v>
      </c>
      <c r="W228" s="159">
        <f t="shared" si="36"/>
        <v>4.1168801521771874E-2</v>
      </c>
      <c r="X228" s="159">
        <f t="shared" si="36"/>
        <v>4.1168801521771874E-2</v>
      </c>
      <c r="Y228" s="159">
        <f t="shared" si="36"/>
        <v>4.1168801521771874E-2</v>
      </c>
      <c r="Z228" s="159">
        <f t="shared" si="36"/>
        <v>4.1168801521771874E-2</v>
      </c>
      <c r="AA228" s="159">
        <f t="shared" si="36"/>
        <v>4.1168801521771874E-2</v>
      </c>
      <c r="AB228" s="159">
        <f t="shared" si="36"/>
        <v>4.1168801521771874E-2</v>
      </c>
      <c r="AC228" s="159">
        <f t="shared" si="36"/>
        <v>4.1168801521771874E-2</v>
      </c>
      <c r="AD228" s="159">
        <f t="shared" si="36"/>
        <v>4.1168801521771874E-2</v>
      </c>
      <c r="AE228" s="159">
        <f t="shared" si="36"/>
        <v>4.1168801521771874E-2</v>
      </c>
      <c r="AF228" s="159">
        <f t="shared" si="36"/>
        <v>4.1168801521771874E-2</v>
      </c>
      <c r="AG228" s="159">
        <f t="shared" si="36"/>
        <v>4.1168801521771874E-2</v>
      </c>
      <c r="AH228" s="159">
        <f t="shared" si="36"/>
        <v>4.1168801521771874E-2</v>
      </c>
      <c r="AI228" s="159">
        <f t="shared" si="36"/>
        <v>4.1168801521771874E-2</v>
      </c>
      <c r="AJ228" s="159">
        <f t="shared" si="36"/>
        <v>4.1168801521771874E-2</v>
      </c>
      <c r="AK228" s="159">
        <f t="shared" si="36"/>
        <v>4.1168801521771874E-2</v>
      </c>
      <c r="AL228" s="159">
        <f t="shared" si="36"/>
        <v>4.1168801521771874E-2</v>
      </c>
      <c r="AM228" s="159">
        <f t="shared" si="36"/>
        <v>4.1168801521771874E-2</v>
      </c>
      <c r="AN228" s="159">
        <f t="shared" si="36"/>
        <v>4.1168801521771874E-2</v>
      </c>
      <c r="AO228" s="159">
        <f t="shared" si="36"/>
        <v>4.1168801521771874E-2</v>
      </c>
      <c r="AP228" s="159">
        <f t="shared" si="36"/>
        <v>4.1168801521771874E-2</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569</v>
      </c>
      <c r="G230" s="28"/>
    </row>
    <row r="231" spans="5:42" x14ac:dyDescent="0.25">
      <c r="E231" s="29"/>
      <c r="F231" s="78" t="s">
        <v>535</v>
      </c>
      <c r="G231" s="64" t="s">
        <v>204</v>
      </c>
      <c r="H231" s="110"/>
      <c r="I231" s="23"/>
      <c r="J231" s="158">
        <f t="shared" ref="J231:AP231" si="37">IF(J$24, $H175, $H172)</f>
        <v>0.77342304201310019</v>
      </c>
      <c r="K231" s="158">
        <f t="shared" si="37"/>
        <v>0.77342304201310019</v>
      </c>
      <c r="L231" s="158">
        <f t="shared" si="37"/>
        <v>0.77342304201310019</v>
      </c>
      <c r="M231" s="158">
        <f t="shared" si="37"/>
        <v>0.77342304201310019</v>
      </c>
      <c r="N231" s="158">
        <f t="shared" si="37"/>
        <v>0.77342304201310019</v>
      </c>
      <c r="O231" s="158">
        <f t="shared" si="37"/>
        <v>0.77342304201310019</v>
      </c>
      <c r="P231" s="158">
        <f t="shared" si="37"/>
        <v>0.77342304201310019</v>
      </c>
      <c r="Q231" s="158">
        <f t="shared" si="37"/>
        <v>0.77342304201310019</v>
      </c>
      <c r="R231" s="158">
        <f t="shared" si="37"/>
        <v>0.77342304201310019</v>
      </c>
      <c r="S231" s="158">
        <f t="shared" si="37"/>
        <v>0.77342304201310019</v>
      </c>
      <c r="T231" s="158">
        <f t="shared" si="37"/>
        <v>0.77342304201310019</v>
      </c>
      <c r="U231" s="158">
        <f t="shared" si="37"/>
        <v>0.77342304201310019</v>
      </c>
      <c r="V231" s="158">
        <f t="shared" si="37"/>
        <v>0.77342304201310019</v>
      </c>
      <c r="W231" s="158">
        <f t="shared" si="37"/>
        <v>0.77342304201310019</v>
      </c>
      <c r="X231" s="158">
        <f t="shared" si="37"/>
        <v>0.74424444907551823</v>
      </c>
      <c r="Y231" s="158">
        <f t="shared" si="37"/>
        <v>0.74424444907551823</v>
      </c>
      <c r="Z231" s="158">
        <f t="shared" si="37"/>
        <v>0.74424444907551823</v>
      </c>
      <c r="AA231" s="158">
        <f t="shared" si="37"/>
        <v>0.74424444907551823</v>
      </c>
      <c r="AB231" s="158">
        <f t="shared" si="37"/>
        <v>0.74424444907551823</v>
      </c>
      <c r="AC231" s="158">
        <f t="shared" si="37"/>
        <v>0.77342304201310019</v>
      </c>
      <c r="AD231" s="158">
        <f t="shared" si="37"/>
        <v>0.77342304201310019</v>
      </c>
      <c r="AE231" s="158">
        <f t="shared" si="37"/>
        <v>0.77342304201310019</v>
      </c>
      <c r="AF231" s="158">
        <f t="shared" si="37"/>
        <v>0.77342304201310019</v>
      </c>
      <c r="AG231" s="158">
        <f t="shared" si="37"/>
        <v>0.77342304201310019</v>
      </c>
      <c r="AH231" s="158">
        <f t="shared" si="37"/>
        <v>0.77342304201310019</v>
      </c>
      <c r="AI231" s="158">
        <f t="shared" si="37"/>
        <v>0.77342304201310019</v>
      </c>
      <c r="AJ231" s="158">
        <f t="shared" si="37"/>
        <v>0.77342304201310019</v>
      </c>
      <c r="AK231" s="158">
        <f t="shared" si="37"/>
        <v>0.77342304201310019</v>
      </c>
      <c r="AL231" s="158">
        <f t="shared" si="37"/>
        <v>0.77342304201310019</v>
      </c>
      <c r="AM231" s="158">
        <f t="shared" si="37"/>
        <v>0.77342304201310019</v>
      </c>
      <c r="AN231" s="158">
        <f t="shared" si="37"/>
        <v>0.77342304201310019</v>
      </c>
      <c r="AO231" s="158">
        <f t="shared" si="37"/>
        <v>0.77342304201310019</v>
      </c>
      <c r="AP231" s="158">
        <f t="shared" si="37"/>
        <v>0.77342304201310019</v>
      </c>
    </row>
    <row r="232" spans="5:42" x14ac:dyDescent="0.25">
      <c r="E232" s="29"/>
      <c r="F232" s="72" t="s">
        <v>536</v>
      </c>
      <c r="G232" s="28" t="s">
        <v>204</v>
      </c>
      <c r="H232" s="25"/>
      <c r="J232" s="148">
        <f t="shared" ref="J232:AP232" si="38">IF(J$24, $H176, $H173)</f>
        <v>0.21193915344884084</v>
      </c>
      <c r="K232" s="148">
        <f t="shared" si="38"/>
        <v>0.21193915344884084</v>
      </c>
      <c r="L232" s="148">
        <f t="shared" si="38"/>
        <v>0.21193915344884084</v>
      </c>
      <c r="M232" s="148">
        <f t="shared" si="38"/>
        <v>0.21193915344884084</v>
      </c>
      <c r="N232" s="148">
        <f t="shared" si="38"/>
        <v>0.21193915344884084</v>
      </c>
      <c r="O232" s="148">
        <f t="shared" si="38"/>
        <v>0.21193915344884084</v>
      </c>
      <c r="P232" s="148">
        <f t="shared" si="38"/>
        <v>0.21193915344884084</v>
      </c>
      <c r="Q232" s="148">
        <f t="shared" si="38"/>
        <v>0.21193915344884084</v>
      </c>
      <c r="R232" s="148">
        <f t="shared" si="38"/>
        <v>0.21193915344884084</v>
      </c>
      <c r="S232" s="148">
        <f t="shared" si="38"/>
        <v>0.21193915344884084</v>
      </c>
      <c r="T232" s="148">
        <f t="shared" si="38"/>
        <v>0.21193915344884084</v>
      </c>
      <c r="U232" s="148">
        <f t="shared" si="38"/>
        <v>0.21193915344884084</v>
      </c>
      <c r="V232" s="148">
        <f t="shared" si="38"/>
        <v>0.21193915344884084</v>
      </c>
      <c r="W232" s="148">
        <f t="shared" si="38"/>
        <v>0.21193915344884084</v>
      </c>
      <c r="X232" s="148">
        <f t="shared" si="38"/>
        <v>0.2411177463864228</v>
      </c>
      <c r="Y232" s="148">
        <f t="shared" si="38"/>
        <v>0.2411177463864228</v>
      </c>
      <c r="Z232" s="148">
        <f t="shared" si="38"/>
        <v>0.2411177463864228</v>
      </c>
      <c r="AA232" s="148">
        <f t="shared" si="38"/>
        <v>0.2411177463864228</v>
      </c>
      <c r="AB232" s="148">
        <f t="shared" si="38"/>
        <v>0.2411177463864228</v>
      </c>
      <c r="AC232" s="148">
        <f t="shared" si="38"/>
        <v>0.21193915344884084</v>
      </c>
      <c r="AD232" s="148">
        <f t="shared" si="38"/>
        <v>0.21193915344884084</v>
      </c>
      <c r="AE232" s="148">
        <f t="shared" si="38"/>
        <v>0.21193915344884084</v>
      </c>
      <c r="AF232" s="148">
        <f t="shared" si="38"/>
        <v>0.21193915344884084</v>
      </c>
      <c r="AG232" s="148">
        <f t="shared" si="38"/>
        <v>0.21193915344884084</v>
      </c>
      <c r="AH232" s="148">
        <f t="shared" si="38"/>
        <v>0.21193915344884084</v>
      </c>
      <c r="AI232" s="148">
        <f t="shared" si="38"/>
        <v>0.21193915344884084</v>
      </c>
      <c r="AJ232" s="148">
        <f t="shared" si="38"/>
        <v>0.21193915344884084</v>
      </c>
      <c r="AK232" s="148">
        <f t="shared" si="38"/>
        <v>0.21193915344884084</v>
      </c>
      <c r="AL232" s="148">
        <f t="shared" si="38"/>
        <v>0.21193915344884084</v>
      </c>
      <c r="AM232" s="148">
        <f t="shared" si="38"/>
        <v>0.21193915344884084</v>
      </c>
      <c r="AN232" s="148">
        <f t="shared" si="38"/>
        <v>0.21193915344884084</v>
      </c>
      <c r="AO232" s="148">
        <f t="shared" si="38"/>
        <v>0.21193915344884084</v>
      </c>
      <c r="AP232" s="148">
        <f t="shared" si="38"/>
        <v>0.21193915344884084</v>
      </c>
    </row>
    <row r="233" spans="5:42" x14ac:dyDescent="0.25">
      <c r="E233" s="29"/>
      <c r="F233" s="80" t="s">
        <v>314</v>
      </c>
      <c r="G233" s="67" t="s">
        <v>204</v>
      </c>
      <c r="H233" s="144"/>
      <c r="I233" s="37"/>
      <c r="J233" s="159">
        <f t="shared" ref="J233:AP233" si="39">IF(J$24, $H177, $H174)</f>
        <v>1.4637804538059027E-2</v>
      </c>
      <c r="K233" s="159">
        <f t="shared" si="39"/>
        <v>1.4637804538059027E-2</v>
      </c>
      <c r="L233" s="159">
        <f t="shared" si="39"/>
        <v>1.4637804538059027E-2</v>
      </c>
      <c r="M233" s="159">
        <f t="shared" si="39"/>
        <v>1.4637804538059027E-2</v>
      </c>
      <c r="N233" s="159">
        <f t="shared" si="39"/>
        <v>1.4637804538059027E-2</v>
      </c>
      <c r="O233" s="159">
        <f t="shared" si="39"/>
        <v>1.4637804538059027E-2</v>
      </c>
      <c r="P233" s="159">
        <f t="shared" si="39"/>
        <v>1.4637804538059027E-2</v>
      </c>
      <c r="Q233" s="159">
        <f t="shared" si="39"/>
        <v>1.4637804538059027E-2</v>
      </c>
      <c r="R233" s="159">
        <f t="shared" si="39"/>
        <v>1.4637804538059027E-2</v>
      </c>
      <c r="S233" s="159">
        <f t="shared" si="39"/>
        <v>1.4637804538059027E-2</v>
      </c>
      <c r="T233" s="159">
        <f t="shared" si="39"/>
        <v>1.4637804538059027E-2</v>
      </c>
      <c r="U233" s="159">
        <f t="shared" si="39"/>
        <v>1.4637804538059027E-2</v>
      </c>
      <c r="V233" s="159">
        <f t="shared" si="39"/>
        <v>1.4637804538059027E-2</v>
      </c>
      <c r="W233" s="159">
        <f t="shared" si="39"/>
        <v>1.4637804538059027E-2</v>
      </c>
      <c r="X233" s="159">
        <f t="shared" si="39"/>
        <v>1.4637804538059027E-2</v>
      </c>
      <c r="Y233" s="159">
        <f t="shared" si="39"/>
        <v>1.4637804538059027E-2</v>
      </c>
      <c r="Z233" s="159">
        <f t="shared" si="39"/>
        <v>1.4637804538059027E-2</v>
      </c>
      <c r="AA233" s="159">
        <f t="shared" si="39"/>
        <v>1.4637804538059027E-2</v>
      </c>
      <c r="AB233" s="159">
        <f t="shared" si="39"/>
        <v>1.4637804538059027E-2</v>
      </c>
      <c r="AC233" s="159">
        <f t="shared" si="39"/>
        <v>1.4637804538059027E-2</v>
      </c>
      <c r="AD233" s="159">
        <f t="shared" si="39"/>
        <v>1.4637804538059027E-2</v>
      </c>
      <c r="AE233" s="159">
        <f t="shared" si="39"/>
        <v>1.4637804538059027E-2</v>
      </c>
      <c r="AF233" s="159">
        <f t="shared" si="39"/>
        <v>1.4637804538059027E-2</v>
      </c>
      <c r="AG233" s="159">
        <f t="shared" si="39"/>
        <v>1.4637804538059027E-2</v>
      </c>
      <c r="AH233" s="159">
        <f t="shared" si="39"/>
        <v>1.4637804538059027E-2</v>
      </c>
      <c r="AI233" s="159">
        <f t="shared" si="39"/>
        <v>1.4637804538059027E-2</v>
      </c>
      <c r="AJ233" s="159">
        <f t="shared" si="39"/>
        <v>1.4637804538059027E-2</v>
      </c>
      <c r="AK233" s="159">
        <f t="shared" si="39"/>
        <v>1.4637804538059027E-2</v>
      </c>
      <c r="AL233" s="159">
        <f t="shared" si="39"/>
        <v>1.4637804538059027E-2</v>
      </c>
      <c r="AM233" s="159">
        <f t="shared" si="39"/>
        <v>1.4637804538059027E-2</v>
      </c>
      <c r="AN233" s="159">
        <f t="shared" si="39"/>
        <v>1.4637804538059027E-2</v>
      </c>
      <c r="AO233" s="159">
        <f t="shared" si="39"/>
        <v>1.4637804538059027E-2</v>
      </c>
      <c r="AP233" s="159">
        <f t="shared" si="39"/>
        <v>1.4637804538059027E-2</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570</v>
      </c>
      <c r="G235" s="28"/>
    </row>
    <row r="236" spans="5:42" x14ac:dyDescent="0.25">
      <c r="E236" s="29"/>
      <c r="F236" s="78" t="s">
        <v>535</v>
      </c>
      <c r="G236" s="64" t="s">
        <v>204</v>
      </c>
      <c r="H236" s="110"/>
      <c r="I236" s="23"/>
      <c r="J236" s="158">
        <f t="shared" ref="J236:AP236" si="40">IF(J$24, $H183, $H180)</f>
        <v>0.64991237301101812</v>
      </c>
      <c r="K236" s="158">
        <f t="shared" si="40"/>
        <v>0.64991237301101812</v>
      </c>
      <c r="L236" s="158">
        <f t="shared" si="40"/>
        <v>0.64991237301101812</v>
      </c>
      <c r="M236" s="158">
        <f t="shared" si="40"/>
        <v>0.64991237301101812</v>
      </c>
      <c r="N236" s="158">
        <f t="shared" si="40"/>
        <v>0.64991237301101812</v>
      </c>
      <c r="O236" s="158">
        <f t="shared" si="40"/>
        <v>0.64991237301101812</v>
      </c>
      <c r="P236" s="158">
        <f t="shared" si="40"/>
        <v>0.64991237301101812</v>
      </c>
      <c r="Q236" s="158">
        <f t="shared" si="40"/>
        <v>0.64991237301101812</v>
      </c>
      <c r="R236" s="158">
        <f t="shared" si="40"/>
        <v>0.64991237301101812</v>
      </c>
      <c r="S236" s="158">
        <f t="shared" si="40"/>
        <v>0.64991237301101812</v>
      </c>
      <c r="T236" s="158">
        <f t="shared" si="40"/>
        <v>0.64991237301101812</v>
      </c>
      <c r="U236" s="158">
        <f t="shared" si="40"/>
        <v>0.64991237301101812</v>
      </c>
      <c r="V236" s="158">
        <f t="shared" si="40"/>
        <v>0.64991237301101812</v>
      </c>
      <c r="W236" s="158">
        <f t="shared" si="40"/>
        <v>0.64991237301101812</v>
      </c>
      <c r="X236" s="158">
        <f t="shared" si="40"/>
        <v>0.6301860563682623</v>
      </c>
      <c r="Y236" s="158">
        <f t="shared" si="40"/>
        <v>0.6301860563682623</v>
      </c>
      <c r="Z236" s="158">
        <f t="shared" si="40"/>
        <v>0.6301860563682623</v>
      </c>
      <c r="AA236" s="158">
        <f t="shared" si="40"/>
        <v>0.6301860563682623</v>
      </c>
      <c r="AB236" s="158">
        <f t="shared" si="40"/>
        <v>0.6301860563682623</v>
      </c>
      <c r="AC236" s="158">
        <f t="shared" si="40"/>
        <v>0.64991237301101812</v>
      </c>
      <c r="AD236" s="158">
        <f t="shared" si="40"/>
        <v>0.64991237301101812</v>
      </c>
      <c r="AE236" s="158">
        <f t="shared" si="40"/>
        <v>0.64991237301101812</v>
      </c>
      <c r="AF236" s="158">
        <f t="shared" si="40"/>
        <v>0.64991237301101812</v>
      </c>
      <c r="AG236" s="158">
        <f t="shared" si="40"/>
        <v>0.64991237301101812</v>
      </c>
      <c r="AH236" s="158">
        <f t="shared" si="40"/>
        <v>0.64991237301101812</v>
      </c>
      <c r="AI236" s="158">
        <f t="shared" si="40"/>
        <v>0.64991237301101812</v>
      </c>
      <c r="AJ236" s="158">
        <f t="shared" si="40"/>
        <v>0.64991237301101812</v>
      </c>
      <c r="AK236" s="158">
        <f t="shared" si="40"/>
        <v>0.64991237301101812</v>
      </c>
      <c r="AL236" s="158">
        <f t="shared" si="40"/>
        <v>0.64991237301101812</v>
      </c>
      <c r="AM236" s="158">
        <f t="shared" si="40"/>
        <v>0.64991237301101812</v>
      </c>
      <c r="AN236" s="158">
        <f t="shared" si="40"/>
        <v>0.64991237301101812</v>
      </c>
      <c r="AO236" s="158">
        <f t="shared" si="40"/>
        <v>0.64991237301101812</v>
      </c>
      <c r="AP236" s="158">
        <f t="shared" si="40"/>
        <v>0.64991237301101812</v>
      </c>
    </row>
    <row r="237" spans="5:42" x14ac:dyDescent="0.25">
      <c r="E237" s="29"/>
      <c r="F237" s="72" t="s">
        <v>536</v>
      </c>
      <c r="G237" s="28" t="s">
        <v>204</v>
      </c>
      <c r="H237" s="25"/>
      <c r="J237" s="148">
        <f t="shared" ref="J237:AP237" si="41">IF(J$24, $H184, $H181)</f>
        <v>0.30891882546720989</v>
      </c>
      <c r="K237" s="148">
        <f t="shared" si="41"/>
        <v>0.30891882546720989</v>
      </c>
      <c r="L237" s="148">
        <f t="shared" si="41"/>
        <v>0.30891882546720989</v>
      </c>
      <c r="M237" s="148">
        <f t="shared" si="41"/>
        <v>0.30891882546720989</v>
      </c>
      <c r="N237" s="148">
        <f t="shared" si="41"/>
        <v>0.30891882546720989</v>
      </c>
      <c r="O237" s="148">
        <f t="shared" si="41"/>
        <v>0.30891882546720989</v>
      </c>
      <c r="P237" s="148">
        <f t="shared" si="41"/>
        <v>0.30891882546720989</v>
      </c>
      <c r="Q237" s="148">
        <f t="shared" si="41"/>
        <v>0.30891882546720989</v>
      </c>
      <c r="R237" s="148">
        <f t="shared" si="41"/>
        <v>0.30891882546720989</v>
      </c>
      <c r="S237" s="148">
        <f t="shared" si="41"/>
        <v>0.30891882546720989</v>
      </c>
      <c r="T237" s="148">
        <f t="shared" si="41"/>
        <v>0.30891882546720989</v>
      </c>
      <c r="U237" s="148">
        <f t="shared" si="41"/>
        <v>0.30891882546720989</v>
      </c>
      <c r="V237" s="148">
        <f t="shared" si="41"/>
        <v>0.30891882546720989</v>
      </c>
      <c r="W237" s="148">
        <f t="shared" si="41"/>
        <v>0.30891882546720989</v>
      </c>
      <c r="X237" s="148">
        <f t="shared" si="41"/>
        <v>0.32864514210996576</v>
      </c>
      <c r="Y237" s="148">
        <f t="shared" si="41"/>
        <v>0.32864514210996576</v>
      </c>
      <c r="Z237" s="148">
        <f t="shared" si="41"/>
        <v>0.32864514210996576</v>
      </c>
      <c r="AA237" s="148">
        <f t="shared" si="41"/>
        <v>0.32864514210996576</v>
      </c>
      <c r="AB237" s="148">
        <f t="shared" si="41"/>
        <v>0.32864514210996576</v>
      </c>
      <c r="AC237" s="148">
        <f t="shared" si="41"/>
        <v>0.30891882546720989</v>
      </c>
      <c r="AD237" s="148">
        <f t="shared" si="41"/>
        <v>0.30891882546720989</v>
      </c>
      <c r="AE237" s="148">
        <f t="shared" si="41"/>
        <v>0.30891882546720989</v>
      </c>
      <c r="AF237" s="148">
        <f t="shared" si="41"/>
        <v>0.30891882546720989</v>
      </c>
      <c r="AG237" s="148">
        <f t="shared" si="41"/>
        <v>0.30891882546720989</v>
      </c>
      <c r="AH237" s="148">
        <f t="shared" si="41"/>
        <v>0.30891882546720989</v>
      </c>
      <c r="AI237" s="148">
        <f t="shared" si="41"/>
        <v>0.30891882546720989</v>
      </c>
      <c r="AJ237" s="148">
        <f t="shared" si="41"/>
        <v>0.30891882546720989</v>
      </c>
      <c r="AK237" s="148">
        <f t="shared" si="41"/>
        <v>0.30891882546720989</v>
      </c>
      <c r="AL237" s="148">
        <f t="shared" si="41"/>
        <v>0.30891882546720989</v>
      </c>
      <c r="AM237" s="148">
        <f t="shared" si="41"/>
        <v>0.30891882546720989</v>
      </c>
      <c r="AN237" s="148">
        <f t="shared" si="41"/>
        <v>0.30891882546720989</v>
      </c>
      <c r="AO237" s="148">
        <f t="shared" si="41"/>
        <v>0.30891882546720989</v>
      </c>
      <c r="AP237" s="148">
        <f t="shared" si="41"/>
        <v>0.30891882546720989</v>
      </c>
    </row>
    <row r="238" spans="5:42" x14ac:dyDescent="0.25">
      <c r="E238" s="29"/>
      <c r="F238" s="80" t="s">
        <v>314</v>
      </c>
      <c r="G238" s="67" t="s">
        <v>204</v>
      </c>
      <c r="H238" s="144"/>
      <c r="I238" s="37"/>
      <c r="J238" s="159">
        <f t="shared" ref="J238:AP238" si="42">IF(J$24, $H185, $H182)</f>
        <v>4.1168801521771874E-2</v>
      </c>
      <c r="K238" s="159">
        <f t="shared" si="42"/>
        <v>4.1168801521771874E-2</v>
      </c>
      <c r="L238" s="159">
        <f t="shared" si="42"/>
        <v>4.1168801521771874E-2</v>
      </c>
      <c r="M238" s="159">
        <f t="shared" si="42"/>
        <v>4.1168801521771874E-2</v>
      </c>
      <c r="N238" s="159">
        <f t="shared" si="42"/>
        <v>4.1168801521771874E-2</v>
      </c>
      <c r="O238" s="159">
        <f t="shared" si="42"/>
        <v>4.1168801521771874E-2</v>
      </c>
      <c r="P238" s="159">
        <f t="shared" si="42"/>
        <v>4.1168801521771874E-2</v>
      </c>
      <c r="Q238" s="159">
        <f t="shared" si="42"/>
        <v>4.1168801521771874E-2</v>
      </c>
      <c r="R238" s="159">
        <f t="shared" si="42"/>
        <v>4.1168801521771874E-2</v>
      </c>
      <c r="S238" s="159">
        <f t="shared" si="42"/>
        <v>4.1168801521771874E-2</v>
      </c>
      <c r="T238" s="159">
        <f t="shared" si="42"/>
        <v>4.1168801521771874E-2</v>
      </c>
      <c r="U238" s="159">
        <f t="shared" si="42"/>
        <v>4.1168801521771874E-2</v>
      </c>
      <c r="V238" s="159">
        <f t="shared" si="42"/>
        <v>4.1168801521771874E-2</v>
      </c>
      <c r="W238" s="159">
        <f t="shared" si="42"/>
        <v>4.1168801521771874E-2</v>
      </c>
      <c r="X238" s="159">
        <f t="shared" si="42"/>
        <v>4.1168801521771874E-2</v>
      </c>
      <c r="Y238" s="159">
        <f t="shared" si="42"/>
        <v>4.1168801521771874E-2</v>
      </c>
      <c r="Z238" s="159">
        <f t="shared" si="42"/>
        <v>4.1168801521771874E-2</v>
      </c>
      <c r="AA238" s="159">
        <f t="shared" si="42"/>
        <v>4.1168801521771874E-2</v>
      </c>
      <c r="AB238" s="159">
        <f t="shared" si="42"/>
        <v>4.1168801521771874E-2</v>
      </c>
      <c r="AC238" s="159">
        <f t="shared" si="42"/>
        <v>4.1168801521771874E-2</v>
      </c>
      <c r="AD238" s="159">
        <f t="shared" si="42"/>
        <v>4.1168801521771874E-2</v>
      </c>
      <c r="AE238" s="159">
        <f t="shared" si="42"/>
        <v>4.1168801521771874E-2</v>
      </c>
      <c r="AF238" s="159">
        <f t="shared" si="42"/>
        <v>4.1168801521771874E-2</v>
      </c>
      <c r="AG238" s="159">
        <f t="shared" si="42"/>
        <v>4.1168801521771874E-2</v>
      </c>
      <c r="AH238" s="159">
        <f t="shared" si="42"/>
        <v>4.1168801521771874E-2</v>
      </c>
      <c r="AI238" s="159">
        <f t="shared" si="42"/>
        <v>4.1168801521771874E-2</v>
      </c>
      <c r="AJ238" s="159">
        <f t="shared" si="42"/>
        <v>4.1168801521771874E-2</v>
      </c>
      <c r="AK238" s="159">
        <f t="shared" si="42"/>
        <v>4.1168801521771874E-2</v>
      </c>
      <c r="AL238" s="159">
        <f t="shared" si="42"/>
        <v>4.1168801521771874E-2</v>
      </c>
      <c r="AM238" s="159">
        <f t="shared" si="42"/>
        <v>4.1168801521771874E-2</v>
      </c>
      <c r="AN238" s="159">
        <f t="shared" si="42"/>
        <v>4.1168801521771874E-2</v>
      </c>
      <c r="AO238" s="159">
        <f t="shared" si="42"/>
        <v>4.1168801521771874E-2</v>
      </c>
      <c r="AP238" s="159">
        <f t="shared" si="42"/>
        <v>4.1168801521771874E-2</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571</v>
      </c>
      <c r="G240" s="28"/>
    </row>
    <row r="241" spans="3:44" x14ac:dyDescent="0.25">
      <c r="E241" s="29"/>
      <c r="F241" s="78" t="s">
        <v>535</v>
      </c>
      <c r="G241" s="64" t="s">
        <v>204</v>
      </c>
      <c r="H241" s="110"/>
      <c r="I241" s="23"/>
      <c r="J241" s="158">
        <f t="shared" ref="J241:AP241" si="43">IF(J$24, $H191, $H188)</f>
        <v>0.64991237301101812</v>
      </c>
      <c r="K241" s="158">
        <f t="shared" si="43"/>
        <v>0.64991237301101812</v>
      </c>
      <c r="L241" s="158">
        <f t="shared" si="43"/>
        <v>0.64991237301101812</v>
      </c>
      <c r="M241" s="158">
        <f t="shared" si="43"/>
        <v>0.64991237301101812</v>
      </c>
      <c r="N241" s="158">
        <f t="shared" si="43"/>
        <v>0.64991237301101812</v>
      </c>
      <c r="O241" s="158">
        <f t="shared" si="43"/>
        <v>0.64991237301101812</v>
      </c>
      <c r="P241" s="158">
        <f t="shared" si="43"/>
        <v>0.64991237301101812</v>
      </c>
      <c r="Q241" s="158">
        <f t="shared" si="43"/>
        <v>0.64991237301101812</v>
      </c>
      <c r="R241" s="158">
        <f t="shared" si="43"/>
        <v>0.64991237301101812</v>
      </c>
      <c r="S241" s="158">
        <f t="shared" si="43"/>
        <v>0.64991237301101812</v>
      </c>
      <c r="T241" s="158">
        <f t="shared" si="43"/>
        <v>0.64991237301101812</v>
      </c>
      <c r="U241" s="158">
        <f t="shared" si="43"/>
        <v>0.64991237301101812</v>
      </c>
      <c r="V241" s="158">
        <f t="shared" si="43"/>
        <v>0.64991237301101812</v>
      </c>
      <c r="W241" s="158">
        <f t="shared" si="43"/>
        <v>0.64991237301101812</v>
      </c>
      <c r="X241" s="158">
        <f t="shared" si="43"/>
        <v>0.6301860563682623</v>
      </c>
      <c r="Y241" s="158">
        <f t="shared" si="43"/>
        <v>0.6301860563682623</v>
      </c>
      <c r="Z241" s="158">
        <f t="shared" si="43"/>
        <v>0.6301860563682623</v>
      </c>
      <c r="AA241" s="158">
        <f t="shared" si="43"/>
        <v>0.6301860563682623</v>
      </c>
      <c r="AB241" s="158">
        <f t="shared" si="43"/>
        <v>0.6301860563682623</v>
      </c>
      <c r="AC241" s="158">
        <f t="shared" si="43"/>
        <v>0.64991237301101812</v>
      </c>
      <c r="AD241" s="158">
        <f t="shared" si="43"/>
        <v>0.64991237301101812</v>
      </c>
      <c r="AE241" s="158">
        <f t="shared" si="43"/>
        <v>0.64991237301101812</v>
      </c>
      <c r="AF241" s="158">
        <f t="shared" si="43"/>
        <v>0.64991237301101812</v>
      </c>
      <c r="AG241" s="158">
        <f t="shared" si="43"/>
        <v>0.64991237301101812</v>
      </c>
      <c r="AH241" s="158">
        <f t="shared" si="43"/>
        <v>0.64991237301101812</v>
      </c>
      <c r="AI241" s="158">
        <f t="shared" si="43"/>
        <v>0.64991237301101812</v>
      </c>
      <c r="AJ241" s="158">
        <f t="shared" si="43"/>
        <v>0.64991237301101812</v>
      </c>
      <c r="AK241" s="158">
        <f t="shared" si="43"/>
        <v>0.64991237301101812</v>
      </c>
      <c r="AL241" s="158">
        <f t="shared" si="43"/>
        <v>0.64991237301101812</v>
      </c>
      <c r="AM241" s="158">
        <f t="shared" si="43"/>
        <v>0.64991237301101812</v>
      </c>
      <c r="AN241" s="158">
        <f t="shared" si="43"/>
        <v>0.64991237301101812</v>
      </c>
      <c r="AO241" s="158">
        <f t="shared" si="43"/>
        <v>0.64991237301101812</v>
      </c>
      <c r="AP241" s="158">
        <f t="shared" si="43"/>
        <v>0.64991237301101812</v>
      </c>
    </row>
    <row r="242" spans="3:44" x14ac:dyDescent="0.25">
      <c r="E242" s="29"/>
      <c r="F242" s="72" t="s">
        <v>536</v>
      </c>
      <c r="G242" s="28" t="s">
        <v>204</v>
      </c>
      <c r="H242" s="25"/>
      <c r="J242" s="148">
        <f t="shared" ref="J242:AP242" si="44">IF(J$24, $H192, $H189)</f>
        <v>0.30891882546720989</v>
      </c>
      <c r="K242" s="148">
        <f t="shared" si="44"/>
        <v>0.30891882546720989</v>
      </c>
      <c r="L242" s="148">
        <f t="shared" si="44"/>
        <v>0.30891882546720989</v>
      </c>
      <c r="M242" s="148">
        <f t="shared" si="44"/>
        <v>0.30891882546720989</v>
      </c>
      <c r="N242" s="148">
        <f t="shared" si="44"/>
        <v>0.30891882546720989</v>
      </c>
      <c r="O242" s="148">
        <f t="shared" si="44"/>
        <v>0.30891882546720989</v>
      </c>
      <c r="P242" s="148">
        <f t="shared" si="44"/>
        <v>0.30891882546720989</v>
      </c>
      <c r="Q242" s="148">
        <f t="shared" si="44"/>
        <v>0.30891882546720989</v>
      </c>
      <c r="R242" s="148">
        <f t="shared" si="44"/>
        <v>0.30891882546720989</v>
      </c>
      <c r="S242" s="148">
        <f t="shared" si="44"/>
        <v>0.30891882546720989</v>
      </c>
      <c r="T242" s="148">
        <f t="shared" si="44"/>
        <v>0.30891882546720989</v>
      </c>
      <c r="U242" s="148">
        <f t="shared" si="44"/>
        <v>0.30891882546720989</v>
      </c>
      <c r="V242" s="148">
        <f t="shared" si="44"/>
        <v>0.30891882546720989</v>
      </c>
      <c r="W242" s="148">
        <f t="shared" si="44"/>
        <v>0.30891882546720989</v>
      </c>
      <c r="X242" s="148">
        <f t="shared" si="44"/>
        <v>0.32864514210996576</v>
      </c>
      <c r="Y242" s="148">
        <f t="shared" si="44"/>
        <v>0.32864514210996576</v>
      </c>
      <c r="Z242" s="148">
        <f t="shared" si="44"/>
        <v>0.32864514210996576</v>
      </c>
      <c r="AA242" s="148">
        <f t="shared" si="44"/>
        <v>0.32864514210996576</v>
      </c>
      <c r="AB242" s="148">
        <f t="shared" si="44"/>
        <v>0.32864514210996576</v>
      </c>
      <c r="AC242" s="148">
        <f t="shared" si="44"/>
        <v>0.30891882546720989</v>
      </c>
      <c r="AD242" s="148">
        <f t="shared" si="44"/>
        <v>0.30891882546720989</v>
      </c>
      <c r="AE242" s="148">
        <f t="shared" si="44"/>
        <v>0.30891882546720989</v>
      </c>
      <c r="AF242" s="148">
        <f t="shared" si="44"/>
        <v>0.30891882546720989</v>
      </c>
      <c r="AG242" s="148">
        <f t="shared" si="44"/>
        <v>0.30891882546720989</v>
      </c>
      <c r="AH242" s="148">
        <f t="shared" si="44"/>
        <v>0.30891882546720989</v>
      </c>
      <c r="AI242" s="148">
        <f t="shared" si="44"/>
        <v>0.30891882546720989</v>
      </c>
      <c r="AJ242" s="148">
        <f t="shared" si="44"/>
        <v>0.30891882546720989</v>
      </c>
      <c r="AK242" s="148">
        <f t="shared" si="44"/>
        <v>0.30891882546720989</v>
      </c>
      <c r="AL242" s="148">
        <f t="shared" si="44"/>
        <v>0.30891882546720989</v>
      </c>
      <c r="AM242" s="148">
        <f t="shared" si="44"/>
        <v>0.30891882546720989</v>
      </c>
      <c r="AN242" s="148">
        <f t="shared" si="44"/>
        <v>0.30891882546720989</v>
      </c>
      <c r="AO242" s="148">
        <f t="shared" si="44"/>
        <v>0.30891882546720989</v>
      </c>
      <c r="AP242" s="148">
        <f t="shared" si="44"/>
        <v>0.30891882546720989</v>
      </c>
    </row>
    <row r="243" spans="3:44" x14ac:dyDescent="0.25">
      <c r="E243" s="29"/>
      <c r="F243" s="80" t="s">
        <v>314</v>
      </c>
      <c r="G243" s="67" t="s">
        <v>204</v>
      </c>
      <c r="H243" s="144"/>
      <c r="I243" s="37"/>
      <c r="J243" s="159">
        <f t="shared" ref="J243:AP243" si="45">IF(J$24, $H193, $H190)</f>
        <v>4.1168801521771874E-2</v>
      </c>
      <c r="K243" s="159">
        <f t="shared" si="45"/>
        <v>4.1168801521771874E-2</v>
      </c>
      <c r="L243" s="159">
        <f t="shared" si="45"/>
        <v>4.1168801521771874E-2</v>
      </c>
      <c r="M243" s="159">
        <f t="shared" si="45"/>
        <v>4.1168801521771874E-2</v>
      </c>
      <c r="N243" s="159">
        <f t="shared" si="45"/>
        <v>4.1168801521771874E-2</v>
      </c>
      <c r="O243" s="159">
        <f t="shared" si="45"/>
        <v>4.1168801521771874E-2</v>
      </c>
      <c r="P243" s="159">
        <f t="shared" si="45"/>
        <v>4.1168801521771874E-2</v>
      </c>
      <c r="Q243" s="159">
        <f t="shared" si="45"/>
        <v>4.1168801521771874E-2</v>
      </c>
      <c r="R243" s="159">
        <f t="shared" si="45"/>
        <v>4.1168801521771874E-2</v>
      </c>
      <c r="S243" s="159">
        <f t="shared" si="45"/>
        <v>4.1168801521771874E-2</v>
      </c>
      <c r="T243" s="159">
        <f t="shared" si="45"/>
        <v>4.1168801521771874E-2</v>
      </c>
      <c r="U243" s="159">
        <f t="shared" si="45"/>
        <v>4.1168801521771874E-2</v>
      </c>
      <c r="V243" s="159">
        <f t="shared" si="45"/>
        <v>4.1168801521771874E-2</v>
      </c>
      <c r="W243" s="159">
        <f t="shared" si="45"/>
        <v>4.1168801521771874E-2</v>
      </c>
      <c r="X243" s="159">
        <f t="shared" si="45"/>
        <v>4.1168801521771874E-2</v>
      </c>
      <c r="Y243" s="159">
        <f t="shared" si="45"/>
        <v>4.1168801521771874E-2</v>
      </c>
      <c r="Z243" s="159">
        <f t="shared" si="45"/>
        <v>4.1168801521771874E-2</v>
      </c>
      <c r="AA243" s="159">
        <f t="shared" si="45"/>
        <v>4.1168801521771874E-2</v>
      </c>
      <c r="AB243" s="159">
        <f t="shared" si="45"/>
        <v>4.1168801521771874E-2</v>
      </c>
      <c r="AC243" s="159">
        <f t="shared" si="45"/>
        <v>4.1168801521771874E-2</v>
      </c>
      <c r="AD243" s="159">
        <f t="shared" si="45"/>
        <v>4.1168801521771874E-2</v>
      </c>
      <c r="AE243" s="159">
        <f t="shared" si="45"/>
        <v>4.1168801521771874E-2</v>
      </c>
      <c r="AF243" s="159">
        <f t="shared" si="45"/>
        <v>4.1168801521771874E-2</v>
      </c>
      <c r="AG243" s="159">
        <f t="shared" si="45"/>
        <v>4.1168801521771874E-2</v>
      </c>
      <c r="AH243" s="159">
        <f t="shared" si="45"/>
        <v>4.1168801521771874E-2</v>
      </c>
      <c r="AI243" s="159">
        <f t="shared" si="45"/>
        <v>4.1168801521771874E-2</v>
      </c>
      <c r="AJ243" s="159">
        <f t="shared" si="45"/>
        <v>4.1168801521771874E-2</v>
      </c>
      <c r="AK243" s="159">
        <f t="shared" si="45"/>
        <v>4.1168801521771874E-2</v>
      </c>
      <c r="AL243" s="159">
        <f t="shared" si="45"/>
        <v>4.1168801521771874E-2</v>
      </c>
      <c r="AM243" s="159">
        <f t="shared" si="45"/>
        <v>4.1168801521771874E-2</v>
      </c>
      <c r="AN243" s="159">
        <f t="shared" si="45"/>
        <v>4.1168801521771874E-2</v>
      </c>
      <c r="AO243" s="159">
        <f t="shared" si="45"/>
        <v>4.1168801521771874E-2</v>
      </c>
      <c r="AP243" s="159">
        <f t="shared" si="45"/>
        <v>4.1168801521771874E-2</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572</v>
      </c>
      <c r="G245" s="28"/>
    </row>
    <row r="246" spans="3:44" x14ac:dyDescent="0.25">
      <c r="E246" s="29"/>
      <c r="F246" s="78" t="s">
        <v>535</v>
      </c>
      <c r="G246" s="64" t="s">
        <v>204</v>
      </c>
      <c r="H246" s="110"/>
      <c r="I246" s="23"/>
      <c r="J246" s="158">
        <f t="shared" ref="J246:AP246" si="46">IF(J$24, $H199, $H196)</f>
        <v>0.64991237301101812</v>
      </c>
      <c r="K246" s="158">
        <f t="shared" si="46"/>
        <v>0.64991237301101812</v>
      </c>
      <c r="L246" s="158">
        <f t="shared" si="46"/>
        <v>0.64991237301101812</v>
      </c>
      <c r="M246" s="158">
        <f t="shared" si="46"/>
        <v>0.64991237301101812</v>
      </c>
      <c r="N246" s="158">
        <f t="shared" si="46"/>
        <v>0.64991237301101812</v>
      </c>
      <c r="O246" s="158">
        <f t="shared" si="46"/>
        <v>0.64991237301101812</v>
      </c>
      <c r="P246" s="158">
        <f t="shared" si="46"/>
        <v>0.64991237301101812</v>
      </c>
      <c r="Q246" s="158">
        <f t="shared" si="46"/>
        <v>0.64991237301101812</v>
      </c>
      <c r="R246" s="158">
        <f t="shared" si="46"/>
        <v>0.64991237301101812</v>
      </c>
      <c r="S246" s="158">
        <f t="shared" si="46"/>
        <v>0.64991237301101812</v>
      </c>
      <c r="T246" s="158">
        <f t="shared" si="46"/>
        <v>0.64991237301101812</v>
      </c>
      <c r="U246" s="158">
        <f t="shared" si="46"/>
        <v>0.64991237301101812</v>
      </c>
      <c r="V246" s="158">
        <f t="shared" si="46"/>
        <v>0.64991237301101812</v>
      </c>
      <c r="W246" s="158">
        <f t="shared" si="46"/>
        <v>0.64991237301101812</v>
      </c>
      <c r="X246" s="158">
        <f t="shared" si="46"/>
        <v>0.6301860563682623</v>
      </c>
      <c r="Y246" s="158">
        <f t="shared" si="46"/>
        <v>0.6301860563682623</v>
      </c>
      <c r="Z246" s="158">
        <f t="shared" si="46"/>
        <v>0.6301860563682623</v>
      </c>
      <c r="AA246" s="158">
        <f t="shared" si="46"/>
        <v>0.6301860563682623</v>
      </c>
      <c r="AB246" s="158">
        <f t="shared" si="46"/>
        <v>0.6301860563682623</v>
      </c>
      <c r="AC246" s="158">
        <f t="shared" si="46"/>
        <v>0.64991237301101812</v>
      </c>
      <c r="AD246" s="158">
        <f t="shared" si="46"/>
        <v>0.64991237301101812</v>
      </c>
      <c r="AE246" s="158">
        <f t="shared" si="46"/>
        <v>0.64991237301101812</v>
      </c>
      <c r="AF246" s="158">
        <f t="shared" si="46"/>
        <v>0.64991237301101812</v>
      </c>
      <c r="AG246" s="158">
        <f t="shared" si="46"/>
        <v>0.64991237301101812</v>
      </c>
      <c r="AH246" s="158">
        <f t="shared" si="46"/>
        <v>0.64991237301101812</v>
      </c>
      <c r="AI246" s="158">
        <f t="shared" si="46"/>
        <v>0.64991237301101812</v>
      </c>
      <c r="AJ246" s="158">
        <f t="shared" si="46"/>
        <v>0.64991237301101812</v>
      </c>
      <c r="AK246" s="158">
        <f t="shared" si="46"/>
        <v>0.64991237301101812</v>
      </c>
      <c r="AL246" s="158">
        <f t="shared" si="46"/>
        <v>0.64991237301101812</v>
      </c>
      <c r="AM246" s="158">
        <f t="shared" si="46"/>
        <v>0.64991237301101812</v>
      </c>
      <c r="AN246" s="158">
        <f t="shared" si="46"/>
        <v>0.64991237301101812</v>
      </c>
      <c r="AO246" s="158">
        <f t="shared" si="46"/>
        <v>0.64991237301101812</v>
      </c>
      <c r="AP246" s="158">
        <f t="shared" si="46"/>
        <v>0.64991237301101812</v>
      </c>
    </row>
    <row r="247" spans="3:44" x14ac:dyDescent="0.25">
      <c r="E247" s="29"/>
      <c r="F247" s="72" t="s">
        <v>536</v>
      </c>
      <c r="G247" s="28" t="s">
        <v>204</v>
      </c>
      <c r="H247" s="25"/>
      <c r="J247" s="148">
        <f t="shared" ref="J247:AP247" si="47">IF(J$24, $H200, $H197)</f>
        <v>0.30891882546720989</v>
      </c>
      <c r="K247" s="148">
        <f t="shared" si="47"/>
        <v>0.30891882546720989</v>
      </c>
      <c r="L247" s="148">
        <f t="shared" si="47"/>
        <v>0.30891882546720989</v>
      </c>
      <c r="M247" s="148">
        <f t="shared" si="47"/>
        <v>0.30891882546720989</v>
      </c>
      <c r="N247" s="148">
        <f t="shared" si="47"/>
        <v>0.30891882546720989</v>
      </c>
      <c r="O247" s="148">
        <f t="shared" si="47"/>
        <v>0.30891882546720989</v>
      </c>
      <c r="P247" s="148">
        <f t="shared" si="47"/>
        <v>0.30891882546720989</v>
      </c>
      <c r="Q247" s="148">
        <f t="shared" si="47"/>
        <v>0.30891882546720989</v>
      </c>
      <c r="R247" s="148">
        <f t="shared" si="47"/>
        <v>0.30891882546720989</v>
      </c>
      <c r="S247" s="148">
        <f t="shared" si="47"/>
        <v>0.30891882546720989</v>
      </c>
      <c r="T247" s="148">
        <f t="shared" si="47"/>
        <v>0.30891882546720989</v>
      </c>
      <c r="U247" s="148">
        <f t="shared" si="47"/>
        <v>0.30891882546720989</v>
      </c>
      <c r="V247" s="148">
        <f t="shared" si="47"/>
        <v>0.30891882546720989</v>
      </c>
      <c r="W247" s="148">
        <f t="shared" si="47"/>
        <v>0.30891882546720989</v>
      </c>
      <c r="X247" s="148">
        <f t="shared" si="47"/>
        <v>0.32864514210996576</v>
      </c>
      <c r="Y247" s="148">
        <f t="shared" si="47"/>
        <v>0.32864514210996576</v>
      </c>
      <c r="Z247" s="148">
        <f t="shared" si="47"/>
        <v>0.32864514210996576</v>
      </c>
      <c r="AA247" s="148">
        <f t="shared" si="47"/>
        <v>0.32864514210996576</v>
      </c>
      <c r="AB247" s="148">
        <f t="shared" si="47"/>
        <v>0.32864514210996576</v>
      </c>
      <c r="AC247" s="148">
        <f t="shared" si="47"/>
        <v>0.30891882546720989</v>
      </c>
      <c r="AD247" s="148">
        <f t="shared" si="47"/>
        <v>0.30891882546720989</v>
      </c>
      <c r="AE247" s="148">
        <f t="shared" si="47"/>
        <v>0.30891882546720989</v>
      </c>
      <c r="AF247" s="148">
        <f t="shared" si="47"/>
        <v>0.30891882546720989</v>
      </c>
      <c r="AG247" s="148">
        <f t="shared" si="47"/>
        <v>0.30891882546720989</v>
      </c>
      <c r="AH247" s="148">
        <f t="shared" si="47"/>
        <v>0.30891882546720989</v>
      </c>
      <c r="AI247" s="148">
        <f t="shared" si="47"/>
        <v>0.30891882546720989</v>
      </c>
      <c r="AJ247" s="148">
        <f t="shared" si="47"/>
        <v>0.30891882546720989</v>
      </c>
      <c r="AK247" s="148">
        <f t="shared" si="47"/>
        <v>0.30891882546720989</v>
      </c>
      <c r="AL247" s="148">
        <f t="shared" si="47"/>
        <v>0.30891882546720989</v>
      </c>
      <c r="AM247" s="148">
        <f t="shared" si="47"/>
        <v>0.30891882546720989</v>
      </c>
      <c r="AN247" s="148">
        <f t="shared" si="47"/>
        <v>0.30891882546720989</v>
      </c>
      <c r="AO247" s="148">
        <f t="shared" si="47"/>
        <v>0.30891882546720989</v>
      </c>
      <c r="AP247" s="148">
        <f t="shared" si="47"/>
        <v>0.30891882546720989</v>
      </c>
    </row>
    <row r="248" spans="3:44" x14ac:dyDescent="0.25">
      <c r="E248" s="29"/>
      <c r="F248" s="80" t="s">
        <v>314</v>
      </c>
      <c r="G248" s="67" t="s">
        <v>204</v>
      </c>
      <c r="H248" s="144"/>
      <c r="I248" s="37"/>
      <c r="J248" s="159">
        <f t="shared" ref="J248:AP248" si="48">IF(J$24, $H201, $H198)</f>
        <v>4.1168801521771874E-2</v>
      </c>
      <c r="K248" s="159">
        <f t="shared" si="48"/>
        <v>4.1168801521771874E-2</v>
      </c>
      <c r="L248" s="159">
        <f t="shared" si="48"/>
        <v>4.1168801521771874E-2</v>
      </c>
      <c r="M248" s="159">
        <f t="shared" si="48"/>
        <v>4.1168801521771874E-2</v>
      </c>
      <c r="N248" s="159">
        <f t="shared" si="48"/>
        <v>4.1168801521771874E-2</v>
      </c>
      <c r="O248" s="159">
        <f t="shared" si="48"/>
        <v>4.1168801521771874E-2</v>
      </c>
      <c r="P248" s="159">
        <f t="shared" si="48"/>
        <v>4.1168801521771874E-2</v>
      </c>
      <c r="Q248" s="159">
        <f t="shared" si="48"/>
        <v>4.1168801521771874E-2</v>
      </c>
      <c r="R248" s="159">
        <f t="shared" si="48"/>
        <v>4.1168801521771874E-2</v>
      </c>
      <c r="S248" s="159">
        <f t="shared" si="48"/>
        <v>4.1168801521771874E-2</v>
      </c>
      <c r="T248" s="159">
        <f t="shared" si="48"/>
        <v>4.1168801521771874E-2</v>
      </c>
      <c r="U248" s="159">
        <f t="shared" si="48"/>
        <v>4.1168801521771874E-2</v>
      </c>
      <c r="V248" s="159">
        <f t="shared" si="48"/>
        <v>4.1168801521771874E-2</v>
      </c>
      <c r="W248" s="159">
        <f t="shared" si="48"/>
        <v>4.1168801521771874E-2</v>
      </c>
      <c r="X248" s="159">
        <f t="shared" si="48"/>
        <v>4.1168801521771874E-2</v>
      </c>
      <c r="Y248" s="159">
        <f t="shared" si="48"/>
        <v>4.1168801521771874E-2</v>
      </c>
      <c r="Z248" s="159">
        <f t="shared" si="48"/>
        <v>4.1168801521771874E-2</v>
      </c>
      <c r="AA248" s="159">
        <f t="shared" si="48"/>
        <v>4.1168801521771874E-2</v>
      </c>
      <c r="AB248" s="159">
        <f t="shared" si="48"/>
        <v>4.1168801521771874E-2</v>
      </c>
      <c r="AC248" s="159">
        <f t="shared" si="48"/>
        <v>4.1168801521771874E-2</v>
      </c>
      <c r="AD248" s="159">
        <f t="shared" si="48"/>
        <v>4.1168801521771874E-2</v>
      </c>
      <c r="AE248" s="159">
        <f t="shared" si="48"/>
        <v>4.1168801521771874E-2</v>
      </c>
      <c r="AF248" s="159">
        <f t="shared" si="48"/>
        <v>4.1168801521771874E-2</v>
      </c>
      <c r="AG248" s="159">
        <f t="shared" si="48"/>
        <v>4.1168801521771874E-2</v>
      </c>
      <c r="AH248" s="159">
        <f t="shared" si="48"/>
        <v>4.1168801521771874E-2</v>
      </c>
      <c r="AI248" s="159">
        <f t="shared" si="48"/>
        <v>4.1168801521771874E-2</v>
      </c>
      <c r="AJ248" s="159">
        <f t="shared" si="48"/>
        <v>4.1168801521771874E-2</v>
      </c>
      <c r="AK248" s="159">
        <f t="shared" si="48"/>
        <v>4.1168801521771874E-2</v>
      </c>
      <c r="AL248" s="159">
        <f t="shared" si="48"/>
        <v>4.1168801521771874E-2</v>
      </c>
      <c r="AM248" s="159">
        <f t="shared" si="48"/>
        <v>4.1168801521771874E-2</v>
      </c>
      <c r="AN248" s="159">
        <f t="shared" si="48"/>
        <v>4.1168801521771874E-2</v>
      </c>
      <c r="AO248" s="159">
        <f t="shared" si="48"/>
        <v>4.1168801521771874E-2</v>
      </c>
      <c r="AP248" s="159">
        <f t="shared" si="48"/>
        <v>4.1168801521771874E-2</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573</v>
      </c>
      <c r="G252" s="28"/>
      <c r="J252" s="63"/>
    </row>
    <row r="253" spans="3:44" x14ac:dyDescent="0.25">
      <c r="F253" s="64" t="s">
        <v>535</v>
      </c>
      <c r="G253" s="64" t="s">
        <v>574</v>
      </c>
      <c r="H253" s="23"/>
      <c r="I253" s="23"/>
      <c r="J253" s="163">
        <f t="shared" ref="J253:AP253" si="49">1 / J29</f>
        <v>1.277139208173691E-3</v>
      </c>
      <c r="K253" s="163">
        <f t="shared" si="49"/>
        <v>1.277139208173691E-3</v>
      </c>
      <c r="L253" s="163">
        <f t="shared" si="49"/>
        <v>1.277139208173691E-3</v>
      </c>
      <c r="M253" s="163">
        <f t="shared" si="49"/>
        <v>1.277139208173691E-3</v>
      </c>
      <c r="N253" s="163">
        <f t="shared" si="49"/>
        <v>1.277139208173691E-3</v>
      </c>
      <c r="O253" s="163">
        <f t="shared" si="49"/>
        <v>1.277139208173691E-3</v>
      </c>
      <c r="P253" s="163">
        <f t="shared" si="49"/>
        <v>1.277139208173691E-3</v>
      </c>
      <c r="Q253" s="163">
        <f t="shared" si="49"/>
        <v>1.277139208173691E-3</v>
      </c>
      <c r="R253" s="163">
        <f t="shared" si="49"/>
        <v>1.277139208173691E-3</v>
      </c>
      <c r="S253" s="163">
        <f t="shared" si="49"/>
        <v>1.277139208173691E-3</v>
      </c>
      <c r="T253" s="163">
        <f t="shared" si="49"/>
        <v>1.277139208173691E-3</v>
      </c>
      <c r="U253" s="163">
        <f t="shared" si="49"/>
        <v>1.277139208173691E-3</v>
      </c>
      <c r="V253" s="163">
        <f t="shared" si="49"/>
        <v>1.277139208173691E-3</v>
      </c>
      <c r="W253" s="163">
        <f t="shared" si="49"/>
        <v>1.277139208173691E-3</v>
      </c>
      <c r="X253" s="163">
        <f t="shared" si="49"/>
        <v>3.9215686274509803E-3</v>
      </c>
      <c r="Y253" s="163">
        <f t="shared" si="49"/>
        <v>3.9215686274509803E-3</v>
      </c>
      <c r="Z253" s="163">
        <f t="shared" si="49"/>
        <v>3.9215686274509803E-3</v>
      </c>
      <c r="AA253" s="163">
        <f t="shared" si="49"/>
        <v>3.9215686274509803E-3</v>
      </c>
      <c r="AB253" s="163">
        <f t="shared" si="49"/>
        <v>3.9215686274509803E-3</v>
      </c>
      <c r="AC253" s="163">
        <f t="shared" si="49"/>
        <v>1.277139208173691E-3</v>
      </c>
      <c r="AD253" s="163">
        <f t="shared" si="49"/>
        <v>1.277139208173691E-3</v>
      </c>
      <c r="AE253" s="163">
        <f t="shared" si="49"/>
        <v>1.277139208173691E-3</v>
      </c>
      <c r="AF253" s="163">
        <f t="shared" si="49"/>
        <v>1.277139208173691E-3</v>
      </c>
      <c r="AG253" s="163">
        <f t="shared" si="49"/>
        <v>1.277139208173691E-3</v>
      </c>
      <c r="AH253" s="163">
        <f t="shared" si="49"/>
        <v>1.277139208173691E-3</v>
      </c>
      <c r="AI253" s="163">
        <f t="shared" si="49"/>
        <v>1.277139208173691E-3</v>
      </c>
      <c r="AJ253" s="163">
        <f t="shared" si="49"/>
        <v>1.277139208173691E-3</v>
      </c>
      <c r="AK253" s="163">
        <f t="shared" si="49"/>
        <v>1.277139208173691E-3</v>
      </c>
      <c r="AL253" s="163">
        <f t="shared" si="49"/>
        <v>1.277139208173691E-3</v>
      </c>
      <c r="AM253" s="163">
        <f t="shared" si="49"/>
        <v>1.277139208173691E-3</v>
      </c>
      <c r="AN253" s="163">
        <f t="shared" si="49"/>
        <v>1.277139208173691E-3</v>
      </c>
      <c r="AO253" s="163">
        <f t="shared" si="49"/>
        <v>1.277139208173691E-3</v>
      </c>
      <c r="AP253" s="163">
        <f t="shared" si="49"/>
        <v>1.277139208173691E-3</v>
      </c>
    </row>
    <row r="254" spans="3:44" x14ac:dyDescent="0.25">
      <c r="F254" s="28" t="s">
        <v>536</v>
      </c>
      <c r="G254" s="28" t="s">
        <v>574</v>
      </c>
      <c r="J254" s="92">
        <f t="shared" ref="J254:AP254" si="50">1 / J30</f>
        <v>3.6489691662105453E-4</v>
      </c>
      <c r="K254" s="92">
        <f t="shared" si="50"/>
        <v>3.6489691662105453E-4</v>
      </c>
      <c r="L254" s="92">
        <f t="shared" si="50"/>
        <v>3.6489691662105453E-4</v>
      </c>
      <c r="M254" s="92">
        <f t="shared" si="50"/>
        <v>3.6489691662105453E-4</v>
      </c>
      <c r="N254" s="92">
        <f t="shared" si="50"/>
        <v>3.6489691662105453E-4</v>
      </c>
      <c r="O254" s="92">
        <f t="shared" si="50"/>
        <v>3.6489691662105453E-4</v>
      </c>
      <c r="P254" s="92">
        <f t="shared" si="50"/>
        <v>3.6489691662105453E-4</v>
      </c>
      <c r="Q254" s="92">
        <f t="shared" si="50"/>
        <v>3.6489691662105453E-4</v>
      </c>
      <c r="R254" s="92">
        <f t="shared" si="50"/>
        <v>3.6489691662105453E-4</v>
      </c>
      <c r="S254" s="92">
        <f t="shared" si="50"/>
        <v>3.6489691662105453E-4</v>
      </c>
      <c r="T254" s="92">
        <f t="shared" si="50"/>
        <v>3.6489691662105453E-4</v>
      </c>
      <c r="U254" s="92">
        <f t="shared" si="50"/>
        <v>3.6489691662105453E-4</v>
      </c>
      <c r="V254" s="92">
        <f t="shared" si="50"/>
        <v>3.6489691662105453E-4</v>
      </c>
      <c r="W254" s="92">
        <f t="shared" si="50"/>
        <v>3.6489691662105453E-4</v>
      </c>
      <c r="X254" s="92">
        <f t="shared" si="50"/>
        <v>3.0595074193054921E-4</v>
      </c>
      <c r="Y254" s="92">
        <f t="shared" si="50"/>
        <v>3.0595074193054921E-4</v>
      </c>
      <c r="Z254" s="92">
        <f t="shared" si="50"/>
        <v>3.0595074193054921E-4</v>
      </c>
      <c r="AA254" s="92">
        <f t="shared" si="50"/>
        <v>3.0595074193054921E-4</v>
      </c>
      <c r="AB254" s="92">
        <f t="shared" si="50"/>
        <v>3.0595074193054921E-4</v>
      </c>
      <c r="AC254" s="92">
        <f t="shared" si="50"/>
        <v>3.6489691662105453E-4</v>
      </c>
      <c r="AD254" s="92">
        <f t="shared" si="50"/>
        <v>3.6489691662105453E-4</v>
      </c>
      <c r="AE254" s="92">
        <f t="shared" si="50"/>
        <v>3.6489691662105453E-4</v>
      </c>
      <c r="AF254" s="92">
        <f t="shared" si="50"/>
        <v>3.6489691662105453E-4</v>
      </c>
      <c r="AG254" s="92">
        <f t="shared" si="50"/>
        <v>3.6489691662105453E-4</v>
      </c>
      <c r="AH254" s="92">
        <f t="shared" si="50"/>
        <v>3.6489691662105453E-4</v>
      </c>
      <c r="AI254" s="92">
        <f t="shared" si="50"/>
        <v>3.6489691662105453E-4</v>
      </c>
      <c r="AJ254" s="92">
        <f t="shared" si="50"/>
        <v>3.6489691662105453E-4</v>
      </c>
      <c r="AK254" s="92">
        <f t="shared" si="50"/>
        <v>3.6489691662105453E-4</v>
      </c>
      <c r="AL254" s="92">
        <f t="shared" si="50"/>
        <v>3.6489691662105453E-4</v>
      </c>
      <c r="AM254" s="92">
        <f t="shared" si="50"/>
        <v>3.6489691662105453E-4</v>
      </c>
      <c r="AN254" s="92">
        <f t="shared" si="50"/>
        <v>3.6489691662105453E-4</v>
      </c>
      <c r="AO254" s="92">
        <f t="shared" si="50"/>
        <v>3.6489691662105453E-4</v>
      </c>
      <c r="AP254" s="92">
        <f t="shared" si="50"/>
        <v>3.6489691662105453E-4</v>
      </c>
    </row>
    <row r="255" spans="3:44" x14ac:dyDescent="0.25">
      <c r="F255" s="67" t="s">
        <v>314</v>
      </c>
      <c r="G255" s="67" t="s">
        <v>574</v>
      </c>
      <c r="H255" s="37"/>
      <c r="I255" s="37"/>
      <c r="J255" s="82">
        <f t="shared" ref="J255:AP255" si="51">1 / J31</f>
        <v>1.9096724911677647E-4</v>
      </c>
      <c r="K255" s="82">
        <f t="shared" si="51"/>
        <v>1.9096724911677647E-4</v>
      </c>
      <c r="L255" s="82">
        <f t="shared" si="51"/>
        <v>1.9096724911677647E-4</v>
      </c>
      <c r="M255" s="82">
        <f t="shared" si="51"/>
        <v>1.9096724911677647E-4</v>
      </c>
      <c r="N255" s="82">
        <f t="shared" si="51"/>
        <v>1.9096724911677647E-4</v>
      </c>
      <c r="O255" s="82">
        <f t="shared" si="51"/>
        <v>1.9096724911677647E-4</v>
      </c>
      <c r="P255" s="82">
        <f t="shared" si="51"/>
        <v>1.9096724911677647E-4</v>
      </c>
      <c r="Q255" s="82">
        <f t="shared" si="51"/>
        <v>1.9096724911677647E-4</v>
      </c>
      <c r="R255" s="82">
        <f t="shared" si="51"/>
        <v>1.9096724911677647E-4</v>
      </c>
      <c r="S255" s="82">
        <f t="shared" si="51"/>
        <v>1.9096724911677647E-4</v>
      </c>
      <c r="T255" s="82">
        <f t="shared" si="51"/>
        <v>1.9096724911677647E-4</v>
      </c>
      <c r="U255" s="82">
        <f t="shared" si="51"/>
        <v>1.9096724911677647E-4</v>
      </c>
      <c r="V255" s="82">
        <f t="shared" si="51"/>
        <v>1.9096724911677647E-4</v>
      </c>
      <c r="W255" s="82">
        <f t="shared" si="51"/>
        <v>1.9096724911677647E-4</v>
      </c>
      <c r="X255" s="82">
        <f t="shared" si="51"/>
        <v>1.9096724911677647E-4</v>
      </c>
      <c r="Y255" s="82">
        <f t="shared" si="51"/>
        <v>1.9096724911677647E-4</v>
      </c>
      <c r="Z255" s="82">
        <f t="shared" si="51"/>
        <v>1.9096724911677647E-4</v>
      </c>
      <c r="AA255" s="82">
        <f t="shared" si="51"/>
        <v>1.9096724911677647E-4</v>
      </c>
      <c r="AB255" s="82">
        <f t="shared" si="51"/>
        <v>1.9096724911677647E-4</v>
      </c>
      <c r="AC255" s="82">
        <f t="shared" si="51"/>
        <v>1.9096724911677647E-4</v>
      </c>
      <c r="AD255" s="82">
        <f t="shared" si="51"/>
        <v>1.9096724911677647E-4</v>
      </c>
      <c r="AE255" s="82">
        <f t="shared" si="51"/>
        <v>1.9096724911677647E-4</v>
      </c>
      <c r="AF255" s="82">
        <f t="shared" si="51"/>
        <v>1.9096724911677647E-4</v>
      </c>
      <c r="AG255" s="82">
        <f t="shared" si="51"/>
        <v>1.9096724911677647E-4</v>
      </c>
      <c r="AH255" s="82">
        <f t="shared" si="51"/>
        <v>1.9096724911677647E-4</v>
      </c>
      <c r="AI255" s="82">
        <f t="shared" si="51"/>
        <v>1.9096724911677647E-4</v>
      </c>
      <c r="AJ255" s="82">
        <f t="shared" si="51"/>
        <v>1.9096724911677647E-4</v>
      </c>
      <c r="AK255" s="82">
        <f t="shared" si="51"/>
        <v>1.9096724911677647E-4</v>
      </c>
      <c r="AL255" s="82">
        <f t="shared" si="51"/>
        <v>1.9096724911677647E-4</v>
      </c>
      <c r="AM255" s="82">
        <f t="shared" si="51"/>
        <v>1.9096724911677647E-4</v>
      </c>
      <c r="AN255" s="82">
        <f t="shared" si="51"/>
        <v>1.9096724911677647E-4</v>
      </c>
      <c r="AO255" s="82">
        <f t="shared" si="51"/>
        <v>1.9096724911677647E-4</v>
      </c>
      <c r="AP255" s="82">
        <f t="shared" si="51"/>
        <v>1.9096724911677647E-4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193</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228</v>
      </c>
      <c r="G258" s="64" t="s">
        <v>343</v>
      </c>
      <c r="H258" s="23"/>
      <c r="I258" s="23"/>
      <c r="J258" s="129">
        <f t="shared" ref="J258:AP258" si="52">SUMPRODUCT(J206:J208,J$43:J$45,J$253:J$255) * hours_in_year</f>
        <v>1.4620558290271899</v>
      </c>
      <c r="K258" s="129">
        <f t="shared" si="52"/>
        <v>1.646588153002924</v>
      </c>
      <c r="L258" s="129">
        <f t="shared" si="52"/>
        <v>0.56715318155155003</v>
      </c>
      <c r="M258" s="129">
        <f t="shared" si="52"/>
        <v>1.3414948369368669</v>
      </c>
      <c r="N258" s="129">
        <f t="shared" si="52"/>
        <v>1.4620603725479757</v>
      </c>
      <c r="O258" s="129">
        <f t="shared" si="52"/>
        <v>0.22347246470577861</v>
      </c>
      <c r="P258" s="129">
        <f t="shared" si="52"/>
        <v>1.5359580282759224</v>
      </c>
      <c r="Q258" s="129">
        <f t="shared" si="52"/>
        <v>1.5232347884141204</v>
      </c>
      <c r="R258" s="129">
        <f t="shared" si="52"/>
        <v>1.5213197718432263</v>
      </c>
      <c r="S258" s="129">
        <f t="shared" si="52"/>
        <v>9.9487064285446856</v>
      </c>
      <c r="T258" s="129">
        <f t="shared" si="52"/>
        <v>9.9487064285446856</v>
      </c>
      <c r="U258" s="129">
        <f t="shared" si="52"/>
        <v>9.9487064285446856</v>
      </c>
      <c r="V258" s="129">
        <f t="shared" si="52"/>
        <v>9.9487064285446856</v>
      </c>
      <c r="W258" s="129">
        <f t="shared" si="52"/>
        <v>9.9487064285446856</v>
      </c>
      <c r="X258" s="129">
        <f t="shared" si="52"/>
        <v>1.0079640795468632</v>
      </c>
      <c r="Y258" s="129">
        <f t="shared" si="52"/>
        <v>1.398316265082389</v>
      </c>
      <c r="Z258" s="129">
        <f t="shared" si="52"/>
        <v>2.5941525556611409</v>
      </c>
      <c r="AA258" s="129">
        <f t="shared" si="52"/>
        <v>0.62006175778580952</v>
      </c>
      <c r="AB258" s="129">
        <f t="shared" si="52"/>
        <v>26.549423862282989</v>
      </c>
      <c r="AC258" s="129">
        <f t="shared" si="52"/>
        <v>1</v>
      </c>
      <c r="AD258" s="129">
        <f t="shared" si="52"/>
        <v>1</v>
      </c>
      <c r="AE258" s="129">
        <f t="shared" si="52"/>
        <v>1</v>
      </c>
      <c r="AF258" s="129">
        <f t="shared" si="52"/>
        <v>1</v>
      </c>
      <c r="AG258" s="129">
        <f t="shared" si="52"/>
        <v>9.9487064285446856</v>
      </c>
      <c r="AH258" s="129">
        <f t="shared" si="52"/>
        <v>9.9487064285446856</v>
      </c>
      <c r="AI258" s="129">
        <f t="shared" si="52"/>
        <v>1</v>
      </c>
      <c r="AJ258" s="129">
        <f t="shared" si="52"/>
        <v>1</v>
      </c>
      <c r="AK258" s="129">
        <f t="shared" si="52"/>
        <v>9.9487064285446856</v>
      </c>
      <c r="AL258" s="129">
        <f t="shared" si="52"/>
        <v>9.9487064285446856</v>
      </c>
      <c r="AM258" s="129">
        <f t="shared" si="52"/>
        <v>1</v>
      </c>
      <c r="AN258" s="129">
        <f t="shared" si="52"/>
        <v>1</v>
      </c>
      <c r="AO258" s="129">
        <f t="shared" si="52"/>
        <v>9.9487064285446856</v>
      </c>
      <c r="AP258" s="129">
        <f t="shared" si="52"/>
        <v>9.9487064285446856</v>
      </c>
    </row>
    <row r="259" spans="5:42" x14ac:dyDescent="0.25">
      <c r="F259" s="165" t="s">
        <v>229</v>
      </c>
      <c r="G259" s="28" t="s">
        <v>343</v>
      </c>
      <c r="J259" s="101">
        <f t="shared" ref="J259:AP259" si="53">SUMPRODUCT(J211:J213,J$43:J$45,J$253:J$255) * hours_in_year</f>
        <v>1.4212531011237672</v>
      </c>
      <c r="K259" s="101">
        <f t="shared" si="53"/>
        <v>1.5979730376248376</v>
      </c>
      <c r="L259" s="101">
        <f t="shared" si="53"/>
        <v>0.62965889206335846</v>
      </c>
      <c r="M259" s="101">
        <f t="shared" si="53"/>
        <v>1.3655842308674757</v>
      </c>
      <c r="N259" s="101">
        <f t="shared" si="53"/>
        <v>1.4696316733237447</v>
      </c>
      <c r="O259" s="101">
        <f t="shared" si="53"/>
        <v>0.28200915376361751</v>
      </c>
      <c r="P259" s="101">
        <f t="shared" si="53"/>
        <v>1.5391803903256005</v>
      </c>
      <c r="Q259" s="101">
        <f t="shared" si="53"/>
        <v>1.5272457850599788</v>
      </c>
      <c r="R259" s="101">
        <f t="shared" si="53"/>
        <v>1.5328517947267022</v>
      </c>
      <c r="S259" s="101">
        <f t="shared" si="53"/>
        <v>8.6528554891887079</v>
      </c>
      <c r="T259" s="101">
        <f t="shared" si="53"/>
        <v>8.6528554891887079</v>
      </c>
      <c r="U259" s="101">
        <f t="shared" si="53"/>
        <v>8.6528554891887079</v>
      </c>
      <c r="V259" s="101">
        <f t="shared" si="53"/>
        <v>8.6528554891887079</v>
      </c>
      <c r="W259" s="101">
        <f t="shared" si="53"/>
        <v>8.6528554891887079</v>
      </c>
      <c r="X259" s="101">
        <f t="shared" si="53"/>
        <v>1.0076374159893309</v>
      </c>
      <c r="Y259" s="101">
        <f t="shared" si="53"/>
        <v>1.3729982935350344</v>
      </c>
      <c r="Z259" s="101">
        <f t="shared" si="53"/>
        <v>2.5262934713723544</v>
      </c>
      <c r="AA259" s="101">
        <f t="shared" si="53"/>
        <v>0.64389633604371843</v>
      </c>
      <c r="AB259" s="101">
        <f t="shared" si="53"/>
        <v>25.566985780006039</v>
      </c>
      <c r="AC259" s="101">
        <f t="shared" si="53"/>
        <v>1</v>
      </c>
      <c r="AD259" s="101">
        <f t="shared" si="53"/>
        <v>1</v>
      </c>
      <c r="AE259" s="101">
        <f t="shared" si="53"/>
        <v>1</v>
      </c>
      <c r="AF259" s="101">
        <f t="shared" si="53"/>
        <v>1</v>
      </c>
      <c r="AG259" s="101">
        <f t="shared" si="53"/>
        <v>8.6528554891887079</v>
      </c>
      <c r="AH259" s="101">
        <f t="shared" si="53"/>
        <v>8.6528554891887079</v>
      </c>
      <c r="AI259" s="101">
        <f t="shared" si="53"/>
        <v>1</v>
      </c>
      <c r="AJ259" s="101">
        <f t="shared" si="53"/>
        <v>1</v>
      </c>
      <c r="AK259" s="101">
        <f t="shared" si="53"/>
        <v>8.6528554891887079</v>
      </c>
      <c r="AL259" s="101">
        <f t="shared" si="53"/>
        <v>8.6528554891887079</v>
      </c>
      <c r="AM259" s="101">
        <f t="shared" si="53"/>
        <v>1</v>
      </c>
      <c r="AN259" s="101">
        <f t="shared" si="53"/>
        <v>1</v>
      </c>
      <c r="AO259" s="101">
        <f t="shared" si="53"/>
        <v>8.6528554891887079</v>
      </c>
      <c r="AP259" s="101">
        <f t="shared" si="53"/>
        <v>8.6528554891887079</v>
      </c>
    </row>
    <row r="260" spans="5:42" x14ac:dyDescent="0.25">
      <c r="F260" s="165" t="s">
        <v>230</v>
      </c>
      <c r="G260" s="28" t="s">
        <v>343</v>
      </c>
      <c r="J260" s="101">
        <f t="shared" ref="J260:AP260" si="54">SUMPRODUCT(J216:J218,J$43:J$45,J$253:J$255) * hours_in_year</f>
        <v>1.4212531011237672</v>
      </c>
      <c r="K260" s="101">
        <f t="shared" si="54"/>
        <v>1.5979730376248376</v>
      </c>
      <c r="L260" s="101">
        <f t="shared" si="54"/>
        <v>0.62965889206335846</v>
      </c>
      <c r="M260" s="101">
        <f t="shared" si="54"/>
        <v>1.3655842308674757</v>
      </c>
      <c r="N260" s="101">
        <f t="shared" si="54"/>
        <v>1.4696316733237447</v>
      </c>
      <c r="O260" s="101">
        <f t="shared" si="54"/>
        <v>0.28200915376361751</v>
      </c>
      <c r="P260" s="101">
        <f t="shared" si="54"/>
        <v>1.5391803903256005</v>
      </c>
      <c r="Q260" s="101">
        <f t="shared" si="54"/>
        <v>1.5272457850599788</v>
      </c>
      <c r="R260" s="101">
        <f t="shared" si="54"/>
        <v>1.5328517947267022</v>
      </c>
      <c r="S260" s="101">
        <f t="shared" si="54"/>
        <v>8.6528554891887079</v>
      </c>
      <c r="T260" s="101">
        <f t="shared" si="54"/>
        <v>8.6528554891887079</v>
      </c>
      <c r="U260" s="101">
        <f t="shared" si="54"/>
        <v>8.6528554891887079</v>
      </c>
      <c r="V260" s="101">
        <f t="shared" si="54"/>
        <v>8.6528554891887079</v>
      </c>
      <c r="W260" s="101">
        <f t="shared" si="54"/>
        <v>8.6528554891887079</v>
      </c>
      <c r="X260" s="101">
        <f t="shared" si="54"/>
        <v>1.0076374159893309</v>
      </c>
      <c r="Y260" s="101">
        <f t="shared" si="54"/>
        <v>1.3729982935350344</v>
      </c>
      <c r="Z260" s="101">
        <f t="shared" si="54"/>
        <v>2.5262934713723544</v>
      </c>
      <c r="AA260" s="101">
        <f t="shared" si="54"/>
        <v>0.64389633604371843</v>
      </c>
      <c r="AB260" s="101">
        <f t="shared" si="54"/>
        <v>25.566985780006039</v>
      </c>
      <c r="AC260" s="101">
        <f t="shared" si="54"/>
        <v>1</v>
      </c>
      <c r="AD260" s="101">
        <f t="shared" si="54"/>
        <v>1</v>
      </c>
      <c r="AE260" s="101">
        <f t="shared" si="54"/>
        <v>1</v>
      </c>
      <c r="AF260" s="101">
        <f t="shared" si="54"/>
        <v>1</v>
      </c>
      <c r="AG260" s="101">
        <f t="shared" si="54"/>
        <v>8.6528554891887079</v>
      </c>
      <c r="AH260" s="101">
        <f t="shared" si="54"/>
        <v>8.6528554891887079</v>
      </c>
      <c r="AI260" s="101">
        <f t="shared" si="54"/>
        <v>1</v>
      </c>
      <c r="AJ260" s="101">
        <f t="shared" si="54"/>
        <v>1</v>
      </c>
      <c r="AK260" s="101">
        <f t="shared" si="54"/>
        <v>8.6528554891887079</v>
      </c>
      <c r="AL260" s="101">
        <f t="shared" si="54"/>
        <v>8.6528554891887079</v>
      </c>
      <c r="AM260" s="101">
        <f t="shared" si="54"/>
        <v>1</v>
      </c>
      <c r="AN260" s="101">
        <f t="shared" si="54"/>
        <v>1</v>
      </c>
      <c r="AO260" s="101">
        <f t="shared" si="54"/>
        <v>8.6528554891887079</v>
      </c>
      <c r="AP260" s="101">
        <f t="shared" si="54"/>
        <v>8.6528554891887079</v>
      </c>
    </row>
    <row r="261" spans="5:42" x14ac:dyDescent="0.25">
      <c r="F261" s="165" t="s">
        <v>231</v>
      </c>
      <c r="G261" s="28" t="s">
        <v>343</v>
      </c>
      <c r="J261" s="101">
        <f t="shared" ref="J261:AP261" si="55">SUMPRODUCT(J221:J223,J$43:J$45,J$253:J$255) * hours_in_year</f>
        <v>1.373779408236568</v>
      </c>
      <c r="K261" s="101">
        <f t="shared" si="55"/>
        <v>1.5392972355911176</v>
      </c>
      <c r="L261" s="101">
        <f t="shared" si="55"/>
        <v>0.69633709578290515</v>
      </c>
      <c r="M261" s="101">
        <f t="shared" si="55"/>
        <v>1.3801038612625769</v>
      </c>
      <c r="N261" s="101">
        <f t="shared" si="55"/>
        <v>1.4663946857864014</v>
      </c>
      <c r="O261" s="101">
        <f t="shared" si="55"/>
        <v>0.35261535799896354</v>
      </c>
      <c r="P261" s="101">
        <f t="shared" si="55"/>
        <v>1.5303413943432225</v>
      </c>
      <c r="Q261" s="101">
        <f t="shared" si="55"/>
        <v>1.5194077602762401</v>
      </c>
      <c r="R261" s="101">
        <f t="shared" si="55"/>
        <v>1.5319336664092864</v>
      </c>
      <c r="S261" s="101">
        <f t="shared" si="55"/>
        <v>7.2710503034182867</v>
      </c>
      <c r="T261" s="101">
        <f t="shared" si="55"/>
        <v>7.2710503034182867</v>
      </c>
      <c r="U261" s="101">
        <f t="shared" si="55"/>
        <v>7.2710503034182867</v>
      </c>
      <c r="V261" s="101">
        <f t="shared" si="55"/>
        <v>7.2710503034182867</v>
      </c>
      <c r="W261" s="101">
        <f t="shared" si="55"/>
        <v>7.2710503034182867</v>
      </c>
      <c r="X261" s="101">
        <f t="shared" si="55"/>
        <v>1.0062566653060221</v>
      </c>
      <c r="Y261" s="101">
        <f t="shared" si="55"/>
        <v>1.2338654649296799</v>
      </c>
      <c r="Z261" s="101">
        <f t="shared" si="55"/>
        <v>2.230625171517497</v>
      </c>
      <c r="AA261" s="101">
        <f t="shared" si="55"/>
        <v>0.77414973548659183</v>
      </c>
      <c r="AB261" s="101">
        <f t="shared" si="55"/>
        <v>21.648744524650894</v>
      </c>
      <c r="AC261" s="101">
        <f t="shared" si="55"/>
        <v>0.99999999999999989</v>
      </c>
      <c r="AD261" s="101">
        <f t="shared" si="55"/>
        <v>0.99999999999999989</v>
      </c>
      <c r="AE261" s="101">
        <f t="shared" si="55"/>
        <v>0.99999999999999989</v>
      </c>
      <c r="AF261" s="101">
        <f t="shared" si="55"/>
        <v>0.99999999999999989</v>
      </c>
      <c r="AG261" s="101">
        <f t="shared" si="55"/>
        <v>7.2710503034182867</v>
      </c>
      <c r="AH261" s="101">
        <f t="shared" si="55"/>
        <v>7.2710503034182867</v>
      </c>
      <c r="AI261" s="101">
        <f t="shared" si="55"/>
        <v>0.99999999999999989</v>
      </c>
      <c r="AJ261" s="101">
        <f t="shared" si="55"/>
        <v>0.99999999999999989</v>
      </c>
      <c r="AK261" s="101">
        <f t="shared" si="55"/>
        <v>7.2710503034182867</v>
      </c>
      <c r="AL261" s="101">
        <f t="shared" si="55"/>
        <v>7.2710503034182867</v>
      </c>
      <c r="AM261" s="101">
        <f t="shared" si="55"/>
        <v>0.99999999999999989</v>
      </c>
      <c r="AN261" s="101">
        <f t="shared" si="55"/>
        <v>0.99999999999999989</v>
      </c>
      <c r="AO261" s="101">
        <f t="shared" si="55"/>
        <v>7.2710503034182867</v>
      </c>
      <c r="AP261" s="101">
        <f t="shared" si="55"/>
        <v>7.2710503034182867</v>
      </c>
    </row>
    <row r="262" spans="5:42" x14ac:dyDescent="0.25">
      <c r="F262" s="165" t="s">
        <v>232</v>
      </c>
      <c r="G262" s="28" t="s">
        <v>343</v>
      </c>
      <c r="J262" s="101">
        <f t="shared" ref="J262:AP262" si="56">SUMPRODUCT(J226:J228,J$43:J$45,J$253:J$255) * hours_in_year</f>
        <v>1.373779408236568</v>
      </c>
      <c r="K262" s="101">
        <f t="shared" si="56"/>
        <v>1.5392972355911176</v>
      </c>
      <c r="L262" s="101">
        <f t="shared" si="56"/>
        <v>0.69633709578290515</v>
      </c>
      <c r="M262" s="101">
        <f t="shared" si="56"/>
        <v>1.3801038612625769</v>
      </c>
      <c r="N262" s="101">
        <f t="shared" si="56"/>
        <v>1.4663946857864014</v>
      </c>
      <c r="O262" s="101">
        <f t="shared" si="56"/>
        <v>0.35261535799896354</v>
      </c>
      <c r="P262" s="101">
        <f t="shared" si="56"/>
        <v>1.5303413943432225</v>
      </c>
      <c r="Q262" s="101">
        <f t="shared" si="56"/>
        <v>1.5194077602762401</v>
      </c>
      <c r="R262" s="101">
        <f t="shared" si="56"/>
        <v>1.5319336664092864</v>
      </c>
      <c r="S262" s="101">
        <f t="shared" si="56"/>
        <v>7.2710503034182867</v>
      </c>
      <c r="T262" s="101">
        <f t="shared" si="56"/>
        <v>7.2710503034182867</v>
      </c>
      <c r="U262" s="101">
        <f t="shared" si="56"/>
        <v>7.2710503034182867</v>
      </c>
      <c r="V262" s="101">
        <f t="shared" si="56"/>
        <v>7.2710503034182867</v>
      </c>
      <c r="W262" s="101">
        <f t="shared" si="56"/>
        <v>7.2710503034182867</v>
      </c>
      <c r="X262" s="101">
        <f t="shared" si="56"/>
        <v>1.0062566653060221</v>
      </c>
      <c r="Y262" s="101">
        <f t="shared" si="56"/>
        <v>1.2338654649296799</v>
      </c>
      <c r="Z262" s="101">
        <f t="shared" si="56"/>
        <v>2.230625171517497</v>
      </c>
      <c r="AA262" s="101">
        <f t="shared" si="56"/>
        <v>0.77414973548659183</v>
      </c>
      <c r="AB262" s="101">
        <f t="shared" si="56"/>
        <v>21.648744524650894</v>
      </c>
      <c r="AC262" s="101">
        <f t="shared" si="56"/>
        <v>0.99999999999999989</v>
      </c>
      <c r="AD262" s="101">
        <f t="shared" si="56"/>
        <v>0.99999999999999989</v>
      </c>
      <c r="AE262" s="101">
        <f t="shared" si="56"/>
        <v>0.99999999999999989</v>
      </c>
      <c r="AF262" s="101">
        <f t="shared" si="56"/>
        <v>0.99999999999999989</v>
      </c>
      <c r="AG262" s="101">
        <f t="shared" si="56"/>
        <v>7.2710503034182867</v>
      </c>
      <c r="AH262" s="101">
        <f t="shared" si="56"/>
        <v>7.2710503034182867</v>
      </c>
      <c r="AI262" s="101">
        <f t="shared" si="56"/>
        <v>0.99999999999999989</v>
      </c>
      <c r="AJ262" s="101">
        <f t="shared" si="56"/>
        <v>0.99999999999999989</v>
      </c>
      <c r="AK262" s="101">
        <f t="shared" si="56"/>
        <v>7.2710503034182867</v>
      </c>
      <c r="AL262" s="101">
        <f t="shared" si="56"/>
        <v>7.2710503034182867</v>
      </c>
      <c r="AM262" s="101">
        <f t="shared" si="56"/>
        <v>0.99999999999999989</v>
      </c>
      <c r="AN262" s="101">
        <f t="shared" si="56"/>
        <v>0.99999999999999989</v>
      </c>
      <c r="AO262" s="101">
        <f t="shared" si="56"/>
        <v>7.2710503034182867</v>
      </c>
      <c r="AP262" s="101">
        <f t="shared" si="56"/>
        <v>7.2710503034182867</v>
      </c>
    </row>
    <row r="263" spans="5:42" x14ac:dyDescent="0.25">
      <c r="F263" s="165" t="s">
        <v>233</v>
      </c>
      <c r="G263" s="28" t="s">
        <v>343</v>
      </c>
      <c r="J263" s="101">
        <f t="shared" ref="J263:AP263" si="57">SUMPRODUCT(J231:J233,J$43:J$45,J$253:J$255) * hours_in_year</f>
        <v>1.4212531011237672</v>
      </c>
      <c r="K263" s="101">
        <f t="shared" si="57"/>
        <v>1.5979730376248376</v>
      </c>
      <c r="L263" s="101">
        <f t="shared" si="57"/>
        <v>0.62965889206335846</v>
      </c>
      <c r="M263" s="101">
        <f t="shared" si="57"/>
        <v>1.3655842308674757</v>
      </c>
      <c r="N263" s="101">
        <f t="shared" si="57"/>
        <v>1.4696316733237447</v>
      </c>
      <c r="O263" s="101">
        <f t="shared" si="57"/>
        <v>0.28200915376361751</v>
      </c>
      <c r="P263" s="101">
        <f t="shared" si="57"/>
        <v>1.5391803903256005</v>
      </c>
      <c r="Q263" s="101">
        <f t="shared" si="57"/>
        <v>1.5272457850599788</v>
      </c>
      <c r="R263" s="101">
        <f t="shared" si="57"/>
        <v>1.5328517947267022</v>
      </c>
      <c r="S263" s="101">
        <f t="shared" si="57"/>
        <v>8.6528554891887079</v>
      </c>
      <c r="T263" s="101">
        <f t="shared" si="57"/>
        <v>8.6528554891887079</v>
      </c>
      <c r="U263" s="101">
        <f t="shared" si="57"/>
        <v>8.6528554891887079</v>
      </c>
      <c r="V263" s="101">
        <f t="shared" si="57"/>
        <v>8.6528554891887079</v>
      </c>
      <c r="W263" s="101">
        <f t="shared" si="57"/>
        <v>8.6528554891887079</v>
      </c>
      <c r="X263" s="101">
        <f t="shared" si="57"/>
        <v>1.0076374159893309</v>
      </c>
      <c r="Y263" s="101">
        <f t="shared" si="57"/>
        <v>1.3729982935350344</v>
      </c>
      <c r="Z263" s="101">
        <f t="shared" si="57"/>
        <v>2.5262934713723544</v>
      </c>
      <c r="AA263" s="101">
        <f t="shared" si="57"/>
        <v>0.64389633604371843</v>
      </c>
      <c r="AB263" s="101">
        <f t="shared" si="57"/>
        <v>25.566985780006039</v>
      </c>
      <c r="AC263" s="101">
        <f t="shared" si="57"/>
        <v>1</v>
      </c>
      <c r="AD263" s="101">
        <f t="shared" si="57"/>
        <v>1</v>
      </c>
      <c r="AE263" s="101">
        <f t="shared" si="57"/>
        <v>1</v>
      </c>
      <c r="AF263" s="101">
        <f t="shared" si="57"/>
        <v>1</v>
      </c>
      <c r="AG263" s="101">
        <f t="shared" si="57"/>
        <v>8.6528554891887079</v>
      </c>
      <c r="AH263" s="101">
        <f t="shared" si="57"/>
        <v>8.6528554891887079</v>
      </c>
      <c r="AI263" s="101">
        <f t="shared" si="57"/>
        <v>1</v>
      </c>
      <c r="AJ263" s="101">
        <f t="shared" si="57"/>
        <v>1</v>
      </c>
      <c r="AK263" s="101">
        <f t="shared" si="57"/>
        <v>8.6528554891887079</v>
      </c>
      <c r="AL263" s="101">
        <f t="shared" si="57"/>
        <v>8.6528554891887079</v>
      </c>
      <c r="AM263" s="101">
        <f t="shared" si="57"/>
        <v>1</v>
      </c>
      <c r="AN263" s="101">
        <f t="shared" si="57"/>
        <v>1</v>
      </c>
      <c r="AO263" s="101">
        <f t="shared" si="57"/>
        <v>8.6528554891887079</v>
      </c>
      <c r="AP263" s="101">
        <f t="shared" si="57"/>
        <v>8.6528554891887079</v>
      </c>
    </row>
    <row r="264" spans="5:42" x14ac:dyDescent="0.25">
      <c r="F264" s="165" t="s">
        <v>234</v>
      </c>
      <c r="G264" s="28" t="s">
        <v>343</v>
      </c>
      <c r="J264" s="101">
        <f t="shared" ref="J264:AP264" si="58">SUMPRODUCT(J236:J238,J$43:J$45,J$253:J$255) * hours_in_year</f>
        <v>1.373779408236568</v>
      </c>
      <c r="K264" s="101">
        <f t="shared" si="58"/>
        <v>1.5392972355911176</v>
      </c>
      <c r="L264" s="101">
        <f t="shared" si="58"/>
        <v>0.69633709578290515</v>
      </c>
      <c r="M264" s="101">
        <f t="shared" si="58"/>
        <v>1.3801038612625769</v>
      </c>
      <c r="N264" s="101">
        <f t="shared" si="58"/>
        <v>1.4663946857864014</v>
      </c>
      <c r="O264" s="101">
        <f t="shared" si="58"/>
        <v>0.35261535799896354</v>
      </c>
      <c r="P264" s="101">
        <f t="shared" si="58"/>
        <v>1.5303413943432225</v>
      </c>
      <c r="Q264" s="101">
        <f t="shared" si="58"/>
        <v>1.5194077602762401</v>
      </c>
      <c r="R264" s="101">
        <f t="shared" si="58"/>
        <v>1.5319336664092864</v>
      </c>
      <c r="S264" s="101">
        <f t="shared" si="58"/>
        <v>7.2710503034182867</v>
      </c>
      <c r="T264" s="101">
        <f t="shared" si="58"/>
        <v>7.2710503034182867</v>
      </c>
      <c r="U264" s="101">
        <f t="shared" si="58"/>
        <v>7.2710503034182867</v>
      </c>
      <c r="V264" s="101">
        <f t="shared" si="58"/>
        <v>7.2710503034182867</v>
      </c>
      <c r="W264" s="101">
        <f t="shared" si="58"/>
        <v>7.2710503034182867</v>
      </c>
      <c r="X264" s="101">
        <f t="shared" si="58"/>
        <v>1.0062566653060221</v>
      </c>
      <c r="Y264" s="101">
        <f t="shared" si="58"/>
        <v>1.2338654649296799</v>
      </c>
      <c r="Z264" s="101">
        <f t="shared" si="58"/>
        <v>2.230625171517497</v>
      </c>
      <c r="AA264" s="101">
        <f t="shared" si="58"/>
        <v>0.77414973548659183</v>
      </c>
      <c r="AB264" s="101">
        <f t="shared" si="58"/>
        <v>21.648744524650894</v>
      </c>
      <c r="AC264" s="101">
        <f t="shared" si="58"/>
        <v>0.99999999999999989</v>
      </c>
      <c r="AD264" s="101">
        <f t="shared" si="58"/>
        <v>0.99999999999999989</v>
      </c>
      <c r="AE264" s="101">
        <f t="shared" si="58"/>
        <v>0.99999999999999989</v>
      </c>
      <c r="AF264" s="101">
        <f t="shared" si="58"/>
        <v>0.99999999999999989</v>
      </c>
      <c r="AG264" s="101">
        <f t="shared" si="58"/>
        <v>7.2710503034182867</v>
      </c>
      <c r="AH264" s="101">
        <f t="shared" si="58"/>
        <v>7.2710503034182867</v>
      </c>
      <c r="AI264" s="101">
        <f t="shared" si="58"/>
        <v>0.99999999999999989</v>
      </c>
      <c r="AJ264" s="101">
        <f t="shared" si="58"/>
        <v>0.99999999999999989</v>
      </c>
      <c r="AK264" s="101">
        <f t="shared" si="58"/>
        <v>7.2710503034182867</v>
      </c>
      <c r="AL264" s="101">
        <f t="shared" si="58"/>
        <v>7.2710503034182867</v>
      </c>
      <c r="AM264" s="101">
        <f t="shared" si="58"/>
        <v>0.99999999999999989</v>
      </c>
      <c r="AN264" s="101">
        <f t="shared" si="58"/>
        <v>0.99999999999999989</v>
      </c>
      <c r="AO264" s="101">
        <f t="shared" si="58"/>
        <v>7.2710503034182867</v>
      </c>
      <c r="AP264" s="101">
        <f t="shared" si="58"/>
        <v>7.2710503034182867</v>
      </c>
    </row>
    <row r="265" spans="5:42" x14ac:dyDescent="0.25">
      <c r="F265" s="165" t="s">
        <v>235</v>
      </c>
      <c r="G265" s="28" t="s">
        <v>343</v>
      </c>
      <c r="J265" s="101">
        <f t="shared" ref="J265:AP265" si="59">SUMPRODUCT(J241:J243,J$43:J$45,J$253:J$255) * hours_in_year</f>
        <v>1.373779408236568</v>
      </c>
      <c r="K265" s="101">
        <f t="shared" si="59"/>
        <v>1.5392972355911176</v>
      </c>
      <c r="L265" s="101">
        <f t="shared" si="59"/>
        <v>0.69633709578290515</v>
      </c>
      <c r="M265" s="101">
        <f t="shared" si="59"/>
        <v>1.3801038612625769</v>
      </c>
      <c r="N265" s="101">
        <f t="shared" si="59"/>
        <v>1.4663946857864014</v>
      </c>
      <c r="O265" s="101">
        <f t="shared" si="59"/>
        <v>0.35261535799896354</v>
      </c>
      <c r="P265" s="101">
        <f t="shared" si="59"/>
        <v>1.5303413943432225</v>
      </c>
      <c r="Q265" s="101">
        <f t="shared" si="59"/>
        <v>1.5194077602762401</v>
      </c>
      <c r="R265" s="101">
        <f t="shared" si="59"/>
        <v>1.5319336664092864</v>
      </c>
      <c r="S265" s="101">
        <f t="shared" si="59"/>
        <v>7.2710503034182867</v>
      </c>
      <c r="T265" s="101">
        <f t="shared" si="59"/>
        <v>7.2710503034182867</v>
      </c>
      <c r="U265" s="101">
        <f t="shared" si="59"/>
        <v>7.2710503034182867</v>
      </c>
      <c r="V265" s="101">
        <f t="shared" si="59"/>
        <v>7.2710503034182867</v>
      </c>
      <c r="W265" s="101">
        <f t="shared" si="59"/>
        <v>7.2710503034182867</v>
      </c>
      <c r="X265" s="101">
        <f t="shared" si="59"/>
        <v>1.0062566653060221</v>
      </c>
      <c r="Y265" s="101">
        <f t="shared" si="59"/>
        <v>1.2338654649296799</v>
      </c>
      <c r="Z265" s="101">
        <f t="shared" si="59"/>
        <v>2.230625171517497</v>
      </c>
      <c r="AA265" s="101">
        <f t="shared" si="59"/>
        <v>0.77414973548659183</v>
      </c>
      <c r="AB265" s="101">
        <f t="shared" si="59"/>
        <v>21.648744524650894</v>
      </c>
      <c r="AC265" s="101">
        <f t="shared" si="59"/>
        <v>0.99999999999999989</v>
      </c>
      <c r="AD265" s="101">
        <f t="shared" si="59"/>
        <v>0.99999999999999989</v>
      </c>
      <c r="AE265" s="101">
        <f t="shared" si="59"/>
        <v>0.99999999999999989</v>
      </c>
      <c r="AF265" s="101">
        <f t="shared" si="59"/>
        <v>0.99999999999999989</v>
      </c>
      <c r="AG265" s="101">
        <f t="shared" si="59"/>
        <v>7.2710503034182867</v>
      </c>
      <c r="AH265" s="101">
        <f t="shared" si="59"/>
        <v>7.2710503034182867</v>
      </c>
      <c r="AI265" s="101">
        <f t="shared" si="59"/>
        <v>0.99999999999999989</v>
      </c>
      <c r="AJ265" s="101">
        <f t="shared" si="59"/>
        <v>0.99999999999999989</v>
      </c>
      <c r="AK265" s="101">
        <f t="shared" si="59"/>
        <v>7.2710503034182867</v>
      </c>
      <c r="AL265" s="101">
        <f t="shared" si="59"/>
        <v>7.2710503034182867</v>
      </c>
      <c r="AM265" s="101">
        <f t="shared" si="59"/>
        <v>0.99999999999999989</v>
      </c>
      <c r="AN265" s="101">
        <f t="shared" si="59"/>
        <v>0.99999999999999989</v>
      </c>
      <c r="AO265" s="101">
        <f t="shared" si="59"/>
        <v>7.2710503034182867</v>
      </c>
      <c r="AP265" s="101">
        <f t="shared" si="59"/>
        <v>7.2710503034182867</v>
      </c>
    </row>
    <row r="266" spans="5:42" x14ac:dyDescent="0.25">
      <c r="F266" s="166" t="s">
        <v>236</v>
      </c>
      <c r="G266" s="67" t="s">
        <v>343</v>
      </c>
      <c r="H266" s="37"/>
      <c r="I266" s="37"/>
      <c r="J266" s="103">
        <f t="shared" ref="J266:AP266" si="60">SUMPRODUCT(J246:J248,J$43:J$45,J$253:J$255) * hours_in_year</f>
        <v>1.373779408236568</v>
      </c>
      <c r="K266" s="103">
        <f t="shared" si="60"/>
        <v>1.5392972355911176</v>
      </c>
      <c r="L266" s="103">
        <f t="shared" si="60"/>
        <v>0.69633709578290515</v>
      </c>
      <c r="M266" s="103">
        <f t="shared" si="60"/>
        <v>1.3801038612625769</v>
      </c>
      <c r="N266" s="103">
        <f t="shared" si="60"/>
        <v>1.4663946857864014</v>
      </c>
      <c r="O266" s="103">
        <f t="shared" si="60"/>
        <v>0.35261535799896354</v>
      </c>
      <c r="P266" s="103">
        <f t="shared" si="60"/>
        <v>1.5303413943432225</v>
      </c>
      <c r="Q266" s="103">
        <f t="shared" si="60"/>
        <v>1.5194077602762401</v>
      </c>
      <c r="R266" s="103">
        <f t="shared" si="60"/>
        <v>1.5319336664092864</v>
      </c>
      <c r="S266" s="103">
        <f t="shared" si="60"/>
        <v>7.2710503034182867</v>
      </c>
      <c r="T266" s="103">
        <f t="shared" si="60"/>
        <v>7.2710503034182867</v>
      </c>
      <c r="U266" s="103">
        <f t="shared" si="60"/>
        <v>7.2710503034182867</v>
      </c>
      <c r="V266" s="103">
        <f t="shared" si="60"/>
        <v>7.2710503034182867</v>
      </c>
      <c r="W266" s="103">
        <f t="shared" si="60"/>
        <v>7.2710503034182867</v>
      </c>
      <c r="X266" s="103">
        <f t="shared" si="60"/>
        <v>1.0062566653060221</v>
      </c>
      <c r="Y266" s="103">
        <f t="shared" si="60"/>
        <v>1.2338654649296799</v>
      </c>
      <c r="Z266" s="103">
        <f t="shared" si="60"/>
        <v>2.230625171517497</v>
      </c>
      <c r="AA266" s="103">
        <f t="shared" si="60"/>
        <v>0.77414973548659183</v>
      </c>
      <c r="AB266" s="103">
        <f t="shared" si="60"/>
        <v>21.648744524650894</v>
      </c>
      <c r="AC266" s="103">
        <f t="shared" si="60"/>
        <v>0.99999999999999989</v>
      </c>
      <c r="AD266" s="103">
        <f t="shared" si="60"/>
        <v>0.99999999999999989</v>
      </c>
      <c r="AE266" s="103">
        <f t="shared" si="60"/>
        <v>0.99999999999999989</v>
      </c>
      <c r="AF266" s="103">
        <f t="shared" si="60"/>
        <v>0.99999999999999989</v>
      </c>
      <c r="AG266" s="103">
        <f t="shared" si="60"/>
        <v>7.2710503034182867</v>
      </c>
      <c r="AH266" s="103">
        <f t="shared" si="60"/>
        <v>7.2710503034182867</v>
      </c>
      <c r="AI266" s="103">
        <f t="shared" si="60"/>
        <v>0.99999999999999989</v>
      </c>
      <c r="AJ266" s="103">
        <f t="shared" si="60"/>
        <v>0.99999999999999989</v>
      </c>
      <c r="AK266" s="103">
        <f t="shared" si="60"/>
        <v>7.2710503034182867</v>
      </c>
      <c r="AL266" s="103">
        <f t="shared" si="60"/>
        <v>7.2710503034182867</v>
      </c>
      <c r="AM266" s="103">
        <f t="shared" si="60"/>
        <v>0.99999999999999989</v>
      </c>
      <c r="AN266" s="103">
        <f t="shared" si="60"/>
        <v>0.99999999999999989</v>
      </c>
      <c r="AO266" s="103">
        <f t="shared" si="60"/>
        <v>7.2710503034182867</v>
      </c>
      <c r="AP266" s="103">
        <f t="shared" si="60"/>
        <v>7.2710503034182867</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194</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228</v>
      </c>
      <c r="G269" s="64" t="s">
        <v>343</v>
      </c>
      <c r="H269" s="23"/>
      <c r="I269" s="23"/>
      <c r="J269" s="129">
        <f t="shared" ref="J269:AP269" si="61">SUMPRODUCT(J206:J208,J$52:J$54,J$253:J$255) * hours_in_year</f>
        <v>0</v>
      </c>
      <c r="K269" s="129">
        <f t="shared" si="61"/>
        <v>0</v>
      </c>
      <c r="L269" s="129">
        <f t="shared" si="61"/>
        <v>0</v>
      </c>
      <c r="M269" s="129">
        <f t="shared" si="61"/>
        <v>0</v>
      </c>
      <c r="N269" s="129">
        <f t="shared" si="61"/>
        <v>0</v>
      </c>
      <c r="O269" s="129">
        <f t="shared" si="61"/>
        <v>0</v>
      </c>
      <c r="P269" s="129">
        <f t="shared" si="61"/>
        <v>0</v>
      </c>
      <c r="Q269" s="129">
        <f t="shared" si="61"/>
        <v>0</v>
      </c>
      <c r="R269" s="129">
        <f t="shared" si="61"/>
        <v>0</v>
      </c>
      <c r="S269" s="129">
        <f t="shared" si="61"/>
        <v>0.35400943858767064</v>
      </c>
      <c r="T269" s="129">
        <f t="shared" si="61"/>
        <v>0.35400943858767064</v>
      </c>
      <c r="U269" s="129">
        <f t="shared" si="61"/>
        <v>0.35400943858767064</v>
      </c>
      <c r="V269" s="129">
        <f t="shared" si="61"/>
        <v>0.35400943858767064</v>
      </c>
      <c r="W269" s="129">
        <f t="shared" si="61"/>
        <v>0.35400943858767064</v>
      </c>
      <c r="X269" s="129">
        <f t="shared" si="61"/>
        <v>0</v>
      </c>
      <c r="Y269" s="129">
        <f t="shared" si="61"/>
        <v>0</v>
      </c>
      <c r="Z269" s="129">
        <f t="shared" si="61"/>
        <v>0</v>
      </c>
      <c r="AA269" s="129">
        <f t="shared" si="61"/>
        <v>0</v>
      </c>
      <c r="AB269" s="129">
        <f t="shared" si="61"/>
        <v>0.60881043754561359</v>
      </c>
      <c r="AC269" s="129">
        <f t="shared" si="61"/>
        <v>0</v>
      </c>
      <c r="AD269" s="129">
        <f t="shared" si="61"/>
        <v>0</v>
      </c>
      <c r="AE269" s="129">
        <f t="shared" si="61"/>
        <v>0</v>
      </c>
      <c r="AF269" s="129">
        <f t="shared" si="61"/>
        <v>0</v>
      </c>
      <c r="AG269" s="129">
        <f t="shared" si="61"/>
        <v>0.35400943858767064</v>
      </c>
      <c r="AH269" s="129">
        <f t="shared" si="61"/>
        <v>0.35400943858767064</v>
      </c>
      <c r="AI269" s="129">
        <f t="shared" si="61"/>
        <v>0</v>
      </c>
      <c r="AJ269" s="129">
        <f t="shared" si="61"/>
        <v>0</v>
      </c>
      <c r="AK269" s="129">
        <f t="shared" si="61"/>
        <v>0.35400943858767064</v>
      </c>
      <c r="AL269" s="129">
        <f t="shared" si="61"/>
        <v>0.35400943858767064</v>
      </c>
      <c r="AM269" s="129">
        <f t="shared" si="61"/>
        <v>0</v>
      </c>
      <c r="AN269" s="129">
        <f t="shared" si="61"/>
        <v>0</v>
      </c>
      <c r="AO269" s="129">
        <f t="shared" si="61"/>
        <v>0.35400943858767064</v>
      </c>
      <c r="AP269" s="129">
        <f t="shared" si="61"/>
        <v>0.35400943858767064</v>
      </c>
    </row>
    <row r="270" spans="5:42" x14ac:dyDescent="0.25">
      <c r="F270" s="28" t="s">
        <v>229</v>
      </c>
      <c r="G270" s="28" t="s">
        <v>343</v>
      </c>
      <c r="J270" s="101">
        <f t="shared" ref="J270:AP270" si="62">SUMPRODUCT(J211:J213,J$52:J$54,J$253:J$255) * hours_in_year</f>
        <v>0</v>
      </c>
      <c r="K270" s="101">
        <f t="shared" si="62"/>
        <v>2.4487189487901666E-2</v>
      </c>
      <c r="L270" s="101">
        <f t="shared" si="62"/>
        <v>0</v>
      </c>
      <c r="M270" s="101">
        <f t="shared" si="62"/>
        <v>0</v>
      </c>
      <c r="N270" s="101">
        <f t="shared" si="62"/>
        <v>2.4487189487901666E-2</v>
      </c>
      <c r="O270" s="101">
        <f t="shared" si="62"/>
        <v>0</v>
      </c>
      <c r="P270" s="101">
        <f t="shared" si="62"/>
        <v>2.4487189487901666E-2</v>
      </c>
      <c r="Q270" s="101">
        <f t="shared" si="62"/>
        <v>2.4487189487901666E-2</v>
      </c>
      <c r="R270" s="101">
        <f t="shared" si="62"/>
        <v>2.4487189487901666E-2</v>
      </c>
      <c r="S270" s="101">
        <f t="shared" si="62"/>
        <v>0.6774628659776849</v>
      </c>
      <c r="T270" s="101">
        <f t="shared" si="62"/>
        <v>0.6774628659776849</v>
      </c>
      <c r="U270" s="101">
        <f t="shared" si="62"/>
        <v>0.6774628659776849</v>
      </c>
      <c r="V270" s="101">
        <f t="shared" si="62"/>
        <v>0.6774628659776849</v>
      </c>
      <c r="W270" s="101">
        <f t="shared" si="62"/>
        <v>0.6774628659776849</v>
      </c>
      <c r="X270" s="101">
        <f t="shared" si="62"/>
        <v>0</v>
      </c>
      <c r="Y270" s="101">
        <f t="shared" si="62"/>
        <v>0</v>
      </c>
      <c r="Z270" s="101">
        <f t="shared" si="62"/>
        <v>0</v>
      </c>
      <c r="AA270" s="101">
        <f t="shared" si="62"/>
        <v>0</v>
      </c>
      <c r="AB270" s="101">
        <f t="shared" si="62"/>
        <v>0.64622654378004107</v>
      </c>
      <c r="AC270" s="101">
        <f t="shared" si="62"/>
        <v>0</v>
      </c>
      <c r="AD270" s="101">
        <f t="shared" si="62"/>
        <v>0</v>
      </c>
      <c r="AE270" s="101">
        <f t="shared" si="62"/>
        <v>0</v>
      </c>
      <c r="AF270" s="101">
        <f t="shared" si="62"/>
        <v>0</v>
      </c>
      <c r="AG270" s="101">
        <f t="shared" si="62"/>
        <v>0.6774628659776849</v>
      </c>
      <c r="AH270" s="101">
        <f t="shared" si="62"/>
        <v>0.6774628659776849</v>
      </c>
      <c r="AI270" s="101">
        <f t="shared" si="62"/>
        <v>0</v>
      </c>
      <c r="AJ270" s="101">
        <f t="shared" si="62"/>
        <v>0</v>
      </c>
      <c r="AK270" s="101">
        <f t="shared" si="62"/>
        <v>0.6774628659776849</v>
      </c>
      <c r="AL270" s="101">
        <f t="shared" si="62"/>
        <v>0.6774628659776849</v>
      </c>
      <c r="AM270" s="101">
        <f t="shared" si="62"/>
        <v>0</v>
      </c>
      <c r="AN270" s="101">
        <f t="shared" si="62"/>
        <v>0</v>
      </c>
      <c r="AO270" s="101">
        <f t="shared" si="62"/>
        <v>0.6774628659776849</v>
      </c>
      <c r="AP270" s="101">
        <f t="shared" si="62"/>
        <v>0.6774628659776849</v>
      </c>
    </row>
    <row r="271" spans="5:42" x14ac:dyDescent="0.25">
      <c r="F271" s="28" t="s">
        <v>230</v>
      </c>
      <c r="G271" s="28" t="s">
        <v>343</v>
      </c>
      <c r="J271" s="101">
        <f t="shared" ref="J271:AP271" si="63">SUMPRODUCT(J216:J218,J$52:J$54,J$253:J$255) * hours_in_year</f>
        <v>0</v>
      </c>
      <c r="K271" s="101">
        <f t="shared" si="63"/>
        <v>2.4487189487901666E-2</v>
      </c>
      <c r="L271" s="101">
        <f t="shared" si="63"/>
        <v>0</v>
      </c>
      <c r="M271" s="101">
        <f t="shared" si="63"/>
        <v>0</v>
      </c>
      <c r="N271" s="101">
        <f t="shared" si="63"/>
        <v>2.4487189487901666E-2</v>
      </c>
      <c r="O271" s="101">
        <f t="shared" si="63"/>
        <v>0</v>
      </c>
      <c r="P271" s="101">
        <f t="shared" si="63"/>
        <v>2.4487189487901666E-2</v>
      </c>
      <c r="Q271" s="101">
        <f t="shared" si="63"/>
        <v>2.4487189487901666E-2</v>
      </c>
      <c r="R271" s="101">
        <f t="shared" si="63"/>
        <v>2.4487189487901666E-2</v>
      </c>
      <c r="S271" s="101">
        <f t="shared" si="63"/>
        <v>0.6774628659776849</v>
      </c>
      <c r="T271" s="101">
        <f t="shared" si="63"/>
        <v>0.6774628659776849</v>
      </c>
      <c r="U271" s="101">
        <f t="shared" si="63"/>
        <v>0.6774628659776849</v>
      </c>
      <c r="V271" s="101">
        <f t="shared" si="63"/>
        <v>0.6774628659776849</v>
      </c>
      <c r="W271" s="101">
        <f t="shared" si="63"/>
        <v>0.6774628659776849</v>
      </c>
      <c r="X271" s="101">
        <f t="shared" si="63"/>
        <v>0</v>
      </c>
      <c r="Y271" s="101">
        <f t="shared" si="63"/>
        <v>0</v>
      </c>
      <c r="Z271" s="101">
        <f t="shared" si="63"/>
        <v>0</v>
      </c>
      <c r="AA271" s="101">
        <f t="shared" si="63"/>
        <v>0</v>
      </c>
      <c r="AB271" s="101">
        <f t="shared" si="63"/>
        <v>0.64622654378004107</v>
      </c>
      <c r="AC271" s="101">
        <f t="shared" si="63"/>
        <v>0</v>
      </c>
      <c r="AD271" s="101">
        <f t="shared" si="63"/>
        <v>0</v>
      </c>
      <c r="AE271" s="101">
        <f t="shared" si="63"/>
        <v>0</v>
      </c>
      <c r="AF271" s="101">
        <f t="shared" si="63"/>
        <v>0</v>
      </c>
      <c r="AG271" s="101">
        <f t="shared" si="63"/>
        <v>0.6774628659776849</v>
      </c>
      <c r="AH271" s="101">
        <f t="shared" si="63"/>
        <v>0.6774628659776849</v>
      </c>
      <c r="AI271" s="101">
        <f t="shared" si="63"/>
        <v>0</v>
      </c>
      <c r="AJ271" s="101">
        <f t="shared" si="63"/>
        <v>0</v>
      </c>
      <c r="AK271" s="101">
        <f t="shared" si="63"/>
        <v>0.6774628659776849</v>
      </c>
      <c r="AL271" s="101">
        <f t="shared" si="63"/>
        <v>0.6774628659776849</v>
      </c>
      <c r="AM271" s="101">
        <f t="shared" si="63"/>
        <v>0</v>
      </c>
      <c r="AN271" s="101">
        <f t="shared" si="63"/>
        <v>0</v>
      </c>
      <c r="AO271" s="101">
        <f t="shared" si="63"/>
        <v>0.6774628659776849</v>
      </c>
      <c r="AP271" s="101">
        <f t="shared" si="63"/>
        <v>0.6774628659776849</v>
      </c>
    </row>
    <row r="272" spans="5:42" x14ac:dyDescent="0.25">
      <c r="F272" s="28" t="s">
        <v>231</v>
      </c>
      <c r="G272" s="28" t="s">
        <v>343</v>
      </c>
      <c r="J272" s="101">
        <f t="shared" ref="J272:AP272" si="64">SUMPRODUCT(J221:J223,J$52:J$54,J$253:J$255) * hours_in_year</f>
        <v>0</v>
      </c>
      <c r="K272" s="101">
        <f t="shared" si="64"/>
        <v>6.8870180718174662E-2</v>
      </c>
      <c r="L272" s="101">
        <f t="shared" si="64"/>
        <v>0</v>
      </c>
      <c r="M272" s="101">
        <f t="shared" si="64"/>
        <v>0</v>
      </c>
      <c r="N272" s="101">
        <f t="shared" si="64"/>
        <v>6.8870180718174662E-2</v>
      </c>
      <c r="O272" s="101">
        <f t="shared" si="64"/>
        <v>0</v>
      </c>
      <c r="P272" s="101">
        <f t="shared" si="64"/>
        <v>6.8870180718174662E-2</v>
      </c>
      <c r="Q272" s="101">
        <f t="shared" si="64"/>
        <v>6.8870180718174662E-2</v>
      </c>
      <c r="R272" s="101">
        <f t="shared" si="64"/>
        <v>6.8870180718174662E-2</v>
      </c>
      <c r="S272" s="101">
        <f t="shared" si="64"/>
        <v>0.98745809563683939</v>
      </c>
      <c r="T272" s="101">
        <f t="shared" si="64"/>
        <v>0.98745809563683939</v>
      </c>
      <c r="U272" s="101">
        <f t="shared" si="64"/>
        <v>0.98745809563683939</v>
      </c>
      <c r="V272" s="101">
        <f t="shared" si="64"/>
        <v>0.98745809563683939</v>
      </c>
      <c r="W272" s="101">
        <f t="shared" si="64"/>
        <v>0.98745809563683939</v>
      </c>
      <c r="X272" s="101">
        <f t="shared" si="64"/>
        <v>0</v>
      </c>
      <c r="Y272" s="101">
        <f t="shared" si="64"/>
        <v>0</v>
      </c>
      <c r="Z272" s="101">
        <f t="shared" si="64"/>
        <v>0</v>
      </c>
      <c r="AA272" s="101">
        <f t="shared" si="64"/>
        <v>0</v>
      </c>
      <c r="AB272" s="101">
        <f t="shared" si="64"/>
        <v>0.8808112115292337</v>
      </c>
      <c r="AC272" s="101">
        <f t="shared" si="64"/>
        <v>0</v>
      </c>
      <c r="AD272" s="101">
        <f t="shared" si="64"/>
        <v>0</v>
      </c>
      <c r="AE272" s="101">
        <f t="shared" si="64"/>
        <v>0</v>
      </c>
      <c r="AF272" s="101">
        <f t="shared" si="64"/>
        <v>0</v>
      </c>
      <c r="AG272" s="101">
        <f t="shared" si="64"/>
        <v>0.98745809563683939</v>
      </c>
      <c r="AH272" s="101">
        <f t="shared" si="64"/>
        <v>0.98745809563683939</v>
      </c>
      <c r="AI272" s="101">
        <f t="shared" si="64"/>
        <v>0</v>
      </c>
      <c r="AJ272" s="101">
        <f t="shared" si="64"/>
        <v>0</v>
      </c>
      <c r="AK272" s="101">
        <f t="shared" si="64"/>
        <v>0.98745809563683939</v>
      </c>
      <c r="AL272" s="101">
        <f t="shared" si="64"/>
        <v>0.98745809563683939</v>
      </c>
      <c r="AM272" s="101">
        <f t="shared" si="64"/>
        <v>0</v>
      </c>
      <c r="AN272" s="101">
        <f t="shared" si="64"/>
        <v>0</v>
      </c>
      <c r="AO272" s="101">
        <f t="shared" si="64"/>
        <v>0.98745809563683939</v>
      </c>
      <c r="AP272" s="101">
        <f t="shared" si="64"/>
        <v>0.98745809563683939</v>
      </c>
    </row>
    <row r="273" spans="5:42" x14ac:dyDescent="0.25">
      <c r="F273" s="28" t="s">
        <v>232</v>
      </c>
      <c r="G273" s="28" t="s">
        <v>343</v>
      </c>
      <c r="J273" s="101">
        <f t="shared" ref="J273:AP273" si="65">SUMPRODUCT(J226:J228,J$52:J$54,J$253:J$255) * hours_in_year</f>
        <v>0</v>
      </c>
      <c r="K273" s="101">
        <f t="shared" si="65"/>
        <v>6.8870180718174662E-2</v>
      </c>
      <c r="L273" s="101">
        <f t="shared" si="65"/>
        <v>0</v>
      </c>
      <c r="M273" s="101">
        <f t="shared" si="65"/>
        <v>0</v>
      </c>
      <c r="N273" s="101">
        <f t="shared" si="65"/>
        <v>6.8870180718174662E-2</v>
      </c>
      <c r="O273" s="101">
        <f t="shared" si="65"/>
        <v>0</v>
      </c>
      <c r="P273" s="101">
        <f t="shared" si="65"/>
        <v>6.8870180718174662E-2</v>
      </c>
      <c r="Q273" s="101">
        <f t="shared" si="65"/>
        <v>6.8870180718174662E-2</v>
      </c>
      <c r="R273" s="101">
        <f t="shared" si="65"/>
        <v>6.8870180718174662E-2</v>
      </c>
      <c r="S273" s="101">
        <f t="shared" si="65"/>
        <v>0.98745809563683939</v>
      </c>
      <c r="T273" s="101">
        <f t="shared" si="65"/>
        <v>0.98745809563683939</v>
      </c>
      <c r="U273" s="101">
        <f t="shared" si="65"/>
        <v>0.98745809563683939</v>
      </c>
      <c r="V273" s="101">
        <f t="shared" si="65"/>
        <v>0.98745809563683939</v>
      </c>
      <c r="W273" s="101">
        <f t="shared" si="65"/>
        <v>0.98745809563683939</v>
      </c>
      <c r="X273" s="101">
        <f t="shared" si="65"/>
        <v>0</v>
      </c>
      <c r="Y273" s="101">
        <f t="shared" si="65"/>
        <v>0</v>
      </c>
      <c r="Z273" s="101">
        <f t="shared" si="65"/>
        <v>0</v>
      </c>
      <c r="AA273" s="101">
        <f t="shared" si="65"/>
        <v>0</v>
      </c>
      <c r="AB273" s="101">
        <f t="shared" si="65"/>
        <v>0.8808112115292337</v>
      </c>
      <c r="AC273" s="101">
        <f t="shared" si="65"/>
        <v>0</v>
      </c>
      <c r="AD273" s="101">
        <f t="shared" si="65"/>
        <v>0</v>
      </c>
      <c r="AE273" s="101">
        <f t="shared" si="65"/>
        <v>0</v>
      </c>
      <c r="AF273" s="101">
        <f t="shared" si="65"/>
        <v>0</v>
      </c>
      <c r="AG273" s="101">
        <f t="shared" si="65"/>
        <v>0.98745809563683939</v>
      </c>
      <c r="AH273" s="101">
        <f t="shared" si="65"/>
        <v>0.98745809563683939</v>
      </c>
      <c r="AI273" s="101">
        <f t="shared" si="65"/>
        <v>0</v>
      </c>
      <c r="AJ273" s="101">
        <f t="shared" si="65"/>
        <v>0</v>
      </c>
      <c r="AK273" s="101">
        <f t="shared" si="65"/>
        <v>0.98745809563683939</v>
      </c>
      <c r="AL273" s="101">
        <f t="shared" si="65"/>
        <v>0.98745809563683939</v>
      </c>
      <c r="AM273" s="101">
        <f t="shared" si="65"/>
        <v>0</v>
      </c>
      <c r="AN273" s="101">
        <f t="shared" si="65"/>
        <v>0</v>
      </c>
      <c r="AO273" s="101">
        <f t="shared" si="65"/>
        <v>0.98745809563683939</v>
      </c>
      <c r="AP273" s="101">
        <f t="shared" si="65"/>
        <v>0.98745809563683939</v>
      </c>
    </row>
    <row r="274" spans="5:42" x14ac:dyDescent="0.25">
      <c r="F274" s="28" t="s">
        <v>233</v>
      </c>
      <c r="G274" s="28" t="s">
        <v>343</v>
      </c>
      <c r="J274" s="101">
        <f t="shared" ref="J274:AP274" si="66">SUMPRODUCT(J231:J233,J$52:J$54,J$253:J$255) * hours_in_year</f>
        <v>0</v>
      </c>
      <c r="K274" s="101">
        <f t="shared" si="66"/>
        <v>2.4487189487901666E-2</v>
      </c>
      <c r="L274" s="101">
        <f t="shared" si="66"/>
        <v>0</v>
      </c>
      <c r="M274" s="101">
        <f t="shared" si="66"/>
        <v>0</v>
      </c>
      <c r="N274" s="101">
        <f t="shared" si="66"/>
        <v>2.4487189487901666E-2</v>
      </c>
      <c r="O274" s="101">
        <f t="shared" si="66"/>
        <v>0</v>
      </c>
      <c r="P274" s="101">
        <f t="shared" si="66"/>
        <v>2.4487189487901666E-2</v>
      </c>
      <c r="Q274" s="101">
        <f t="shared" si="66"/>
        <v>2.4487189487901666E-2</v>
      </c>
      <c r="R274" s="101">
        <f t="shared" si="66"/>
        <v>2.4487189487901666E-2</v>
      </c>
      <c r="S274" s="101">
        <f t="shared" si="66"/>
        <v>0.6774628659776849</v>
      </c>
      <c r="T274" s="101">
        <f t="shared" si="66"/>
        <v>0.6774628659776849</v>
      </c>
      <c r="U274" s="101">
        <f t="shared" si="66"/>
        <v>0.6774628659776849</v>
      </c>
      <c r="V274" s="101">
        <f t="shared" si="66"/>
        <v>0.6774628659776849</v>
      </c>
      <c r="W274" s="101">
        <f t="shared" si="66"/>
        <v>0.6774628659776849</v>
      </c>
      <c r="X274" s="101">
        <f t="shared" si="66"/>
        <v>0</v>
      </c>
      <c r="Y274" s="101">
        <f t="shared" si="66"/>
        <v>0</v>
      </c>
      <c r="Z274" s="101">
        <f t="shared" si="66"/>
        <v>0</v>
      </c>
      <c r="AA274" s="101">
        <f t="shared" si="66"/>
        <v>0</v>
      </c>
      <c r="AB274" s="101">
        <f t="shared" si="66"/>
        <v>0.64622654378004107</v>
      </c>
      <c r="AC274" s="101">
        <f t="shared" si="66"/>
        <v>0</v>
      </c>
      <c r="AD274" s="101">
        <f t="shared" si="66"/>
        <v>0</v>
      </c>
      <c r="AE274" s="101">
        <f t="shared" si="66"/>
        <v>0</v>
      </c>
      <c r="AF274" s="101">
        <f t="shared" si="66"/>
        <v>0</v>
      </c>
      <c r="AG274" s="101">
        <f t="shared" si="66"/>
        <v>0.6774628659776849</v>
      </c>
      <c r="AH274" s="101">
        <f t="shared" si="66"/>
        <v>0.6774628659776849</v>
      </c>
      <c r="AI274" s="101">
        <f t="shared" si="66"/>
        <v>0</v>
      </c>
      <c r="AJ274" s="101">
        <f t="shared" si="66"/>
        <v>0</v>
      </c>
      <c r="AK274" s="101">
        <f t="shared" si="66"/>
        <v>0.6774628659776849</v>
      </c>
      <c r="AL274" s="101">
        <f t="shared" si="66"/>
        <v>0.6774628659776849</v>
      </c>
      <c r="AM274" s="101">
        <f t="shared" si="66"/>
        <v>0</v>
      </c>
      <c r="AN274" s="101">
        <f t="shared" si="66"/>
        <v>0</v>
      </c>
      <c r="AO274" s="101">
        <f t="shared" si="66"/>
        <v>0.6774628659776849</v>
      </c>
      <c r="AP274" s="101">
        <f t="shared" si="66"/>
        <v>0.6774628659776849</v>
      </c>
    </row>
    <row r="275" spans="5:42" x14ac:dyDescent="0.25">
      <c r="F275" s="28" t="s">
        <v>234</v>
      </c>
      <c r="G275" s="28" t="s">
        <v>343</v>
      </c>
      <c r="J275" s="101">
        <f t="shared" ref="J275:AP275" si="67">SUMPRODUCT(J236:J238,J$52:J$54,J$253:J$255) * hours_in_year</f>
        <v>0</v>
      </c>
      <c r="K275" s="101">
        <f t="shared" si="67"/>
        <v>6.8870180718174662E-2</v>
      </c>
      <c r="L275" s="101">
        <f t="shared" si="67"/>
        <v>0</v>
      </c>
      <c r="M275" s="101">
        <f t="shared" si="67"/>
        <v>0</v>
      </c>
      <c r="N275" s="101">
        <f t="shared" si="67"/>
        <v>6.8870180718174662E-2</v>
      </c>
      <c r="O275" s="101">
        <f t="shared" si="67"/>
        <v>0</v>
      </c>
      <c r="P275" s="101">
        <f t="shared" si="67"/>
        <v>6.8870180718174662E-2</v>
      </c>
      <c r="Q275" s="101">
        <f t="shared" si="67"/>
        <v>6.8870180718174662E-2</v>
      </c>
      <c r="R275" s="101">
        <f t="shared" si="67"/>
        <v>6.8870180718174662E-2</v>
      </c>
      <c r="S275" s="101">
        <f t="shared" si="67"/>
        <v>0.98745809563683939</v>
      </c>
      <c r="T275" s="101">
        <f t="shared" si="67"/>
        <v>0.98745809563683939</v>
      </c>
      <c r="U275" s="101">
        <f t="shared" si="67"/>
        <v>0.98745809563683939</v>
      </c>
      <c r="V275" s="101">
        <f t="shared" si="67"/>
        <v>0.98745809563683939</v>
      </c>
      <c r="W275" s="101">
        <f t="shared" si="67"/>
        <v>0.98745809563683939</v>
      </c>
      <c r="X275" s="101">
        <f t="shared" si="67"/>
        <v>0</v>
      </c>
      <c r="Y275" s="101">
        <f t="shared" si="67"/>
        <v>0</v>
      </c>
      <c r="Z275" s="101">
        <f t="shared" si="67"/>
        <v>0</v>
      </c>
      <c r="AA275" s="101">
        <f t="shared" si="67"/>
        <v>0</v>
      </c>
      <c r="AB275" s="101">
        <f t="shared" si="67"/>
        <v>0.8808112115292337</v>
      </c>
      <c r="AC275" s="101">
        <f t="shared" si="67"/>
        <v>0</v>
      </c>
      <c r="AD275" s="101">
        <f t="shared" si="67"/>
        <v>0</v>
      </c>
      <c r="AE275" s="101">
        <f t="shared" si="67"/>
        <v>0</v>
      </c>
      <c r="AF275" s="101">
        <f t="shared" si="67"/>
        <v>0</v>
      </c>
      <c r="AG275" s="101">
        <f t="shared" si="67"/>
        <v>0.98745809563683939</v>
      </c>
      <c r="AH275" s="101">
        <f t="shared" si="67"/>
        <v>0.98745809563683939</v>
      </c>
      <c r="AI275" s="101">
        <f t="shared" si="67"/>
        <v>0</v>
      </c>
      <c r="AJ275" s="101">
        <f t="shared" si="67"/>
        <v>0</v>
      </c>
      <c r="AK275" s="101">
        <f t="shared" si="67"/>
        <v>0.98745809563683939</v>
      </c>
      <c r="AL275" s="101">
        <f t="shared" si="67"/>
        <v>0.98745809563683939</v>
      </c>
      <c r="AM275" s="101">
        <f t="shared" si="67"/>
        <v>0</v>
      </c>
      <c r="AN275" s="101">
        <f t="shared" si="67"/>
        <v>0</v>
      </c>
      <c r="AO275" s="101">
        <f t="shared" si="67"/>
        <v>0.98745809563683939</v>
      </c>
      <c r="AP275" s="101">
        <f t="shared" si="67"/>
        <v>0.98745809563683939</v>
      </c>
    </row>
    <row r="276" spans="5:42" x14ac:dyDescent="0.25">
      <c r="F276" s="28" t="s">
        <v>235</v>
      </c>
      <c r="G276" s="28" t="s">
        <v>343</v>
      </c>
      <c r="J276" s="101">
        <f t="shared" ref="J276:AP276" si="68">SUMPRODUCT(J241:J243,J$52:J$54,J$253:J$255) * hours_in_year</f>
        <v>0</v>
      </c>
      <c r="K276" s="101">
        <f t="shared" si="68"/>
        <v>6.8870180718174662E-2</v>
      </c>
      <c r="L276" s="101">
        <f t="shared" si="68"/>
        <v>0</v>
      </c>
      <c r="M276" s="101">
        <f t="shared" si="68"/>
        <v>0</v>
      </c>
      <c r="N276" s="101">
        <f t="shared" si="68"/>
        <v>6.8870180718174662E-2</v>
      </c>
      <c r="O276" s="101">
        <f t="shared" si="68"/>
        <v>0</v>
      </c>
      <c r="P276" s="101">
        <f t="shared" si="68"/>
        <v>6.8870180718174662E-2</v>
      </c>
      <c r="Q276" s="101">
        <f t="shared" si="68"/>
        <v>6.8870180718174662E-2</v>
      </c>
      <c r="R276" s="101">
        <f t="shared" si="68"/>
        <v>6.8870180718174662E-2</v>
      </c>
      <c r="S276" s="101">
        <f t="shared" si="68"/>
        <v>0.98745809563683939</v>
      </c>
      <c r="T276" s="101">
        <f t="shared" si="68"/>
        <v>0.98745809563683939</v>
      </c>
      <c r="U276" s="101">
        <f t="shared" si="68"/>
        <v>0.98745809563683939</v>
      </c>
      <c r="V276" s="101">
        <f t="shared" si="68"/>
        <v>0.98745809563683939</v>
      </c>
      <c r="W276" s="101">
        <f t="shared" si="68"/>
        <v>0.98745809563683939</v>
      </c>
      <c r="X276" s="101">
        <f t="shared" si="68"/>
        <v>0</v>
      </c>
      <c r="Y276" s="101">
        <f t="shared" si="68"/>
        <v>0</v>
      </c>
      <c r="Z276" s="101">
        <f t="shared" si="68"/>
        <v>0</v>
      </c>
      <c r="AA276" s="101">
        <f t="shared" si="68"/>
        <v>0</v>
      </c>
      <c r="AB276" s="101">
        <f t="shared" si="68"/>
        <v>0.8808112115292337</v>
      </c>
      <c r="AC276" s="101">
        <f t="shared" si="68"/>
        <v>0</v>
      </c>
      <c r="AD276" s="101">
        <f t="shared" si="68"/>
        <v>0</v>
      </c>
      <c r="AE276" s="101">
        <f t="shared" si="68"/>
        <v>0</v>
      </c>
      <c r="AF276" s="101">
        <f t="shared" si="68"/>
        <v>0</v>
      </c>
      <c r="AG276" s="101">
        <f t="shared" si="68"/>
        <v>0.98745809563683939</v>
      </c>
      <c r="AH276" s="101">
        <f t="shared" si="68"/>
        <v>0.98745809563683939</v>
      </c>
      <c r="AI276" s="101">
        <f t="shared" si="68"/>
        <v>0</v>
      </c>
      <c r="AJ276" s="101">
        <f t="shared" si="68"/>
        <v>0</v>
      </c>
      <c r="AK276" s="101">
        <f t="shared" si="68"/>
        <v>0.98745809563683939</v>
      </c>
      <c r="AL276" s="101">
        <f t="shared" si="68"/>
        <v>0.98745809563683939</v>
      </c>
      <c r="AM276" s="101">
        <f t="shared" si="68"/>
        <v>0</v>
      </c>
      <c r="AN276" s="101">
        <f t="shared" si="68"/>
        <v>0</v>
      </c>
      <c r="AO276" s="101">
        <f t="shared" si="68"/>
        <v>0.98745809563683939</v>
      </c>
      <c r="AP276" s="101">
        <f t="shared" si="68"/>
        <v>0.98745809563683939</v>
      </c>
    </row>
    <row r="277" spans="5:42" x14ac:dyDescent="0.25">
      <c r="F277" s="67" t="s">
        <v>236</v>
      </c>
      <c r="G277" s="67" t="s">
        <v>343</v>
      </c>
      <c r="H277" s="37"/>
      <c r="I277" s="37"/>
      <c r="J277" s="103">
        <f t="shared" ref="J277:AP277" si="69">SUMPRODUCT(J246:J248,J$52:J$54,J$253:J$255) * hours_in_year</f>
        <v>0</v>
      </c>
      <c r="K277" s="103">
        <f t="shared" si="69"/>
        <v>6.8870180718174662E-2</v>
      </c>
      <c r="L277" s="103">
        <f t="shared" si="69"/>
        <v>0</v>
      </c>
      <c r="M277" s="103">
        <f t="shared" si="69"/>
        <v>0</v>
      </c>
      <c r="N277" s="103">
        <f t="shared" si="69"/>
        <v>6.8870180718174662E-2</v>
      </c>
      <c r="O277" s="103">
        <f t="shared" si="69"/>
        <v>0</v>
      </c>
      <c r="P277" s="103">
        <f t="shared" si="69"/>
        <v>6.8870180718174662E-2</v>
      </c>
      <c r="Q277" s="103">
        <f t="shared" si="69"/>
        <v>6.8870180718174662E-2</v>
      </c>
      <c r="R277" s="103">
        <f t="shared" si="69"/>
        <v>6.8870180718174662E-2</v>
      </c>
      <c r="S277" s="103">
        <f t="shared" si="69"/>
        <v>0.98745809563683939</v>
      </c>
      <c r="T277" s="103">
        <f t="shared" si="69"/>
        <v>0.98745809563683939</v>
      </c>
      <c r="U277" s="103">
        <f t="shared" si="69"/>
        <v>0.98745809563683939</v>
      </c>
      <c r="V277" s="103">
        <f t="shared" si="69"/>
        <v>0.98745809563683939</v>
      </c>
      <c r="W277" s="103">
        <f t="shared" si="69"/>
        <v>0.98745809563683939</v>
      </c>
      <c r="X277" s="103">
        <f t="shared" si="69"/>
        <v>0</v>
      </c>
      <c r="Y277" s="103">
        <f t="shared" si="69"/>
        <v>0</v>
      </c>
      <c r="Z277" s="103">
        <f t="shared" si="69"/>
        <v>0</v>
      </c>
      <c r="AA277" s="103">
        <f t="shared" si="69"/>
        <v>0</v>
      </c>
      <c r="AB277" s="103">
        <f t="shared" si="69"/>
        <v>0.8808112115292337</v>
      </c>
      <c r="AC277" s="103">
        <f t="shared" si="69"/>
        <v>0</v>
      </c>
      <c r="AD277" s="103">
        <f t="shared" si="69"/>
        <v>0</v>
      </c>
      <c r="AE277" s="103">
        <f t="shared" si="69"/>
        <v>0</v>
      </c>
      <c r="AF277" s="103">
        <f t="shared" si="69"/>
        <v>0</v>
      </c>
      <c r="AG277" s="103">
        <f t="shared" si="69"/>
        <v>0.98745809563683939</v>
      </c>
      <c r="AH277" s="103">
        <f t="shared" si="69"/>
        <v>0.98745809563683939</v>
      </c>
      <c r="AI277" s="103">
        <f t="shared" si="69"/>
        <v>0</v>
      </c>
      <c r="AJ277" s="103">
        <f t="shared" si="69"/>
        <v>0</v>
      </c>
      <c r="AK277" s="103">
        <f t="shared" si="69"/>
        <v>0.98745809563683939</v>
      </c>
      <c r="AL277" s="103">
        <f t="shared" si="69"/>
        <v>0.98745809563683939</v>
      </c>
      <c r="AM277" s="103">
        <f t="shared" si="69"/>
        <v>0</v>
      </c>
      <c r="AN277" s="103">
        <f t="shared" si="69"/>
        <v>0</v>
      </c>
      <c r="AO277" s="103">
        <f t="shared" si="69"/>
        <v>0.98745809563683939</v>
      </c>
      <c r="AP277" s="103">
        <f t="shared" si="69"/>
        <v>0.98745809563683939</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195</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228</v>
      </c>
      <c r="G280" s="64" t="s">
        <v>343</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v>
      </c>
      <c r="T280" s="129">
        <f t="shared" si="70"/>
        <v>0</v>
      </c>
      <c r="U280" s="129">
        <f t="shared" si="70"/>
        <v>0</v>
      </c>
      <c r="V280" s="129">
        <f t="shared" si="70"/>
        <v>0</v>
      </c>
      <c r="W280" s="129">
        <f t="shared" si="70"/>
        <v>0</v>
      </c>
      <c r="X280" s="129">
        <f t="shared" si="70"/>
        <v>0</v>
      </c>
      <c r="Y280" s="129">
        <f t="shared" si="70"/>
        <v>0</v>
      </c>
      <c r="Z280" s="129">
        <f t="shared" si="70"/>
        <v>0</v>
      </c>
      <c r="AA280" s="129">
        <f t="shared" si="70"/>
        <v>0</v>
      </c>
      <c r="AB280" s="129">
        <f t="shared" si="70"/>
        <v>0</v>
      </c>
      <c r="AC280" s="129">
        <f t="shared" si="70"/>
        <v>0</v>
      </c>
      <c r="AD280" s="129">
        <f t="shared" si="70"/>
        <v>0</v>
      </c>
      <c r="AE280" s="129">
        <f t="shared" si="70"/>
        <v>0</v>
      </c>
      <c r="AF280" s="129">
        <f t="shared" si="70"/>
        <v>0</v>
      </c>
      <c r="AG280" s="129">
        <f t="shared" si="70"/>
        <v>0</v>
      </c>
      <c r="AH280" s="129">
        <f t="shared" si="70"/>
        <v>0</v>
      </c>
      <c r="AI280" s="129">
        <f t="shared" si="70"/>
        <v>0</v>
      </c>
      <c r="AJ280" s="129">
        <f t="shared" si="70"/>
        <v>0</v>
      </c>
      <c r="AK280" s="129">
        <f t="shared" si="70"/>
        <v>0</v>
      </c>
      <c r="AL280" s="129">
        <f t="shared" si="70"/>
        <v>0</v>
      </c>
      <c r="AM280" s="129">
        <f t="shared" si="70"/>
        <v>0</v>
      </c>
      <c r="AN280" s="129">
        <f t="shared" si="70"/>
        <v>0</v>
      </c>
      <c r="AO280" s="129">
        <f t="shared" si="70"/>
        <v>0</v>
      </c>
      <c r="AP280" s="129">
        <f t="shared" si="70"/>
        <v>0</v>
      </c>
    </row>
    <row r="281" spans="5:42" x14ac:dyDescent="0.25">
      <c r="F281" s="28" t="s">
        <v>229</v>
      </c>
      <c r="G281" s="28" t="s">
        <v>343</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2.4487189487901666E-2</v>
      </c>
      <c r="T281" s="101">
        <f t="shared" si="71"/>
        <v>2.4487189487901666E-2</v>
      </c>
      <c r="U281" s="101">
        <f t="shared" si="71"/>
        <v>2.4487189487901666E-2</v>
      </c>
      <c r="V281" s="101">
        <f t="shared" si="71"/>
        <v>2.4487189487901666E-2</v>
      </c>
      <c r="W281" s="101">
        <f t="shared" si="71"/>
        <v>2.4487189487901666E-2</v>
      </c>
      <c r="X281" s="101">
        <f t="shared" si="71"/>
        <v>0</v>
      </c>
      <c r="Y281" s="101">
        <f t="shared" si="71"/>
        <v>0</v>
      </c>
      <c r="Z281" s="101">
        <f t="shared" si="71"/>
        <v>0</v>
      </c>
      <c r="AA281" s="101">
        <f t="shared" si="71"/>
        <v>0</v>
      </c>
      <c r="AB281" s="101">
        <f t="shared" si="71"/>
        <v>2.4487189487901666E-2</v>
      </c>
      <c r="AC281" s="101">
        <f t="shared" si="71"/>
        <v>0</v>
      </c>
      <c r="AD281" s="101">
        <f t="shared" si="71"/>
        <v>0</v>
      </c>
      <c r="AE281" s="101">
        <f t="shared" si="71"/>
        <v>0</v>
      </c>
      <c r="AF281" s="101">
        <f t="shared" si="71"/>
        <v>0</v>
      </c>
      <c r="AG281" s="101">
        <f t="shared" si="71"/>
        <v>2.4487189487901666E-2</v>
      </c>
      <c r="AH281" s="101">
        <f t="shared" si="71"/>
        <v>2.4487189487901666E-2</v>
      </c>
      <c r="AI281" s="101">
        <f t="shared" si="71"/>
        <v>0</v>
      </c>
      <c r="AJ281" s="101">
        <f t="shared" si="71"/>
        <v>0</v>
      </c>
      <c r="AK281" s="101">
        <f t="shared" si="71"/>
        <v>2.4487189487901666E-2</v>
      </c>
      <c r="AL281" s="101">
        <f t="shared" si="71"/>
        <v>2.4487189487901666E-2</v>
      </c>
      <c r="AM281" s="101">
        <f t="shared" si="71"/>
        <v>0</v>
      </c>
      <c r="AN281" s="101">
        <f t="shared" si="71"/>
        <v>0</v>
      </c>
      <c r="AO281" s="101">
        <f t="shared" si="71"/>
        <v>2.4487189487901666E-2</v>
      </c>
      <c r="AP281" s="101">
        <f t="shared" si="71"/>
        <v>2.4487189487901666E-2</v>
      </c>
    </row>
    <row r="282" spans="5:42" x14ac:dyDescent="0.25">
      <c r="F282" s="28" t="s">
        <v>230</v>
      </c>
      <c r="G282" s="28" t="s">
        <v>343</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2.4487189487901666E-2</v>
      </c>
      <c r="T282" s="101">
        <f t="shared" si="72"/>
        <v>2.4487189487901666E-2</v>
      </c>
      <c r="U282" s="101">
        <f t="shared" si="72"/>
        <v>2.4487189487901666E-2</v>
      </c>
      <c r="V282" s="101">
        <f t="shared" si="72"/>
        <v>2.4487189487901666E-2</v>
      </c>
      <c r="W282" s="101">
        <f t="shared" si="72"/>
        <v>2.4487189487901666E-2</v>
      </c>
      <c r="X282" s="101">
        <f t="shared" si="72"/>
        <v>0</v>
      </c>
      <c r="Y282" s="101">
        <f t="shared" si="72"/>
        <v>0</v>
      </c>
      <c r="Z282" s="101">
        <f t="shared" si="72"/>
        <v>0</v>
      </c>
      <c r="AA282" s="101">
        <f t="shared" si="72"/>
        <v>0</v>
      </c>
      <c r="AB282" s="101">
        <f t="shared" si="72"/>
        <v>2.4487189487901666E-2</v>
      </c>
      <c r="AC282" s="101">
        <f t="shared" si="72"/>
        <v>0</v>
      </c>
      <c r="AD282" s="101">
        <f t="shared" si="72"/>
        <v>0</v>
      </c>
      <c r="AE282" s="101">
        <f t="shared" si="72"/>
        <v>0</v>
      </c>
      <c r="AF282" s="101">
        <f t="shared" si="72"/>
        <v>0</v>
      </c>
      <c r="AG282" s="101">
        <f t="shared" si="72"/>
        <v>2.4487189487901666E-2</v>
      </c>
      <c r="AH282" s="101">
        <f t="shared" si="72"/>
        <v>2.4487189487901666E-2</v>
      </c>
      <c r="AI282" s="101">
        <f t="shared" si="72"/>
        <v>0</v>
      </c>
      <c r="AJ282" s="101">
        <f t="shared" si="72"/>
        <v>0</v>
      </c>
      <c r="AK282" s="101">
        <f t="shared" si="72"/>
        <v>2.4487189487901666E-2</v>
      </c>
      <c r="AL282" s="101">
        <f t="shared" si="72"/>
        <v>2.4487189487901666E-2</v>
      </c>
      <c r="AM282" s="101">
        <f t="shared" si="72"/>
        <v>0</v>
      </c>
      <c r="AN282" s="101">
        <f t="shared" si="72"/>
        <v>0</v>
      </c>
      <c r="AO282" s="101">
        <f t="shared" si="72"/>
        <v>2.4487189487901666E-2</v>
      </c>
      <c r="AP282" s="101">
        <f t="shared" si="72"/>
        <v>2.4487189487901666E-2</v>
      </c>
    </row>
    <row r="283" spans="5:42" x14ac:dyDescent="0.25">
      <c r="F283" s="28" t="s">
        <v>231</v>
      </c>
      <c r="G283" s="28" t="s">
        <v>343</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6.8870180718174662E-2</v>
      </c>
      <c r="T283" s="101">
        <f t="shared" si="73"/>
        <v>6.8870180718174662E-2</v>
      </c>
      <c r="U283" s="101">
        <f t="shared" si="73"/>
        <v>6.8870180718174662E-2</v>
      </c>
      <c r="V283" s="101">
        <f t="shared" si="73"/>
        <v>6.8870180718174662E-2</v>
      </c>
      <c r="W283" s="101">
        <f t="shared" si="73"/>
        <v>6.8870180718174662E-2</v>
      </c>
      <c r="X283" s="101">
        <f t="shared" si="73"/>
        <v>0</v>
      </c>
      <c r="Y283" s="101">
        <f t="shared" si="73"/>
        <v>0</v>
      </c>
      <c r="Z283" s="101">
        <f t="shared" si="73"/>
        <v>0</v>
      </c>
      <c r="AA283" s="101">
        <f t="shared" si="73"/>
        <v>0</v>
      </c>
      <c r="AB283" s="101">
        <f t="shared" si="73"/>
        <v>6.8870180718174662E-2</v>
      </c>
      <c r="AC283" s="101">
        <f t="shared" si="73"/>
        <v>0</v>
      </c>
      <c r="AD283" s="101">
        <f t="shared" si="73"/>
        <v>0</v>
      </c>
      <c r="AE283" s="101">
        <f t="shared" si="73"/>
        <v>0</v>
      </c>
      <c r="AF283" s="101">
        <f t="shared" si="73"/>
        <v>0</v>
      </c>
      <c r="AG283" s="101">
        <f t="shared" si="73"/>
        <v>6.8870180718174662E-2</v>
      </c>
      <c r="AH283" s="101">
        <f t="shared" si="73"/>
        <v>6.8870180718174662E-2</v>
      </c>
      <c r="AI283" s="101">
        <f t="shared" si="73"/>
        <v>0</v>
      </c>
      <c r="AJ283" s="101">
        <f t="shared" si="73"/>
        <v>0</v>
      </c>
      <c r="AK283" s="101">
        <f t="shared" si="73"/>
        <v>6.8870180718174662E-2</v>
      </c>
      <c r="AL283" s="101">
        <f t="shared" si="73"/>
        <v>6.8870180718174662E-2</v>
      </c>
      <c r="AM283" s="101">
        <f t="shared" si="73"/>
        <v>0</v>
      </c>
      <c r="AN283" s="101">
        <f t="shared" si="73"/>
        <v>0</v>
      </c>
      <c r="AO283" s="101">
        <f t="shared" si="73"/>
        <v>6.8870180718174662E-2</v>
      </c>
      <c r="AP283" s="101">
        <f t="shared" si="73"/>
        <v>6.8870180718174662E-2</v>
      </c>
    </row>
    <row r="284" spans="5:42" x14ac:dyDescent="0.25">
      <c r="F284" s="28" t="s">
        <v>232</v>
      </c>
      <c r="G284" s="28" t="s">
        <v>343</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6.8870180718174662E-2</v>
      </c>
      <c r="T284" s="101">
        <f t="shared" si="74"/>
        <v>6.8870180718174662E-2</v>
      </c>
      <c r="U284" s="101">
        <f t="shared" si="74"/>
        <v>6.8870180718174662E-2</v>
      </c>
      <c r="V284" s="101">
        <f t="shared" si="74"/>
        <v>6.8870180718174662E-2</v>
      </c>
      <c r="W284" s="101">
        <f t="shared" si="74"/>
        <v>6.8870180718174662E-2</v>
      </c>
      <c r="X284" s="101">
        <f t="shared" si="74"/>
        <v>0</v>
      </c>
      <c r="Y284" s="101">
        <f t="shared" si="74"/>
        <v>0</v>
      </c>
      <c r="Z284" s="101">
        <f t="shared" si="74"/>
        <v>0</v>
      </c>
      <c r="AA284" s="101">
        <f t="shared" si="74"/>
        <v>0</v>
      </c>
      <c r="AB284" s="101">
        <f t="shared" si="74"/>
        <v>6.8870180718174662E-2</v>
      </c>
      <c r="AC284" s="101">
        <f t="shared" si="74"/>
        <v>0</v>
      </c>
      <c r="AD284" s="101">
        <f t="shared" si="74"/>
        <v>0</v>
      </c>
      <c r="AE284" s="101">
        <f t="shared" si="74"/>
        <v>0</v>
      </c>
      <c r="AF284" s="101">
        <f t="shared" si="74"/>
        <v>0</v>
      </c>
      <c r="AG284" s="101">
        <f t="shared" si="74"/>
        <v>6.8870180718174662E-2</v>
      </c>
      <c r="AH284" s="101">
        <f t="shared" si="74"/>
        <v>6.8870180718174662E-2</v>
      </c>
      <c r="AI284" s="101">
        <f t="shared" si="74"/>
        <v>0</v>
      </c>
      <c r="AJ284" s="101">
        <f t="shared" si="74"/>
        <v>0</v>
      </c>
      <c r="AK284" s="101">
        <f t="shared" si="74"/>
        <v>6.8870180718174662E-2</v>
      </c>
      <c r="AL284" s="101">
        <f t="shared" si="74"/>
        <v>6.8870180718174662E-2</v>
      </c>
      <c r="AM284" s="101">
        <f t="shared" si="74"/>
        <v>0</v>
      </c>
      <c r="AN284" s="101">
        <f t="shared" si="74"/>
        <v>0</v>
      </c>
      <c r="AO284" s="101">
        <f t="shared" si="74"/>
        <v>6.8870180718174662E-2</v>
      </c>
      <c r="AP284" s="101">
        <f t="shared" si="74"/>
        <v>6.8870180718174662E-2</v>
      </c>
    </row>
    <row r="285" spans="5:42" x14ac:dyDescent="0.25">
      <c r="F285" s="28" t="s">
        <v>233</v>
      </c>
      <c r="G285" s="28" t="s">
        <v>343</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2.4487189487901666E-2</v>
      </c>
      <c r="T285" s="101">
        <f t="shared" si="75"/>
        <v>2.4487189487901666E-2</v>
      </c>
      <c r="U285" s="101">
        <f t="shared" si="75"/>
        <v>2.4487189487901666E-2</v>
      </c>
      <c r="V285" s="101">
        <f t="shared" si="75"/>
        <v>2.4487189487901666E-2</v>
      </c>
      <c r="W285" s="101">
        <f t="shared" si="75"/>
        <v>2.4487189487901666E-2</v>
      </c>
      <c r="X285" s="101">
        <f t="shared" si="75"/>
        <v>0</v>
      </c>
      <c r="Y285" s="101">
        <f t="shared" si="75"/>
        <v>0</v>
      </c>
      <c r="Z285" s="101">
        <f t="shared" si="75"/>
        <v>0</v>
      </c>
      <c r="AA285" s="101">
        <f t="shared" si="75"/>
        <v>0</v>
      </c>
      <c r="AB285" s="101">
        <f t="shared" si="75"/>
        <v>2.4487189487901666E-2</v>
      </c>
      <c r="AC285" s="101">
        <f t="shared" si="75"/>
        <v>0</v>
      </c>
      <c r="AD285" s="101">
        <f t="shared" si="75"/>
        <v>0</v>
      </c>
      <c r="AE285" s="101">
        <f t="shared" si="75"/>
        <v>0</v>
      </c>
      <c r="AF285" s="101">
        <f t="shared" si="75"/>
        <v>0</v>
      </c>
      <c r="AG285" s="101">
        <f t="shared" si="75"/>
        <v>2.4487189487901666E-2</v>
      </c>
      <c r="AH285" s="101">
        <f t="shared" si="75"/>
        <v>2.4487189487901666E-2</v>
      </c>
      <c r="AI285" s="101">
        <f t="shared" si="75"/>
        <v>0</v>
      </c>
      <c r="AJ285" s="101">
        <f t="shared" si="75"/>
        <v>0</v>
      </c>
      <c r="AK285" s="101">
        <f t="shared" si="75"/>
        <v>2.4487189487901666E-2</v>
      </c>
      <c r="AL285" s="101">
        <f t="shared" si="75"/>
        <v>2.4487189487901666E-2</v>
      </c>
      <c r="AM285" s="101">
        <f t="shared" si="75"/>
        <v>0</v>
      </c>
      <c r="AN285" s="101">
        <f t="shared" si="75"/>
        <v>0</v>
      </c>
      <c r="AO285" s="101">
        <f t="shared" si="75"/>
        <v>2.4487189487901666E-2</v>
      </c>
      <c r="AP285" s="101">
        <f t="shared" si="75"/>
        <v>2.4487189487901666E-2</v>
      </c>
    </row>
    <row r="286" spans="5:42" x14ac:dyDescent="0.25">
      <c r="F286" s="28" t="s">
        <v>234</v>
      </c>
      <c r="G286" s="28" t="s">
        <v>343</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6.8870180718174662E-2</v>
      </c>
      <c r="T286" s="101">
        <f t="shared" si="76"/>
        <v>6.8870180718174662E-2</v>
      </c>
      <c r="U286" s="101">
        <f t="shared" si="76"/>
        <v>6.8870180718174662E-2</v>
      </c>
      <c r="V286" s="101">
        <f t="shared" si="76"/>
        <v>6.8870180718174662E-2</v>
      </c>
      <c r="W286" s="101">
        <f t="shared" si="76"/>
        <v>6.8870180718174662E-2</v>
      </c>
      <c r="X286" s="101">
        <f t="shared" si="76"/>
        <v>0</v>
      </c>
      <c r="Y286" s="101">
        <f t="shared" si="76"/>
        <v>0</v>
      </c>
      <c r="Z286" s="101">
        <f t="shared" si="76"/>
        <v>0</v>
      </c>
      <c r="AA286" s="101">
        <f t="shared" si="76"/>
        <v>0</v>
      </c>
      <c r="AB286" s="101">
        <f t="shared" si="76"/>
        <v>6.8870180718174662E-2</v>
      </c>
      <c r="AC286" s="101">
        <f t="shared" si="76"/>
        <v>0</v>
      </c>
      <c r="AD286" s="101">
        <f t="shared" si="76"/>
        <v>0</v>
      </c>
      <c r="AE286" s="101">
        <f t="shared" si="76"/>
        <v>0</v>
      </c>
      <c r="AF286" s="101">
        <f t="shared" si="76"/>
        <v>0</v>
      </c>
      <c r="AG286" s="101">
        <f t="shared" si="76"/>
        <v>6.8870180718174662E-2</v>
      </c>
      <c r="AH286" s="101">
        <f t="shared" si="76"/>
        <v>6.8870180718174662E-2</v>
      </c>
      <c r="AI286" s="101">
        <f t="shared" si="76"/>
        <v>0</v>
      </c>
      <c r="AJ286" s="101">
        <f t="shared" si="76"/>
        <v>0</v>
      </c>
      <c r="AK286" s="101">
        <f t="shared" si="76"/>
        <v>6.8870180718174662E-2</v>
      </c>
      <c r="AL286" s="101">
        <f t="shared" si="76"/>
        <v>6.8870180718174662E-2</v>
      </c>
      <c r="AM286" s="101">
        <f t="shared" si="76"/>
        <v>0</v>
      </c>
      <c r="AN286" s="101">
        <f t="shared" si="76"/>
        <v>0</v>
      </c>
      <c r="AO286" s="101">
        <f t="shared" si="76"/>
        <v>6.8870180718174662E-2</v>
      </c>
      <c r="AP286" s="101">
        <f t="shared" si="76"/>
        <v>6.8870180718174662E-2</v>
      </c>
    </row>
    <row r="287" spans="5:42" x14ac:dyDescent="0.25">
      <c r="F287" s="28" t="s">
        <v>235</v>
      </c>
      <c r="G287" s="28" t="s">
        <v>343</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6.8870180718174662E-2</v>
      </c>
      <c r="T287" s="101">
        <f t="shared" si="77"/>
        <v>6.8870180718174662E-2</v>
      </c>
      <c r="U287" s="101">
        <f t="shared" si="77"/>
        <v>6.8870180718174662E-2</v>
      </c>
      <c r="V287" s="101">
        <f t="shared" si="77"/>
        <v>6.8870180718174662E-2</v>
      </c>
      <c r="W287" s="101">
        <f t="shared" si="77"/>
        <v>6.8870180718174662E-2</v>
      </c>
      <c r="X287" s="101">
        <f t="shared" si="77"/>
        <v>0</v>
      </c>
      <c r="Y287" s="101">
        <f t="shared" si="77"/>
        <v>0</v>
      </c>
      <c r="Z287" s="101">
        <f t="shared" si="77"/>
        <v>0</v>
      </c>
      <c r="AA287" s="101">
        <f t="shared" si="77"/>
        <v>0</v>
      </c>
      <c r="AB287" s="101">
        <f t="shared" si="77"/>
        <v>6.8870180718174662E-2</v>
      </c>
      <c r="AC287" s="101">
        <f t="shared" si="77"/>
        <v>0</v>
      </c>
      <c r="AD287" s="101">
        <f t="shared" si="77"/>
        <v>0</v>
      </c>
      <c r="AE287" s="101">
        <f t="shared" si="77"/>
        <v>0</v>
      </c>
      <c r="AF287" s="101">
        <f t="shared" si="77"/>
        <v>0</v>
      </c>
      <c r="AG287" s="101">
        <f t="shared" si="77"/>
        <v>6.8870180718174662E-2</v>
      </c>
      <c r="AH287" s="101">
        <f t="shared" si="77"/>
        <v>6.8870180718174662E-2</v>
      </c>
      <c r="AI287" s="101">
        <f t="shared" si="77"/>
        <v>0</v>
      </c>
      <c r="AJ287" s="101">
        <f t="shared" si="77"/>
        <v>0</v>
      </c>
      <c r="AK287" s="101">
        <f t="shared" si="77"/>
        <v>6.8870180718174662E-2</v>
      </c>
      <c r="AL287" s="101">
        <f t="shared" si="77"/>
        <v>6.8870180718174662E-2</v>
      </c>
      <c r="AM287" s="101">
        <f t="shared" si="77"/>
        <v>0</v>
      </c>
      <c r="AN287" s="101">
        <f t="shared" si="77"/>
        <v>0</v>
      </c>
      <c r="AO287" s="101">
        <f t="shared" si="77"/>
        <v>6.8870180718174662E-2</v>
      </c>
      <c r="AP287" s="101">
        <f t="shared" si="77"/>
        <v>6.8870180718174662E-2</v>
      </c>
    </row>
    <row r="288" spans="5:42" x14ac:dyDescent="0.25">
      <c r="F288" s="67" t="s">
        <v>236</v>
      </c>
      <c r="G288" s="67" t="s">
        <v>343</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6.8870180718174662E-2</v>
      </c>
      <c r="T288" s="103">
        <f t="shared" si="78"/>
        <v>6.8870180718174662E-2</v>
      </c>
      <c r="U288" s="103">
        <f t="shared" si="78"/>
        <v>6.8870180718174662E-2</v>
      </c>
      <c r="V288" s="103">
        <f t="shared" si="78"/>
        <v>6.8870180718174662E-2</v>
      </c>
      <c r="W288" s="103">
        <f t="shared" si="78"/>
        <v>6.8870180718174662E-2</v>
      </c>
      <c r="X288" s="103">
        <f t="shared" si="78"/>
        <v>0</v>
      </c>
      <c r="Y288" s="103">
        <f t="shared" si="78"/>
        <v>0</v>
      </c>
      <c r="Z288" s="103">
        <f t="shared" si="78"/>
        <v>0</v>
      </c>
      <c r="AA288" s="103">
        <f t="shared" si="78"/>
        <v>0</v>
      </c>
      <c r="AB288" s="103">
        <f t="shared" si="78"/>
        <v>6.8870180718174662E-2</v>
      </c>
      <c r="AC288" s="103">
        <f t="shared" si="78"/>
        <v>0</v>
      </c>
      <c r="AD288" s="103">
        <f t="shared" si="78"/>
        <v>0</v>
      </c>
      <c r="AE288" s="103">
        <f t="shared" si="78"/>
        <v>0</v>
      </c>
      <c r="AF288" s="103">
        <f t="shared" si="78"/>
        <v>0</v>
      </c>
      <c r="AG288" s="103">
        <f t="shared" si="78"/>
        <v>6.8870180718174662E-2</v>
      </c>
      <c r="AH288" s="103">
        <f t="shared" si="78"/>
        <v>6.8870180718174662E-2</v>
      </c>
      <c r="AI288" s="103">
        <f t="shared" si="78"/>
        <v>0</v>
      </c>
      <c r="AJ288" s="103">
        <f t="shared" si="78"/>
        <v>0</v>
      </c>
      <c r="AK288" s="103">
        <f t="shared" si="78"/>
        <v>6.8870180718174662E-2</v>
      </c>
      <c r="AL288" s="103">
        <f t="shared" si="78"/>
        <v>6.8870180718174662E-2</v>
      </c>
      <c r="AM288" s="103">
        <f t="shared" si="78"/>
        <v>0</v>
      </c>
      <c r="AN288" s="103">
        <f t="shared" si="78"/>
        <v>0</v>
      </c>
      <c r="AO288" s="103">
        <f t="shared" si="78"/>
        <v>6.8870180718174662E-2</v>
      </c>
      <c r="AP288" s="103">
        <f t="shared" si="78"/>
        <v>6.8870180718174662E-2</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193</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228</v>
      </c>
      <c r="G293" s="64" t="s">
        <v>343</v>
      </c>
      <c r="H293" s="23"/>
      <c r="I293" s="23"/>
      <c r="J293" s="129">
        <f t="shared" ref="J293:AP293" si="79">J258 * J$122</f>
        <v>2.1800703725099027</v>
      </c>
      <c r="K293" s="129">
        <f t="shared" si="79"/>
        <v>2.6162517119919064</v>
      </c>
      <c r="L293" s="129">
        <f t="shared" si="79"/>
        <v>0.56715318155155003</v>
      </c>
      <c r="M293" s="129">
        <f t="shared" si="79"/>
        <v>1.8335835592697811</v>
      </c>
      <c r="N293" s="129">
        <f t="shared" si="79"/>
        <v>2.1224405345923762</v>
      </c>
      <c r="O293" s="129">
        <f t="shared" si="79"/>
        <v>0.22347246470577861</v>
      </c>
      <c r="P293" s="129">
        <f t="shared" si="79"/>
        <v>2.0212381171457885</v>
      </c>
      <c r="Q293" s="129">
        <f t="shared" si="79"/>
        <v>1.5617677718572813</v>
      </c>
      <c r="R293" s="129">
        <f t="shared" si="79"/>
        <v>2.1321313712203991</v>
      </c>
      <c r="S293" s="129">
        <f t="shared" si="79"/>
        <v>17.220482787173346</v>
      </c>
      <c r="T293" s="129">
        <f t="shared" si="79"/>
        <v>13.682894381115821</v>
      </c>
      <c r="U293" s="129">
        <f t="shared" si="79"/>
        <v>11.76292315998421</v>
      </c>
      <c r="V293" s="129">
        <f t="shared" si="79"/>
        <v>11.524916735273678</v>
      </c>
      <c r="W293" s="129">
        <f t="shared" si="79"/>
        <v>10.357069752664287</v>
      </c>
      <c r="X293" s="129">
        <f t="shared" si="79"/>
        <v>1.2095736174987421</v>
      </c>
      <c r="Y293" s="129">
        <f t="shared" si="79"/>
        <v>1.6780027160525404</v>
      </c>
      <c r="Z293" s="129">
        <f t="shared" si="79"/>
        <v>3.1130261035743256</v>
      </c>
      <c r="AA293" s="129">
        <f t="shared" si="79"/>
        <v>0.74408439611735222</v>
      </c>
      <c r="AB293" s="129">
        <f t="shared" si="79"/>
        <v>31.859749087532848</v>
      </c>
      <c r="AC293" s="129">
        <f t="shared" si="79"/>
        <v>1</v>
      </c>
      <c r="AD293" s="129">
        <f t="shared" si="79"/>
        <v>1</v>
      </c>
      <c r="AE293" s="129">
        <f t="shared" si="79"/>
        <v>1</v>
      </c>
      <c r="AF293" s="129">
        <f t="shared" si="79"/>
        <v>1</v>
      </c>
      <c r="AG293" s="129">
        <f t="shared" si="79"/>
        <v>9.9487064285446856</v>
      </c>
      <c r="AH293" s="129">
        <f t="shared" si="79"/>
        <v>9.9487064285446856</v>
      </c>
      <c r="AI293" s="129">
        <f t="shared" si="79"/>
        <v>1</v>
      </c>
      <c r="AJ293" s="129">
        <f t="shared" si="79"/>
        <v>1</v>
      </c>
      <c r="AK293" s="129">
        <f t="shared" si="79"/>
        <v>9.9487064285446856</v>
      </c>
      <c r="AL293" s="129">
        <f t="shared" si="79"/>
        <v>9.9487064285446856</v>
      </c>
      <c r="AM293" s="129">
        <f t="shared" si="79"/>
        <v>1</v>
      </c>
      <c r="AN293" s="129">
        <f t="shared" si="79"/>
        <v>1</v>
      </c>
      <c r="AO293" s="129">
        <f t="shared" si="79"/>
        <v>9.9487064285446856</v>
      </c>
      <c r="AP293" s="129">
        <f t="shared" si="79"/>
        <v>9.9487064285446856</v>
      </c>
    </row>
    <row r="294" spans="3:44" x14ac:dyDescent="0.25">
      <c r="F294" s="28" t="s">
        <v>229</v>
      </c>
      <c r="G294" s="28" t="s">
        <v>343</v>
      </c>
      <c r="J294" s="101">
        <f t="shared" ref="J294:AP294" si="80">J259 * J$122</f>
        <v>2.1192294549103186</v>
      </c>
      <c r="K294" s="101">
        <f t="shared" si="80"/>
        <v>2.5390075154970848</v>
      </c>
      <c r="L294" s="101">
        <f t="shared" si="80"/>
        <v>0.62965889206335846</v>
      </c>
      <c r="M294" s="101">
        <f t="shared" si="80"/>
        <v>1.8665094531664688</v>
      </c>
      <c r="N294" s="101">
        <f t="shared" si="80"/>
        <v>2.1334316235841926</v>
      </c>
      <c r="O294" s="101">
        <f t="shared" si="80"/>
        <v>0.28200915376361751</v>
      </c>
      <c r="P294" s="101">
        <f t="shared" si="80"/>
        <v>2.025478572211715</v>
      </c>
      <c r="Q294" s="101">
        <f t="shared" si="80"/>
        <v>1.5658802339295605</v>
      </c>
      <c r="R294" s="101">
        <f t="shared" si="80"/>
        <v>2.1482935142613062</v>
      </c>
      <c r="S294" s="101">
        <f t="shared" si="80"/>
        <v>14.977459640777585</v>
      </c>
      <c r="T294" s="101">
        <f t="shared" si="80"/>
        <v>11.900653477313085</v>
      </c>
      <c r="U294" s="101">
        <f t="shared" si="80"/>
        <v>10.230764669237841</v>
      </c>
      <c r="V294" s="101">
        <f t="shared" si="80"/>
        <v>10.023759345147685</v>
      </c>
      <c r="W294" s="101">
        <f t="shared" si="80"/>
        <v>9.0080281798365434</v>
      </c>
      <c r="X294" s="101">
        <f t="shared" si="80"/>
        <v>1.2091816158103814</v>
      </c>
      <c r="Y294" s="101">
        <f t="shared" si="80"/>
        <v>1.6476207301726158</v>
      </c>
      <c r="Z294" s="101">
        <f t="shared" si="80"/>
        <v>3.0315940766510652</v>
      </c>
      <c r="AA294" s="101">
        <f t="shared" si="80"/>
        <v>0.77268628544056728</v>
      </c>
      <c r="AB294" s="101">
        <f t="shared" si="80"/>
        <v>30.680807090232229</v>
      </c>
      <c r="AC294" s="101">
        <f t="shared" si="80"/>
        <v>1</v>
      </c>
      <c r="AD294" s="101">
        <f t="shared" si="80"/>
        <v>1</v>
      </c>
      <c r="AE294" s="101">
        <f t="shared" si="80"/>
        <v>1</v>
      </c>
      <c r="AF294" s="101">
        <f t="shared" si="80"/>
        <v>1</v>
      </c>
      <c r="AG294" s="101">
        <f t="shared" si="80"/>
        <v>8.6528554891887079</v>
      </c>
      <c r="AH294" s="101">
        <f t="shared" si="80"/>
        <v>8.6528554891887079</v>
      </c>
      <c r="AI294" s="101">
        <f t="shared" si="80"/>
        <v>1</v>
      </c>
      <c r="AJ294" s="101">
        <f t="shared" si="80"/>
        <v>1</v>
      </c>
      <c r="AK294" s="101">
        <f t="shared" si="80"/>
        <v>8.6528554891887079</v>
      </c>
      <c r="AL294" s="101">
        <f t="shared" si="80"/>
        <v>8.6528554891887079</v>
      </c>
      <c r="AM294" s="101">
        <f t="shared" si="80"/>
        <v>1</v>
      </c>
      <c r="AN294" s="101">
        <f t="shared" si="80"/>
        <v>1</v>
      </c>
      <c r="AO294" s="101">
        <f t="shared" si="80"/>
        <v>8.6528554891887079</v>
      </c>
      <c r="AP294" s="101">
        <f t="shared" si="80"/>
        <v>8.6528554891887079</v>
      </c>
    </row>
    <row r="295" spans="3:44" x14ac:dyDescent="0.25">
      <c r="F295" s="28" t="s">
        <v>230</v>
      </c>
      <c r="G295" s="28" t="s">
        <v>343</v>
      </c>
      <c r="J295" s="101">
        <f t="shared" ref="J295:AP295" si="81">J260 * J$122</f>
        <v>2.1192294549103186</v>
      </c>
      <c r="K295" s="101">
        <f t="shared" si="81"/>
        <v>2.5390075154970848</v>
      </c>
      <c r="L295" s="101">
        <f t="shared" si="81"/>
        <v>0.62965889206335846</v>
      </c>
      <c r="M295" s="101">
        <f t="shared" si="81"/>
        <v>1.8665094531664688</v>
      </c>
      <c r="N295" s="101">
        <f t="shared" si="81"/>
        <v>2.1334316235841926</v>
      </c>
      <c r="O295" s="101">
        <f t="shared" si="81"/>
        <v>0.28200915376361751</v>
      </c>
      <c r="P295" s="101">
        <f t="shared" si="81"/>
        <v>2.025478572211715</v>
      </c>
      <c r="Q295" s="101">
        <f t="shared" si="81"/>
        <v>1.5658802339295605</v>
      </c>
      <c r="R295" s="101">
        <f t="shared" si="81"/>
        <v>2.1482935142613062</v>
      </c>
      <c r="S295" s="101">
        <f t="shared" si="81"/>
        <v>14.977459640777585</v>
      </c>
      <c r="T295" s="101">
        <f t="shared" si="81"/>
        <v>11.900653477313085</v>
      </c>
      <c r="U295" s="101">
        <f t="shared" si="81"/>
        <v>10.230764669237841</v>
      </c>
      <c r="V295" s="101">
        <f t="shared" si="81"/>
        <v>10.023759345147685</v>
      </c>
      <c r="W295" s="101">
        <f t="shared" si="81"/>
        <v>9.0080281798365434</v>
      </c>
      <c r="X295" s="101">
        <f t="shared" si="81"/>
        <v>1.2091816158103814</v>
      </c>
      <c r="Y295" s="101">
        <f t="shared" si="81"/>
        <v>1.6476207301726158</v>
      </c>
      <c r="Z295" s="101">
        <f t="shared" si="81"/>
        <v>3.0315940766510652</v>
      </c>
      <c r="AA295" s="101">
        <f t="shared" si="81"/>
        <v>0.77268628544056728</v>
      </c>
      <c r="AB295" s="101">
        <f t="shared" si="81"/>
        <v>30.680807090232229</v>
      </c>
      <c r="AC295" s="101">
        <f t="shared" si="81"/>
        <v>1</v>
      </c>
      <c r="AD295" s="101">
        <f t="shared" si="81"/>
        <v>1</v>
      </c>
      <c r="AE295" s="101">
        <f t="shared" si="81"/>
        <v>1</v>
      </c>
      <c r="AF295" s="101">
        <f t="shared" si="81"/>
        <v>1</v>
      </c>
      <c r="AG295" s="101">
        <f t="shared" si="81"/>
        <v>8.6528554891887079</v>
      </c>
      <c r="AH295" s="101">
        <f t="shared" si="81"/>
        <v>8.6528554891887079</v>
      </c>
      <c r="AI295" s="101">
        <f t="shared" si="81"/>
        <v>1</v>
      </c>
      <c r="AJ295" s="101">
        <f t="shared" si="81"/>
        <v>1</v>
      </c>
      <c r="AK295" s="101">
        <f t="shared" si="81"/>
        <v>8.6528554891887079</v>
      </c>
      <c r="AL295" s="101">
        <f t="shared" si="81"/>
        <v>8.6528554891887079</v>
      </c>
      <c r="AM295" s="101">
        <f t="shared" si="81"/>
        <v>1</v>
      </c>
      <c r="AN295" s="101">
        <f t="shared" si="81"/>
        <v>1</v>
      </c>
      <c r="AO295" s="101">
        <f t="shared" si="81"/>
        <v>8.6528554891887079</v>
      </c>
      <c r="AP295" s="101">
        <f t="shared" si="81"/>
        <v>8.6528554891887079</v>
      </c>
    </row>
    <row r="296" spans="3:44" x14ac:dyDescent="0.25">
      <c r="F296" s="28" t="s">
        <v>231</v>
      </c>
      <c r="G296" s="28" t="s">
        <v>343</v>
      </c>
      <c r="J296" s="101">
        <f t="shared" ref="J296:AP296" si="82">J261 * J$122</f>
        <v>2.0484414663244923</v>
      </c>
      <c r="K296" s="101">
        <f t="shared" si="82"/>
        <v>2.4457779685437337</v>
      </c>
      <c r="L296" s="101">
        <f t="shared" si="82"/>
        <v>0.69633709578290515</v>
      </c>
      <c r="M296" s="101">
        <f t="shared" si="82"/>
        <v>1.8863551915518073</v>
      </c>
      <c r="N296" s="101">
        <f t="shared" si="82"/>
        <v>2.1287325607491505</v>
      </c>
      <c r="O296" s="101">
        <f t="shared" si="82"/>
        <v>0.35261535799896354</v>
      </c>
      <c r="P296" s="101">
        <f t="shared" si="82"/>
        <v>2.0138469291147127</v>
      </c>
      <c r="Q296" s="101">
        <f t="shared" si="82"/>
        <v>1.5578439321096642</v>
      </c>
      <c r="R296" s="101">
        <f t="shared" si="82"/>
        <v>2.1470067563918569</v>
      </c>
      <c r="S296" s="101">
        <f t="shared" si="82"/>
        <v>12.58565598392094</v>
      </c>
      <c r="T296" s="101">
        <f t="shared" si="82"/>
        <v>10.000195910495471</v>
      </c>
      <c r="U296" s="101">
        <f t="shared" si="82"/>
        <v>8.5969775694748787</v>
      </c>
      <c r="V296" s="101">
        <f t="shared" si="82"/>
        <v>8.4230296598610472</v>
      </c>
      <c r="W296" s="101">
        <f t="shared" si="82"/>
        <v>7.569504207257026</v>
      </c>
      <c r="X296" s="101">
        <f t="shared" si="82"/>
        <v>1.2075246920838687</v>
      </c>
      <c r="Y296" s="101">
        <f t="shared" si="82"/>
        <v>1.4806590276438236</v>
      </c>
      <c r="Z296" s="101">
        <f t="shared" si="82"/>
        <v>2.6767872117120697</v>
      </c>
      <c r="AA296" s="101">
        <f t="shared" si="82"/>
        <v>0.92899252566537083</v>
      </c>
      <c r="AB296" s="101">
        <f t="shared" si="82"/>
        <v>25.978852580500728</v>
      </c>
      <c r="AC296" s="101">
        <f t="shared" si="82"/>
        <v>0.99999999999999989</v>
      </c>
      <c r="AD296" s="101">
        <f t="shared" si="82"/>
        <v>0.99999999999999989</v>
      </c>
      <c r="AE296" s="101">
        <f t="shared" si="82"/>
        <v>0.99999999999999989</v>
      </c>
      <c r="AF296" s="101">
        <f t="shared" si="82"/>
        <v>0.99999999999999989</v>
      </c>
      <c r="AG296" s="101">
        <f t="shared" si="82"/>
        <v>7.2710503034182867</v>
      </c>
      <c r="AH296" s="101">
        <f t="shared" si="82"/>
        <v>7.2710503034182867</v>
      </c>
      <c r="AI296" s="101">
        <f t="shared" si="82"/>
        <v>0.99999999999999989</v>
      </c>
      <c r="AJ296" s="101">
        <f t="shared" si="82"/>
        <v>0.99999999999999989</v>
      </c>
      <c r="AK296" s="101">
        <f t="shared" si="82"/>
        <v>7.2710503034182867</v>
      </c>
      <c r="AL296" s="101">
        <f t="shared" si="82"/>
        <v>7.2710503034182867</v>
      </c>
      <c r="AM296" s="101">
        <f t="shared" si="82"/>
        <v>0.99999999999999989</v>
      </c>
      <c r="AN296" s="101">
        <f t="shared" si="82"/>
        <v>0.99999999999999989</v>
      </c>
      <c r="AO296" s="101">
        <f t="shared" si="82"/>
        <v>7.2710503034182867</v>
      </c>
      <c r="AP296" s="101">
        <f t="shared" si="82"/>
        <v>7.2710503034182867</v>
      </c>
    </row>
    <row r="297" spans="3:44" x14ac:dyDescent="0.25">
      <c r="F297" s="28" t="s">
        <v>232</v>
      </c>
      <c r="G297" s="28" t="s">
        <v>343</v>
      </c>
      <c r="J297" s="101">
        <f t="shared" ref="J297:AP297" si="83">J262 * J$122</f>
        <v>2.0484414663244923</v>
      </c>
      <c r="K297" s="101">
        <f t="shared" si="83"/>
        <v>2.4457779685437337</v>
      </c>
      <c r="L297" s="101">
        <f t="shared" si="83"/>
        <v>0.69633709578290515</v>
      </c>
      <c r="M297" s="101">
        <f t="shared" si="83"/>
        <v>1.8863551915518073</v>
      </c>
      <c r="N297" s="101">
        <f t="shared" si="83"/>
        <v>2.1287325607491505</v>
      </c>
      <c r="O297" s="101">
        <f t="shared" si="83"/>
        <v>0.35261535799896354</v>
      </c>
      <c r="P297" s="101">
        <f t="shared" si="83"/>
        <v>2.0138469291147127</v>
      </c>
      <c r="Q297" s="101">
        <f t="shared" si="83"/>
        <v>1.5578439321096642</v>
      </c>
      <c r="R297" s="101">
        <f t="shared" si="83"/>
        <v>2.1470067563918569</v>
      </c>
      <c r="S297" s="101">
        <f t="shared" si="83"/>
        <v>12.58565598392094</v>
      </c>
      <c r="T297" s="101">
        <f t="shared" si="83"/>
        <v>10.000195910495471</v>
      </c>
      <c r="U297" s="101">
        <f t="shared" si="83"/>
        <v>8.5969775694748787</v>
      </c>
      <c r="V297" s="101">
        <f t="shared" si="83"/>
        <v>8.4230296598610472</v>
      </c>
      <c r="W297" s="101">
        <f t="shared" si="83"/>
        <v>7.569504207257026</v>
      </c>
      <c r="X297" s="101">
        <f t="shared" si="83"/>
        <v>1.2075246920838687</v>
      </c>
      <c r="Y297" s="101">
        <f t="shared" si="83"/>
        <v>1.4806590276438236</v>
      </c>
      <c r="Z297" s="101">
        <f t="shared" si="83"/>
        <v>2.6767872117120697</v>
      </c>
      <c r="AA297" s="101">
        <f t="shared" si="83"/>
        <v>0.92899252566537083</v>
      </c>
      <c r="AB297" s="101">
        <f t="shared" si="83"/>
        <v>25.978852580500728</v>
      </c>
      <c r="AC297" s="101">
        <f t="shared" si="83"/>
        <v>0.99999999999999989</v>
      </c>
      <c r="AD297" s="101">
        <f t="shared" si="83"/>
        <v>0.99999999999999989</v>
      </c>
      <c r="AE297" s="101">
        <f t="shared" si="83"/>
        <v>0.99999999999999989</v>
      </c>
      <c r="AF297" s="101">
        <f t="shared" si="83"/>
        <v>0.99999999999999989</v>
      </c>
      <c r="AG297" s="101">
        <f t="shared" si="83"/>
        <v>7.2710503034182867</v>
      </c>
      <c r="AH297" s="101">
        <f t="shared" si="83"/>
        <v>7.2710503034182867</v>
      </c>
      <c r="AI297" s="101">
        <f t="shared" si="83"/>
        <v>0.99999999999999989</v>
      </c>
      <c r="AJ297" s="101">
        <f t="shared" si="83"/>
        <v>0.99999999999999989</v>
      </c>
      <c r="AK297" s="101">
        <f t="shared" si="83"/>
        <v>7.2710503034182867</v>
      </c>
      <c r="AL297" s="101">
        <f t="shared" si="83"/>
        <v>7.2710503034182867</v>
      </c>
      <c r="AM297" s="101">
        <f t="shared" si="83"/>
        <v>0.99999999999999989</v>
      </c>
      <c r="AN297" s="101">
        <f t="shared" si="83"/>
        <v>0.99999999999999989</v>
      </c>
      <c r="AO297" s="101">
        <f t="shared" si="83"/>
        <v>7.2710503034182867</v>
      </c>
      <c r="AP297" s="101">
        <f t="shared" si="83"/>
        <v>7.2710503034182867</v>
      </c>
    </row>
    <row r="298" spans="3:44" x14ac:dyDescent="0.25">
      <c r="F298" s="28" t="s">
        <v>233</v>
      </c>
      <c r="G298" s="28" t="s">
        <v>343</v>
      </c>
      <c r="J298" s="101">
        <f t="shared" ref="J298:AP298" si="84">J263 * J$122</f>
        <v>2.1192294549103186</v>
      </c>
      <c r="K298" s="101">
        <f t="shared" si="84"/>
        <v>2.5390075154970848</v>
      </c>
      <c r="L298" s="101">
        <f t="shared" si="84"/>
        <v>0.62965889206335846</v>
      </c>
      <c r="M298" s="101">
        <f t="shared" si="84"/>
        <v>1.8665094531664688</v>
      </c>
      <c r="N298" s="101">
        <f t="shared" si="84"/>
        <v>2.1334316235841926</v>
      </c>
      <c r="O298" s="101">
        <f t="shared" si="84"/>
        <v>0.28200915376361751</v>
      </c>
      <c r="P298" s="101">
        <f t="shared" si="84"/>
        <v>2.025478572211715</v>
      </c>
      <c r="Q298" s="101">
        <f t="shared" si="84"/>
        <v>1.5658802339295605</v>
      </c>
      <c r="R298" s="101">
        <f t="shared" si="84"/>
        <v>2.1482935142613062</v>
      </c>
      <c r="S298" s="101">
        <f t="shared" si="84"/>
        <v>14.977459640777585</v>
      </c>
      <c r="T298" s="101">
        <f t="shared" si="84"/>
        <v>11.900653477313085</v>
      </c>
      <c r="U298" s="101">
        <f t="shared" si="84"/>
        <v>10.230764669237841</v>
      </c>
      <c r="V298" s="101">
        <f t="shared" si="84"/>
        <v>10.023759345147685</v>
      </c>
      <c r="W298" s="101">
        <f t="shared" si="84"/>
        <v>9.0080281798365434</v>
      </c>
      <c r="X298" s="101">
        <f t="shared" si="84"/>
        <v>1.2091816158103814</v>
      </c>
      <c r="Y298" s="101">
        <f t="shared" si="84"/>
        <v>1.6476207301726158</v>
      </c>
      <c r="Z298" s="101">
        <f t="shared" si="84"/>
        <v>3.0315940766510652</v>
      </c>
      <c r="AA298" s="101">
        <f t="shared" si="84"/>
        <v>0.77268628544056728</v>
      </c>
      <c r="AB298" s="101">
        <f t="shared" si="84"/>
        <v>30.680807090232229</v>
      </c>
      <c r="AC298" s="101">
        <f t="shared" si="84"/>
        <v>1</v>
      </c>
      <c r="AD298" s="101">
        <f t="shared" si="84"/>
        <v>1</v>
      </c>
      <c r="AE298" s="101">
        <f t="shared" si="84"/>
        <v>1</v>
      </c>
      <c r="AF298" s="101">
        <f t="shared" si="84"/>
        <v>1</v>
      </c>
      <c r="AG298" s="101">
        <f t="shared" si="84"/>
        <v>8.6528554891887079</v>
      </c>
      <c r="AH298" s="101">
        <f t="shared" si="84"/>
        <v>8.6528554891887079</v>
      </c>
      <c r="AI298" s="101">
        <f t="shared" si="84"/>
        <v>1</v>
      </c>
      <c r="AJ298" s="101">
        <f t="shared" si="84"/>
        <v>1</v>
      </c>
      <c r="AK298" s="101">
        <f t="shared" si="84"/>
        <v>8.6528554891887079</v>
      </c>
      <c r="AL298" s="101">
        <f t="shared" si="84"/>
        <v>8.6528554891887079</v>
      </c>
      <c r="AM298" s="101">
        <f t="shared" si="84"/>
        <v>1</v>
      </c>
      <c r="AN298" s="101">
        <f t="shared" si="84"/>
        <v>1</v>
      </c>
      <c r="AO298" s="101">
        <f t="shared" si="84"/>
        <v>8.6528554891887079</v>
      </c>
      <c r="AP298" s="101">
        <f t="shared" si="84"/>
        <v>8.6528554891887079</v>
      </c>
    </row>
    <row r="299" spans="3:44" x14ac:dyDescent="0.25">
      <c r="F299" s="28" t="s">
        <v>234</v>
      </c>
      <c r="G299" s="28" t="s">
        <v>343</v>
      </c>
      <c r="J299" s="101">
        <f t="shared" ref="J299:AP299" si="85">J264 * J$122</f>
        <v>2.0484414663244923</v>
      </c>
      <c r="K299" s="101">
        <f t="shared" si="85"/>
        <v>2.4457779685437337</v>
      </c>
      <c r="L299" s="101">
        <f t="shared" si="85"/>
        <v>0.69633709578290515</v>
      </c>
      <c r="M299" s="101">
        <f t="shared" si="85"/>
        <v>1.8863551915518073</v>
      </c>
      <c r="N299" s="101">
        <f t="shared" si="85"/>
        <v>2.1287325607491505</v>
      </c>
      <c r="O299" s="101">
        <f t="shared" si="85"/>
        <v>0.35261535799896354</v>
      </c>
      <c r="P299" s="101">
        <f t="shared" si="85"/>
        <v>2.0138469291147127</v>
      </c>
      <c r="Q299" s="101">
        <f t="shared" si="85"/>
        <v>1.5578439321096642</v>
      </c>
      <c r="R299" s="101">
        <f t="shared" si="85"/>
        <v>2.1470067563918569</v>
      </c>
      <c r="S299" s="101">
        <f t="shared" si="85"/>
        <v>12.58565598392094</v>
      </c>
      <c r="T299" s="101">
        <f t="shared" si="85"/>
        <v>10.000195910495471</v>
      </c>
      <c r="U299" s="101">
        <f t="shared" si="85"/>
        <v>8.5969775694748787</v>
      </c>
      <c r="V299" s="101">
        <f t="shared" si="85"/>
        <v>8.4230296598610472</v>
      </c>
      <c r="W299" s="101">
        <f t="shared" si="85"/>
        <v>7.569504207257026</v>
      </c>
      <c r="X299" s="101">
        <f t="shared" si="85"/>
        <v>1.2075246920838687</v>
      </c>
      <c r="Y299" s="101">
        <f t="shared" si="85"/>
        <v>1.4806590276438236</v>
      </c>
      <c r="Z299" s="101">
        <f t="shared" si="85"/>
        <v>2.6767872117120697</v>
      </c>
      <c r="AA299" s="101">
        <f t="shared" si="85"/>
        <v>0.92899252566537083</v>
      </c>
      <c r="AB299" s="101">
        <f t="shared" si="85"/>
        <v>25.978852580500728</v>
      </c>
      <c r="AC299" s="101">
        <f t="shared" si="85"/>
        <v>0.99999999999999989</v>
      </c>
      <c r="AD299" s="101">
        <f t="shared" si="85"/>
        <v>0.99999999999999989</v>
      </c>
      <c r="AE299" s="101">
        <f t="shared" si="85"/>
        <v>0.99999999999999989</v>
      </c>
      <c r="AF299" s="101">
        <f t="shared" si="85"/>
        <v>0.99999999999999989</v>
      </c>
      <c r="AG299" s="101">
        <f t="shared" si="85"/>
        <v>7.2710503034182867</v>
      </c>
      <c r="AH299" s="101">
        <f t="shared" si="85"/>
        <v>7.2710503034182867</v>
      </c>
      <c r="AI299" s="101">
        <f t="shared" si="85"/>
        <v>0.99999999999999989</v>
      </c>
      <c r="AJ299" s="101">
        <f t="shared" si="85"/>
        <v>0.99999999999999989</v>
      </c>
      <c r="AK299" s="101">
        <f t="shared" si="85"/>
        <v>7.2710503034182867</v>
      </c>
      <c r="AL299" s="101">
        <f t="shared" si="85"/>
        <v>7.2710503034182867</v>
      </c>
      <c r="AM299" s="101">
        <f t="shared" si="85"/>
        <v>0.99999999999999989</v>
      </c>
      <c r="AN299" s="101">
        <f t="shared" si="85"/>
        <v>0.99999999999999989</v>
      </c>
      <c r="AO299" s="101">
        <f t="shared" si="85"/>
        <v>7.2710503034182867</v>
      </c>
      <c r="AP299" s="101">
        <f t="shared" si="85"/>
        <v>7.2710503034182867</v>
      </c>
    </row>
    <row r="300" spans="3:44" x14ac:dyDescent="0.25">
      <c r="F300" s="28" t="s">
        <v>235</v>
      </c>
      <c r="G300" s="28" t="s">
        <v>343</v>
      </c>
      <c r="J300" s="101">
        <f t="shared" ref="J300:AP300" si="86">J265 * J$122</f>
        <v>2.0484414663244923</v>
      </c>
      <c r="K300" s="101">
        <f t="shared" si="86"/>
        <v>2.4457779685437337</v>
      </c>
      <c r="L300" s="101">
        <f t="shared" si="86"/>
        <v>0.69633709578290515</v>
      </c>
      <c r="M300" s="101">
        <f t="shared" si="86"/>
        <v>1.8863551915518073</v>
      </c>
      <c r="N300" s="101">
        <f t="shared" si="86"/>
        <v>2.1287325607491505</v>
      </c>
      <c r="O300" s="101">
        <f t="shared" si="86"/>
        <v>0.35261535799896354</v>
      </c>
      <c r="P300" s="101">
        <f t="shared" si="86"/>
        <v>2.0138469291147127</v>
      </c>
      <c r="Q300" s="101">
        <f t="shared" si="86"/>
        <v>1.5578439321096642</v>
      </c>
      <c r="R300" s="101">
        <f t="shared" si="86"/>
        <v>2.1470067563918569</v>
      </c>
      <c r="S300" s="101">
        <f t="shared" si="86"/>
        <v>12.58565598392094</v>
      </c>
      <c r="T300" s="101">
        <f t="shared" si="86"/>
        <v>10.000195910495471</v>
      </c>
      <c r="U300" s="101">
        <f t="shared" si="86"/>
        <v>8.5969775694748787</v>
      </c>
      <c r="V300" s="101">
        <f t="shared" si="86"/>
        <v>8.4230296598610472</v>
      </c>
      <c r="W300" s="101">
        <f t="shared" si="86"/>
        <v>7.569504207257026</v>
      </c>
      <c r="X300" s="101">
        <f t="shared" si="86"/>
        <v>1.2075246920838687</v>
      </c>
      <c r="Y300" s="101">
        <f t="shared" si="86"/>
        <v>1.4806590276438236</v>
      </c>
      <c r="Z300" s="101">
        <f t="shared" si="86"/>
        <v>2.6767872117120697</v>
      </c>
      <c r="AA300" s="101">
        <f t="shared" si="86"/>
        <v>0.92899252566537083</v>
      </c>
      <c r="AB300" s="101">
        <f t="shared" si="86"/>
        <v>25.978852580500728</v>
      </c>
      <c r="AC300" s="101">
        <f t="shared" si="86"/>
        <v>0.99999999999999989</v>
      </c>
      <c r="AD300" s="101">
        <f t="shared" si="86"/>
        <v>0.99999999999999989</v>
      </c>
      <c r="AE300" s="101">
        <f t="shared" si="86"/>
        <v>0.99999999999999989</v>
      </c>
      <c r="AF300" s="101">
        <f t="shared" si="86"/>
        <v>0.99999999999999989</v>
      </c>
      <c r="AG300" s="101">
        <f t="shared" si="86"/>
        <v>7.2710503034182867</v>
      </c>
      <c r="AH300" s="101">
        <f t="shared" si="86"/>
        <v>7.2710503034182867</v>
      </c>
      <c r="AI300" s="101">
        <f t="shared" si="86"/>
        <v>0.99999999999999989</v>
      </c>
      <c r="AJ300" s="101">
        <f t="shared" si="86"/>
        <v>0.99999999999999989</v>
      </c>
      <c r="AK300" s="101">
        <f t="shared" si="86"/>
        <v>7.2710503034182867</v>
      </c>
      <c r="AL300" s="101">
        <f t="shared" si="86"/>
        <v>7.2710503034182867</v>
      </c>
      <c r="AM300" s="101">
        <f t="shared" si="86"/>
        <v>0.99999999999999989</v>
      </c>
      <c r="AN300" s="101">
        <f t="shared" si="86"/>
        <v>0.99999999999999989</v>
      </c>
      <c r="AO300" s="101">
        <f t="shared" si="86"/>
        <v>7.2710503034182867</v>
      </c>
      <c r="AP300" s="101">
        <f t="shared" si="86"/>
        <v>7.2710503034182867</v>
      </c>
    </row>
    <row r="301" spans="3:44" x14ac:dyDescent="0.25">
      <c r="F301" s="67" t="s">
        <v>236</v>
      </c>
      <c r="G301" s="67" t="s">
        <v>343</v>
      </c>
      <c r="H301" s="37"/>
      <c r="I301" s="37"/>
      <c r="J301" s="103">
        <f t="shared" ref="J301:AP301" si="87">J266 * J$122</f>
        <v>2.0484414663244923</v>
      </c>
      <c r="K301" s="103">
        <f t="shared" si="87"/>
        <v>2.4457779685437337</v>
      </c>
      <c r="L301" s="103">
        <f t="shared" si="87"/>
        <v>0.69633709578290515</v>
      </c>
      <c r="M301" s="103">
        <f t="shared" si="87"/>
        <v>1.8863551915518073</v>
      </c>
      <c r="N301" s="103">
        <f t="shared" si="87"/>
        <v>2.1287325607491505</v>
      </c>
      <c r="O301" s="103">
        <f t="shared" si="87"/>
        <v>0.35261535799896354</v>
      </c>
      <c r="P301" s="103">
        <f t="shared" si="87"/>
        <v>2.0138469291147127</v>
      </c>
      <c r="Q301" s="103">
        <f t="shared" si="87"/>
        <v>1.5578439321096642</v>
      </c>
      <c r="R301" s="103">
        <f t="shared" si="87"/>
        <v>2.1470067563918569</v>
      </c>
      <c r="S301" s="103">
        <f t="shared" si="87"/>
        <v>12.58565598392094</v>
      </c>
      <c r="T301" s="103">
        <f t="shared" si="87"/>
        <v>10.000195910495471</v>
      </c>
      <c r="U301" s="103">
        <f t="shared" si="87"/>
        <v>8.5969775694748787</v>
      </c>
      <c r="V301" s="103">
        <f t="shared" si="87"/>
        <v>8.4230296598610472</v>
      </c>
      <c r="W301" s="103">
        <f t="shared" si="87"/>
        <v>7.569504207257026</v>
      </c>
      <c r="X301" s="103">
        <f t="shared" si="87"/>
        <v>1.2075246920838687</v>
      </c>
      <c r="Y301" s="103">
        <f t="shared" si="87"/>
        <v>1.4806590276438236</v>
      </c>
      <c r="Z301" s="103">
        <f t="shared" si="87"/>
        <v>2.6767872117120697</v>
      </c>
      <c r="AA301" s="103">
        <f t="shared" si="87"/>
        <v>0.92899252566537083</v>
      </c>
      <c r="AB301" s="103">
        <f t="shared" si="87"/>
        <v>25.978852580500728</v>
      </c>
      <c r="AC301" s="103">
        <f t="shared" si="87"/>
        <v>0.99999999999999989</v>
      </c>
      <c r="AD301" s="103">
        <f t="shared" si="87"/>
        <v>0.99999999999999989</v>
      </c>
      <c r="AE301" s="103">
        <f t="shared" si="87"/>
        <v>0.99999999999999989</v>
      </c>
      <c r="AF301" s="103">
        <f t="shared" si="87"/>
        <v>0.99999999999999989</v>
      </c>
      <c r="AG301" s="103">
        <f t="shared" si="87"/>
        <v>7.2710503034182867</v>
      </c>
      <c r="AH301" s="103">
        <f t="shared" si="87"/>
        <v>7.2710503034182867</v>
      </c>
      <c r="AI301" s="103">
        <f t="shared" si="87"/>
        <v>0.99999999999999989</v>
      </c>
      <c r="AJ301" s="103">
        <f t="shared" si="87"/>
        <v>0.99999999999999989</v>
      </c>
      <c r="AK301" s="103">
        <f t="shared" si="87"/>
        <v>7.2710503034182867</v>
      </c>
      <c r="AL301" s="103">
        <f t="shared" si="87"/>
        <v>7.2710503034182867</v>
      </c>
      <c r="AM301" s="103">
        <f t="shared" si="87"/>
        <v>0.99999999999999989</v>
      </c>
      <c r="AN301" s="103">
        <f t="shared" si="87"/>
        <v>0.99999999999999989</v>
      </c>
      <c r="AO301" s="103">
        <f t="shared" si="87"/>
        <v>7.2710503034182867</v>
      </c>
      <c r="AP301" s="103">
        <f t="shared" si="87"/>
        <v>7.2710503034182867</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194</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228</v>
      </c>
      <c r="G304" s="64" t="s">
        <v>343</v>
      </c>
      <c r="H304" s="23"/>
      <c r="I304" s="23"/>
      <c r="J304" s="129">
        <f t="shared" ref="J304:AP304" si="88">J269 * J$122</f>
        <v>0</v>
      </c>
      <c r="K304" s="129">
        <f t="shared" si="88"/>
        <v>0</v>
      </c>
      <c r="L304" s="129">
        <f t="shared" si="88"/>
        <v>0</v>
      </c>
      <c r="M304" s="129">
        <f t="shared" si="88"/>
        <v>0</v>
      </c>
      <c r="N304" s="129">
        <f t="shared" si="88"/>
        <v>0</v>
      </c>
      <c r="O304" s="129">
        <f t="shared" si="88"/>
        <v>0</v>
      </c>
      <c r="P304" s="129">
        <f t="shared" si="88"/>
        <v>0</v>
      </c>
      <c r="Q304" s="129">
        <f t="shared" si="88"/>
        <v>0</v>
      </c>
      <c r="R304" s="129">
        <f t="shared" si="88"/>
        <v>0</v>
      </c>
      <c r="S304" s="129">
        <f t="shared" si="88"/>
        <v>0.61276443198732988</v>
      </c>
      <c r="T304" s="129">
        <f t="shared" si="88"/>
        <v>0.48688478174561789</v>
      </c>
      <c r="U304" s="129">
        <f t="shared" si="88"/>
        <v>0.41856555462005562</v>
      </c>
      <c r="V304" s="129">
        <f t="shared" si="88"/>
        <v>0.41009646153773416</v>
      </c>
      <c r="W304" s="129">
        <f t="shared" si="88"/>
        <v>0.3685404202936533</v>
      </c>
      <c r="X304" s="129">
        <f t="shared" si="88"/>
        <v>0</v>
      </c>
      <c r="Y304" s="129">
        <f t="shared" si="88"/>
        <v>0</v>
      </c>
      <c r="Z304" s="129">
        <f t="shared" si="88"/>
        <v>0</v>
      </c>
      <c r="AA304" s="129">
        <f t="shared" si="88"/>
        <v>0</v>
      </c>
      <c r="AB304" s="129">
        <f t="shared" si="88"/>
        <v>0.73058262517062489</v>
      </c>
      <c r="AC304" s="129">
        <f t="shared" si="88"/>
        <v>0</v>
      </c>
      <c r="AD304" s="129">
        <f t="shared" si="88"/>
        <v>0</v>
      </c>
      <c r="AE304" s="129">
        <f t="shared" si="88"/>
        <v>0</v>
      </c>
      <c r="AF304" s="129">
        <f t="shared" si="88"/>
        <v>0</v>
      </c>
      <c r="AG304" s="129">
        <f t="shared" si="88"/>
        <v>0.35400943858767064</v>
      </c>
      <c r="AH304" s="129">
        <f t="shared" si="88"/>
        <v>0.35400943858767064</v>
      </c>
      <c r="AI304" s="129">
        <f t="shared" si="88"/>
        <v>0</v>
      </c>
      <c r="AJ304" s="129">
        <f t="shared" si="88"/>
        <v>0</v>
      </c>
      <c r="AK304" s="129">
        <f t="shared" si="88"/>
        <v>0.35400943858767064</v>
      </c>
      <c r="AL304" s="129">
        <f t="shared" si="88"/>
        <v>0.35400943858767064</v>
      </c>
      <c r="AM304" s="129">
        <f t="shared" si="88"/>
        <v>0</v>
      </c>
      <c r="AN304" s="129">
        <f t="shared" si="88"/>
        <v>0</v>
      </c>
      <c r="AO304" s="129">
        <f t="shared" si="88"/>
        <v>0.35400943858767064</v>
      </c>
      <c r="AP304" s="129">
        <f t="shared" si="88"/>
        <v>0.35400943858767064</v>
      </c>
    </row>
    <row r="305" spans="5:42" x14ac:dyDescent="0.25">
      <c r="F305" s="28" t="s">
        <v>229</v>
      </c>
      <c r="G305" s="28" t="s">
        <v>343</v>
      </c>
      <c r="J305" s="101">
        <f t="shared" ref="J305:AP305" si="89">J270 * J$122</f>
        <v>0</v>
      </c>
      <c r="K305" s="101">
        <f t="shared" si="89"/>
        <v>3.8907513881207417E-2</v>
      </c>
      <c r="L305" s="101">
        <f t="shared" si="89"/>
        <v>0</v>
      </c>
      <c r="M305" s="101">
        <f t="shared" si="89"/>
        <v>0</v>
      </c>
      <c r="N305" s="101">
        <f t="shared" si="89"/>
        <v>3.5547508518264971E-2</v>
      </c>
      <c r="O305" s="101">
        <f t="shared" si="89"/>
        <v>0</v>
      </c>
      <c r="P305" s="101">
        <f t="shared" si="89"/>
        <v>3.22238237396857E-2</v>
      </c>
      <c r="Q305" s="101">
        <f t="shared" si="89"/>
        <v>2.5106637306638285E-2</v>
      </c>
      <c r="R305" s="101">
        <f t="shared" si="89"/>
        <v>3.4318823607292083E-2</v>
      </c>
      <c r="S305" s="101">
        <f t="shared" si="89"/>
        <v>1.1726386446629127</v>
      </c>
      <c r="T305" s="101">
        <f t="shared" si="89"/>
        <v>0.93174453471702912</v>
      </c>
      <c r="U305" s="101">
        <f t="shared" si="89"/>
        <v>0.80100299405496678</v>
      </c>
      <c r="V305" s="101">
        <f t="shared" si="89"/>
        <v>0.78479581015989563</v>
      </c>
      <c r="W305" s="101">
        <f t="shared" si="89"/>
        <v>0.70527060057164936</v>
      </c>
      <c r="X305" s="101">
        <f t="shared" si="89"/>
        <v>0</v>
      </c>
      <c r="Y305" s="101">
        <f t="shared" si="89"/>
        <v>0</v>
      </c>
      <c r="Z305" s="101">
        <f t="shared" si="89"/>
        <v>0</v>
      </c>
      <c r="AA305" s="101">
        <f t="shared" si="89"/>
        <v>0</v>
      </c>
      <c r="AB305" s="101">
        <f t="shared" si="89"/>
        <v>0.77548257338211224</v>
      </c>
      <c r="AC305" s="101">
        <f t="shared" si="89"/>
        <v>0</v>
      </c>
      <c r="AD305" s="101">
        <f t="shared" si="89"/>
        <v>0</v>
      </c>
      <c r="AE305" s="101">
        <f t="shared" si="89"/>
        <v>0</v>
      </c>
      <c r="AF305" s="101">
        <f t="shared" si="89"/>
        <v>0</v>
      </c>
      <c r="AG305" s="101">
        <f t="shared" si="89"/>
        <v>0.6774628659776849</v>
      </c>
      <c r="AH305" s="101">
        <f t="shared" si="89"/>
        <v>0.6774628659776849</v>
      </c>
      <c r="AI305" s="101">
        <f t="shared" si="89"/>
        <v>0</v>
      </c>
      <c r="AJ305" s="101">
        <f t="shared" si="89"/>
        <v>0</v>
      </c>
      <c r="AK305" s="101">
        <f t="shared" si="89"/>
        <v>0.6774628659776849</v>
      </c>
      <c r="AL305" s="101">
        <f t="shared" si="89"/>
        <v>0.6774628659776849</v>
      </c>
      <c r="AM305" s="101">
        <f t="shared" si="89"/>
        <v>0</v>
      </c>
      <c r="AN305" s="101">
        <f t="shared" si="89"/>
        <v>0</v>
      </c>
      <c r="AO305" s="101">
        <f t="shared" si="89"/>
        <v>0.6774628659776849</v>
      </c>
      <c r="AP305" s="101">
        <f t="shared" si="89"/>
        <v>0.6774628659776849</v>
      </c>
    </row>
    <row r="306" spans="5:42" x14ac:dyDescent="0.25">
      <c r="F306" s="28" t="s">
        <v>230</v>
      </c>
      <c r="G306" s="28" t="s">
        <v>343</v>
      </c>
      <c r="J306" s="101">
        <f t="shared" ref="J306:AP306" si="90">J271 * J$122</f>
        <v>0</v>
      </c>
      <c r="K306" s="101">
        <f t="shared" si="90"/>
        <v>3.8907513881207417E-2</v>
      </c>
      <c r="L306" s="101">
        <f t="shared" si="90"/>
        <v>0</v>
      </c>
      <c r="M306" s="101">
        <f t="shared" si="90"/>
        <v>0</v>
      </c>
      <c r="N306" s="101">
        <f t="shared" si="90"/>
        <v>3.5547508518264971E-2</v>
      </c>
      <c r="O306" s="101">
        <f t="shared" si="90"/>
        <v>0</v>
      </c>
      <c r="P306" s="101">
        <f t="shared" si="90"/>
        <v>3.22238237396857E-2</v>
      </c>
      <c r="Q306" s="101">
        <f t="shared" si="90"/>
        <v>2.5106637306638285E-2</v>
      </c>
      <c r="R306" s="101">
        <f t="shared" si="90"/>
        <v>3.4318823607292083E-2</v>
      </c>
      <c r="S306" s="101">
        <f t="shared" si="90"/>
        <v>1.1726386446629127</v>
      </c>
      <c r="T306" s="101">
        <f t="shared" si="90"/>
        <v>0.93174453471702912</v>
      </c>
      <c r="U306" s="101">
        <f t="shared" si="90"/>
        <v>0.80100299405496678</v>
      </c>
      <c r="V306" s="101">
        <f t="shared" si="90"/>
        <v>0.78479581015989563</v>
      </c>
      <c r="W306" s="101">
        <f t="shared" si="90"/>
        <v>0.70527060057164936</v>
      </c>
      <c r="X306" s="101">
        <f t="shared" si="90"/>
        <v>0</v>
      </c>
      <c r="Y306" s="101">
        <f t="shared" si="90"/>
        <v>0</v>
      </c>
      <c r="Z306" s="101">
        <f t="shared" si="90"/>
        <v>0</v>
      </c>
      <c r="AA306" s="101">
        <f t="shared" si="90"/>
        <v>0</v>
      </c>
      <c r="AB306" s="101">
        <f t="shared" si="90"/>
        <v>0.77548257338211224</v>
      </c>
      <c r="AC306" s="101">
        <f t="shared" si="90"/>
        <v>0</v>
      </c>
      <c r="AD306" s="101">
        <f t="shared" si="90"/>
        <v>0</v>
      </c>
      <c r="AE306" s="101">
        <f t="shared" si="90"/>
        <v>0</v>
      </c>
      <c r="AF306" s="101">
        <f t="shared" si="90"/>
        <v>0</v>
      </c>
      <c r="AG306" s="101">
        <f t="shared" si="90"/>
        <v>0.6774628659776849</v>
      </c>
      <c r="AH306" s="101">
        <f t="shared" si="90"/>
        <v>0.6774628659776849</v>
      </c>
      <c r="AI306" s="101">
        <f t="shared" si="90"/>
        <v>0</v>
      </c>
      <c r="AJ306" s="101">
        <f t="shared" si="90"/>
        <v>0</v>
      </c>
      <c r="AK306" s="101">
        <f t="shared" si="90"/>
        <v>0.6774628659776849</v>
      </c>
      <c r="AL306" s="101">
        <f t="shared" si="90"/>
        <v>0.6774628659776849</v>
      </c>
      <c r="AM306" s="101">
        <f t="shared" si="90"/>
        <v>0</v>
      </c>
      <c r="AN306" s="101">
        <f t="shared" si="90"/>
        <v>0</v>
      </c>
      <c r="AO306" s="101">
        <f t="shared" si="90"/>
        <v>0.6774628659776849</v>
      </c>
      <c r="AP306" s="101">
        <f t="shared" si="90"/>
        <v>0.6774628659776849</v>
      </c>
    </row>
    <row r="307" spans="5:42" x14ac:dyDescent="0.25">
      <c r="F307" s="28" t="s">
        <v>231</v>
      </c>
      <c r="G307" s="28" t="s">
        <v>343</v>
      </c>
      <c r="J307" s="101">
        <f t="shared" ref="J307:AP307" si="91">J272 * J$122</f>
        <v>0</v>
      </c>
      <c r="K307" s="101">
        <f t="shared" si="91"/>
        <v>0.10942731968556588</v>
      </c>
      <c r="L307" s="101">
        <f t="shared" si="91"/>
        <v>0</v>
      </c>
      <c r="M307" s="101">
        <f t="shared" si="91"/>
        <v>0</v>
      </c>
      <c r="N307" s="101">
        <f t="shared" si="91"/>
        <v>9.9977310051989468E-2</v>
      </c>
      <c r="O307" s="101">
        <f t="shared" si="91"/>
        <v>0</v>
      </c>
      <c r="P307" s="101">
        <f t="shared" si="91"/>
        <v>9.0629452003024941E-2</v>
      </c>
      <c r="Q307" s="101">
        <f t="shared" si="91"/>
        <v>7.0612376703669349E-2</v>
      </c>
      <c r="R307" s="101">
        <f t="shared" si="91"/>
        <v>9.6521635732721212E-2</v>
      </c>
      <c r="S307" s="101">
        <f t="shared" si="91"/>
        <v>1.7092177019295778</v>
      </c>
      <c r="T307" s="101">
        <f t="shared" si="91"/>
        <v>1.3580946352593393</v>
      </c>
      <c r="U307" s="101">
        <f t="shared" si="91"/>
        <v>1.1675280385552196</v>
      </c>
      <c r="V307" s="101">
        <f t="shared" si="91"/>
        <v>1.1439047290745341</v>
      </c>
      <c r="W307" s="101">
        <f t="shared" si="91"/>
        <v>1.0279901661385977</v>
      </c>
      <c r="X307" s="101">
        <f t="shared" si="91"/>
        <v>0</v>
      </c>
      <c r="Y307" s="101">
        <f t="shared" si="91"/>
        <v>0</v>
      </c>
      <c r="Z307" s="101">
        <f t="shared" si="91"/>
        <v>0</v>
      </c>
      <c r="AA307" s="101">
        <f t="shared" si="91"/>
        <v>0</v>
      </c>
      <c r="AB307" s="101">
        <f t="shared" si="91"/>
        <v>1.0569880664217965</v>
      </c>
      <c r="AC307" s="101">
        <f t="shared" si="91"/>
        <v>0</v>
      </c>
      <c r="AD307" s="101">
        <f t="shared" si="91"/>
        <v>0</v>
      </c>
      <c r="AE307" s="101">
        <f t="shared" si="91"/>
        <v>0</v>
      </c>
      <c r="AF307" s="101">
        <f t="shared" si="91"/>
        <v>0</v>
      </c>
      <c r="AG307" s="101">
        <f t="shared" si="91"/>
        <v>0.98745809563683939</v>
      </c>
      <c r="AH307" s="101">
        <f t="shared" si="91"/>
        <v>0.98745809563683939</v>
      </c>
      <c r="AI307" s="101">
        <f t="shared" si="91"/>
        <v>0</v>
      </c>
      <c r="AJ307" s="101">
        <f t="shared" si="91"/>
        <v>0</v>
      </c>
      <c r="AK307" s="101">
        <f t="shared" si="91"/>
        <v>0.98745809563683939</v>
      </c>
      <c r="AL307" s="101">
        <f t="shared" si="91"/>
        <v>0.98745809563683939</v>
      </c>
      <c r="AM307" s="101">
        <f t="shared" si="91"/>
        <v>0</v>
      </c>
      <c r="AN307" s="101">
        <f t="shared" si="91"/>
        <v>0</v>
      </c>
      <c r="AO307" s="101">
        <f t="shared" si="91"/>
        <v>0.98745809563683939</v>
      </c>
      <c r="AP307" s="101">
        <f t="shared" si="91"/>
        <v>0.98745809563683939</v>
      </c>
    </row>
    <row r="308" spans="5:42" x14ac:dyDescent="0.25">
      <c r="F308" s="28" t="s">
        <v>232</v>
      </c>
      <c r="G308" s="28" t="s">
        <v>343</v>
      </c>
      <c r="J308" s="101">
        <f t="shared" ref="J308:AP308" si="92">J273 * J$122</f>
        <v>0</v>
      </c>
      <c r="K308" s="101">
        <f t="shared" si="92"/>
        <v>0.10942731968556588</v>
      </c>
      <c r="L308" s="101">
        <f t="shared" si="92"/>
        <v>0</v>
      </c>
      <c r="M308" s="101">
        <f t="shared" si="92"/>
        <v>0</v>
      </c>
      <c r="N308" s="101">
        <f t="shared" si="92"/>
        <v>9.9977310051989468E-2</v>
      </c>
      <c r="O308" s="101">
        <f t="shared" si="92"/>
        <v>0</v>
      </c>
      <c r="P308" s="101">
        <f t="shared" si="92"/>
        <v>9.0629452003024941E-2</v>
      </c>
      <c r="Q308" s="101">
        <f t="shared" si="92"/>
        <v>7.0612376703669349E-2</v>
      </c>
      <c r="R308" s="101">
        <f t="shared" si="92"/>
        <v>9.6521635732721212E-2</v>
      </c>
      <c r="S308" s="101">
        <f t="shared" si="92"/>
        <v>1.7092177019295778</v>
      </c>
      <c r="T308" s="101">
        <f t="shared" si="92"/>
        <v>1.3580946352593393</v>
      </c>
      <c r="U308" s="101">
        <f t="shared" si="92"/>
        <v>1.1675280385552196</v>
      </c>
      <c r="V308" s="101">
        <f t="shared" si="92"/>
        <v>1.1439047290745341</v>
      </c>
      <c r="W308" s="101">
        <f t="shared" si="92"/>
        <v>1.0279901661385977</v>
      </c>
      <c r="X308" s="101">
        <f t="shared" si="92"/>
        <v>0</v>
      </c>
      <c r="Y308" s="101">
        <f t="shared" si="92"/>
        <v>0</v>
      </c>
      <c r="Z308" s="101">
        <f t="shared" si="92"/>
        <v>0</v>
      </c>
      <c r="AA308" s="101">
        <f t="shared" si="92"/>
        <v>0</v>
      </c>
      <c r="AB308" s="101">
        <f t="shared" si="92"/>
        <v>1.0569880664217965</v>
      </c>
      <c r="AC308" s="101">
        <f t="shared" si="92"/>
        <v>0</v>
      </c>
      <c r="AD308" s="101">
        <f t="shared" si="92"/>
        <v>0</v>
      </c>
      <c r="AE308" s="101">
        <f t="shared" si="92"/>
        <v>0</v>
      </c>
      <c r="AF308" s="101">
        <f t="shared" si="92"/>
        <v>0</v>
      </c>
      <c r="AG308" s="101">
        <f t="shared" si="92"/>
        <v>0.98745809563683939</v>
      </c>
      <c r="AH308" s="101">
        <f t="shared" si="92"/>
        <v>0.98745809563683939</v>
      </c>
      <c r="AI308" s="101">
        <f t="shared" si="92"/>
        <v>0</v>
      </c>
      <c r="AJ308" s="101">
        <f t="shared" si="92"/>
        <v>0</v>
      </c>
      <c r="AK308" s="101">
        <f t="shared" si="92"/>
        <v>0.98745809563683939</v>
      </c>
      <c r="AL308" s="101">
        <f t="shared" si="92"/>
        <v>0.98745809563683939</v>
      </c>
      <c r="AM308" s="101">
        <f t="shared" si="92"/>
        <v>0</v>
      </c>
      <c r="AN308" s="101">
        <f t="shared" si="92"/>
        <v>0</v>
      </c>
      <c r="AO308" s="101">
        <f t="shared" si="92"/>
        <v>0.98745809563683939</v>
      </c>
      <c r="AP308" s="101">
        <f t="shared" si="92"/>
        <v>0.98745809563683939</v>
      </c>
    </row>
    <row r="309" spans="5:42" x14ac:dyDescent="0.25">
      <c r="F309" s="28" t="s">
        <v>233</v>
      </c>
      <c r="G309" s="28" t="s">
        <v>343</v>
      </c>
      <c r="J309" s="101">
        <f t="shared" ref="J309:AP309" si="93">J274 * J$122</f>
        <v>0</v>
      </c>
      <c r="K309" s="101">
        <f t="shared" si="93"/>
        <v>3.8907513881207417E-2</v>
      </c>
      <c r="L309" s="101">
        <f t="shared" si="93"/>
        <v>0</v>
      </c>
      <c r="M309" s="101">
        <f t="shared" si="93"/>
        <v>0</v>
      </c>
      <c r="N309" s="101">
        <f t="shared" si="93"/>
        <v>3.5547508518264971E-2</v>
      </c>
      <c r="O309" s="101">
        <f t="shared" si="93"/>
        <v>0</v>
      </c>
      <c r="P309" s="101">
        <f t="shared" si="93"/>
        <v>3.22238237396857E-2</v>
      </c>
      <c r="Q309" s="101">
        <f t="shared" si="93"/>
        <v>2.5106637306638285E-2</v>
      </c>
      <c r="R309" s="101">
        <f t="shared" si="93"/>
        <v>3.4318823607292083E-2</v>
      </c>
      <c r="S309" s="101">
        <f t="shared" si="93"/>
        <v>1.1726386446629127</v>
      </c>
      <c r="T309" s="101">
        <f t="shared" si="93"/>
        <v>0.93174453471702912</v>
      </c>
      <c r="U309" s="101">
        <f t="shared" si="93"/>
        <v>0.80100299405496678</v>
      </c>
      <c r="V309" s="101">
        <f t="shared" si="93"/>
        <v>0.78479581015989563</v>
      </c>
      <c r="W309" s="101">
        <f t="shared" si="93"/>
        <v>0.70527060057164936</v>
      </c>
      <c r="X309" s="101">
        <f t="shared" si="93"/>
        <v>0</v>
      </c>
      <c r="Y309" s="101">
        <f t="shared" si="93"/>
        <v>0</v>
      </c>
      <c r="Z309" s="101">
        <f t="shared" si="93"/>
        <v>0</v>
      </c>
      <c r="AA309" s="101">
        <f t="shared" si="93"/>
        <v>0</v>
      </c>
      <c r="AB309" s="101">
        <f t="shared" si="93"/>
        <v>0.77548257338211224</v>
      </c>
      <c r="AC309" s="101">
        <f t="shared" si="93"/>
        <v>0</v>
      </c>
      <c r="AD309" s="101">
        <f t="shared" si="93"/>
        <v>0</v>
      </c>
      <c r="AE309" s="101">
        <f t="shared" si="93"/>
        <v>0</v>
      </c>
      <c r="AF309" s="101">
        <f t="shared" si="93"/>
        <v>0</v>
      </c>
      <c r="AG309" s="101">
        <f t="shared" si="93"/>
        <v>0.6774628659776849</v>
      </c>
      <c r="AH309" s="101">
        <f t="shared" si="93"/>
        <v>0.6774628659776849</v>
      </c>
      <c r="AI309" s="101">
        <f t="shared" si="93"/>
        <v>0</v>
      </c>
      <c r="AJ309" s="101">
        <f t="shared" si="93"/>
        <v>0</v>
      </c>
      <c r="AK309" s="101">
        <f t="shared" si="93"/>
        <v>0.6774628659776849</v>
      </c>
      <c r="AL309" s="101">
        <f t="shared" si="93"/>
        <v>0.6774628659776849</v>
      </c>
      <c r="AM309" s="101">
        <f t="shared" si="93"/>
        <v>0</v>
      </c>
      <c r="AN309" s="101">
        <f t="shared" si="93"/>
        <v>0</v>
      </c>
      <c r="AO309" s="101">
        <f t="shared" si="93"/>
        <v>0.6774628659776849</v>
      </c>
      <c r="AP309" s="101">
        <f t="shared" si="93"/>
        <v>0.6774628659776849</v>
      </c>
    </row>
    <row r="310" spans="5:42" x14ac:dyDescent="0.25">
      <c r="F310" s="28" t="s">
        <v>234</v>
      </c>
      <c r="G310" s="28" t="s">
        <v>343</v>
      </c>
      <c r="J310" s="101">
        <f t="shared" ref="J310:AP310" si="94">J275 * J$122</f>
        <v>0</v>
      </c>
      <c r="K310" s="101">
        <f t="shared" si="94"/>
        <v>0.10942731968556588</v>
      </c>
      <c r="L310" s="101">
        <f t="shared" si="94"/>
        <v>0</v>
      </c>
      <c r="M310" s="101">
        <f t="shared" si="94"/>
        <v>0</v>
      </c>
      <c r="N310" s="101">
        <f t="shared" si="94"/>
        <v>9.9977310051989468E-2</v>
      </c>
      <c r="O310" s="101">
        <f t="shared" si="94"/>
        <v>0</v>
      </c>
      <c r="P310" s="101">
        <f t="shared" si="94"/>
        <v>9.0629452003024941E-2</v>
      </c>
      <c r="Q310" s="101">
        <f t="shared" si="94"/>
        <v>7.0612376703669349E-2</v>
      </c>
      <c r="R310" s="101">
        <f t="shared" si="94"/>
        <v>9.6521635732721212E-2</v>
      </c>
      <c r="S310" s="101">
        <f t="shared" si="94"/>
        <v>1.7092177019295778</v>
      </c>
      <c r="T310" s="101">
        <f t="shared" si="94"/>
        <v>1.3580946352593393</v>
      </c>
      <c r="U310" s="101">
        <f t="shared" si="94"/>
        <v>1.1675280385552196</v>
      </c>
      <c r="V310" s="101">
        <f t="shared" si="94"/>
        <v>1.1439047290745341</v>
      </c>
      <c r="W310" s="101">
        <f t="shared" si="94"/>
        <v>1.0279901661385977</v>
      </c>
      <c r="X310" s="101">
        <f t="shared" si="94"/>
        <v>0</v>
      </c>
      <c r="Y310" s="101">
        <f t="shared" si="94"/>
        <v>0</v>
      </c>
      <c r="Z310" s="101">
        <f t="shared" si="94"/>
        <v>0</v>
      </c>
      <c r="AA310" s="101">
        <f t="shared" si="94"/>
        <v>0</v>
      </c>
      <c r="AB310" s="101">
        <f t="shared" si="94"/>
        <v>1.0569880664217965</v>
      </c>
      <c r="AC310" s="101">
        <f t="shared" si="94"/>
        <v>0</v>
      </c>
      <c r="AD310" s="101">
        <f t="shared" si="94"/>
        <v>0</v>
      </c>
      <c r="AE310" s="101">
        <f t="shared" si="94"/>
        <v>0</v>
      </c>
      <c r="AF310" s="101">
        <f t="shared" si="94"/>
        <v>0</v>
      </c>
      <c r="AG310" s="101">
        <f t="shared" si="94"/>
        <v>0.98745809563683939</v>
      </c>
      <c r="AH310" s="101">
        <f t="shared" si="94"/>
        <v>0.98745809563683939</v>
      </c>
      <c r="AI310" s="101">
        <f t="shared" si="94"/>
        <v>0</v>
      </c>
      <c r="AJ310" s="101">
        <f t="shared" si="94"/>
        <v>0</v>
      </c>
      <c r="AK310" s="101">
        <f t="shared" si="94"/>
        <v>0.98745809563683939</v>
      </c>
      <c r="AL310" s="101">
        <f t="shared" si="94"/>
        <v>0.98745809563683939</v>
      </c>
      <c r="AM310" s="101">
        <f t="shared" si="94"/>
        <v>0</v>
      </c>
      <c r="AN310" s="101">
        <f t="shared" si="94"/>
        <v>0</v>
      </c>
      <c r="AO310" s="101">
        <f t="shared" si="94"/>
        <v>0.98745809563683939</v>
      </c>
      <c r="AP310" s="101">
        <f t="shared" si="94"/>
        <v>0.98745809563683939</v>
      </c>
    </row>
    <row r="311" spans="5:42" x14ac:dyDescent="0.25">
      <c r="F311" s="28" t="s">
        <v>235</v>
      </c>
      <c r="G311" s="28" t="s">
        <v>343</v>
      </c>
      <c r="J311" s="101">
        <f t="shared" ref="J311:AP311" si="95">J276 * J$122</f>
        <v>0</v>
      </c>
      <c r="K311" s="101">
        <f t="shared" si="95"/>
        <v>0.10942731968556588</v>
      </c>
      <c r="L311" s="101">
        <f t="shared" si="95"/>
        <v>0</v>
      </c>
      <c r="M311" s="101">
        <f t="shared" si="95"/>
        <v>0</v>
      </c>
      <c r="N311" s="101">
        <f t="shared" si="95"/>
        <v>9.9977310051989468E-2</v>
      </c>
      <c r="O311" s="101">
        <f t="shared" si="95"/>
        <v>0</v>
      </c>
      <c r="P311" s="101">
        <f t="shared" si="95"/>
        <v>9.0629452003024941E-2</v>
      </c>
      <c r="Q311" s="101">
        <f t="shared" si="95"/>
        <v>7.0612376703669349E-2</v>
      </c>
      <c r="R311" s="101">
        <f t="shared" si="95"/>
        <v>9.6521635732721212E-2</v>
      </c>
      <c r="S311" s="101">
        <f t="shared" si="95"/>
        <v>1.7092177019295778</v>
      </c>
      <c r="T311" s="101">
        <f t="shared" si="95"/>
        <v>1.3580946352593393</v>
      </c>
      <c r="U311" s="101">
        <f t="shared" si="95"/>
        <v>1.1675280385552196</v>
      </c>
      <c r="V311" s="101">
        <f t="shared" si="95"/>
        <v>1.1439047290745341</v>
      </c>
      <c r="W311" s="101">
        <f t="shared" si="95"/>
        <v>1.0279901661385977</v>
      </c>
      <c r="X311" s="101">
        <f t="shared" si="95"/>
        <v>0</v>
      </c>
      <c r="Y311" s="101">
        <f t="shared" si="95"/>
        <v>0</v>
      </c>
      <c r="Z311" s="101">
        <f t="shared" si="95"/>
        <v>0</v>
      </c>
      <c r="AA311" s="101">
        <f t="shared" si="95"/>
        <v>0</v>
      </c>
      <c r="AB311" s="101">
        <f t="shared" si="95"/>
        <v>1.0569880664217965</v>
      </c>
      <c r="AC311" s="101">
        <f t="shared" si="95"/>
        <v>0</v>
      </c>
      <c r="AD311" s="101">
        <f t="shared" si="95"/>
        <v>0</v>
      </c>
      <c r="AE311" s="101">
        <f t="shared" si="95"/>
        <v>0</v>
      </c>
      <c r="AF311" s="101">
        <f t="shared" si="95"/>
        <v>0</v>
      </c>
      <c r="AG311" s="101">
        <f t="shared" si="95"/>
        <v>0.98745809563683939</v>
      </c>
      <c r="AH311" s="101">
        <f t="shared" si="95"/>
        <v>0.98745809563683939</v>
      </c>
      <c r="AI311" s="101">
        <f t="shared" si="95"/>
        <v>0</v>
      </c>
      <c r="AJ311" s="101">
        <f t="shared" si="95"/>
        <v>0</v>
      </c>
      <c r="AK311" s="101">
        <f t="shared" si="95"/>
        <v>0.98745809563683939</v>
      </c>
      <c r="AL311" s="101">
        <f t="shared" si="95"/>
        <v>0.98745809563683939</v>
      </c>
      <c r="AM311" s="101">
        <f t="shared" si="95"/>
        <v>0</v>
      </c>
      <c r="AN311" s="101">
        <f t="shared" si="95"/>
        <v>0</v>
      </c>
      <c r="AO311" s="101">
        <f t="shared" si="95"/>
        <v>0.98745809563683939</v>
      </c>
      <c r="AP311" s="101">
        <f t="shared" si="95"/>
        <v>0.98745809563683939</v>
      </c>
    </row>
    <row r="312" spans="5:42" x14ac:dyDescent="0.25">
      <c r="F312" s="67" t="s">
        <v>236</v>
      </c>
      <c r="G312" s="67" t="s">
        <v>343</v>
      </c>
      <c r="H312" s="37"/>
      <c r="I312" s="37"/>
      <c r="J312" s="103">
        <f t="shared" ref="J312:AP312" si="96">J277 * J$122</f>
        <v>0</v>
      </c>
      <c r="K312" s="103">
        <f t="shared" si="96"/>
        <v>0.10942731968556588</v>
      </c>
      <c r="L312" s="103">
        <f t="shared" si="96"/>
        <v>0</v>
      </c>
      <c r="M312" s="103">
        <f t="shared" si="96"/>
        <v>0</v>
      </c>
      <c r="N312" s="103">
        <f t="shared" si="96"/>
        <v>9.9977310051989468E-2</v>
      </c>
      <c r="O312" s="103">
        <f t="shared" si="96"/>
        <v>0</v>
      </c>
      <c r="P312" s="103">
        <f t="shared" si="96"/>
        <v>9.0629452003024941E-2</v>
      </c>
      <c r="Q312" s="103">
        <f t="shared" si="96"/>
        <v>7.0612376703669349E-2</v>
      </c>
      <c r="R312" s="103">
        <f t="shared" si="96"/>
        <v>9.6521635732721212E-2</v>
      </c>
      <c r="S312" s="103">
        <f t="shared" si="96"/>
        <v>1.7092177019295778</v>
      </c>
      <c r="T312" s="103">
        <f t="shared" si="96"/>
        <v>1.3580946352593393</v>
      </c>
      <c r="U312" s="103">
        <f t="shared" si="96"/>
        <v>1.1675280385552196</v>
      </c>
      <c r="V312" s="103">
        <f t="shared" si="96"/>
        <v>1.1439047290745341</v>
      </c>
      <c r="W312" s="103">
        <f t="shared" si="96"/>
        <v>1.0279901661385977</v>
      </c>
      <c r="X312" s="103">
        <f t="shared" si="96"/>
        <v>0</v>
      </c>
      <c r="Y312" s="103">
        <f t="shared" si="96"/>
        <v>0</v>
      </c>
      <c r="Z312" s="103">
        <f t="shared" si="96"/>
        <v>0</v>
      </c>
      <c r="AA312" s="103">
        <f t="shared" si="96"/>
        <v>0</v>
      </c>
      <c r="AB312" s="103">
        <f t="shared" si="96"/>
        <v>1.0569880664217965</v>
      </c>
      <c r="AC312" s="103">
        <f t="shared" si="96"/>
        <v>0</v>
      </c>
      <c r="AD312" s="103">
        <f t="shared" si="96"/>
        <v>0</v>
      </c>
      <c r="AE312" s="103">
        <f t="shared" si="96"/>
        <v>0</v>
      </c>
      <c r="AF312" s="103">
        <f t="shared" si="96"/>
        <v>0</v>
      </c>
      <c r="AG312" s="103">
        <f t="shared" si="96"/>
        <v>0.98745809563683939</v>
      </c>
      <c r="AH312" s="103">
        <f t="shared" si="96"/>
        <v>0.98745809563683939</v>
      </c>
      <c r="AI312" s="103">
        <f t="shared" si="96"/>
        <v>0</v>
      </c>
      <c r="AJ312" s="103">
        <f t="shared" si="96"/>
        <v>0</v>
      </c>
      <c r="AK312" s="103">
        <f t="shared" si="96"/>
        <v>0.98745809563683939</v>
      </c>
      <c r="AL312" s="103">
        <f t="shared" si="96"/>
        <v>0.98745809563683939</v>
      </c>
      <c r="AM312" s="103">
        <f t="shared" si="96"/>
        <v>0</v>
      </c>
      <c r="AN312" s="103">
        <f t="shared" si="96"/>
        <v>0</v>
      </c>
      <c r="AO312" s="103">
        <f t="shared" si="96"/>
        <v>0.98745809563683939</v>
      </c>
      <c r="AP312" s="103">
        <f t="shared" si="96"/>
        <v>0.98745809563683939</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195</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228</v>
      </c>
      <c r="G315" s="64" t="s">
        <v>343</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v>
      </c>
      <c r="T315" s="129">
        <f t="shared" si="97"/>
        <v>0</v>
      </c>
      <c r="U315" s="129">
        <f t="shared" si="97"/>
        <v>0</v>
      </c>
      <c r="V315" s="129">
        <f t="shared" si="97"/>
        <v>0</v>
      </c>
      <c r="W315" s="129">
        <f t="shared" si="97"/>
        <v>0</v>
      </c>
      <c r="X315" s="129">
        <f t="shared" si="97"/>
        <v>0</v>
      </c>
      <c r="Y315" s="129">
        <f t="shared" si="97"/>
        <v>0</v>
      </c>
      <c r="Z315" s="129">
        <f t="shared" si="97"/>
        <v>0</v>
      </c>
      <c r="AA315" s="129">
        <f t="shared" si="97"/>
        <v>0</v>
      </c>
      <c r="AB315" s="129">
        <f t="shared" si="97"/>
        <v>0</v>
      </c>
      <c r="AC315" s="129">
        <f t="shared" si="97"/>
        <v>0</v>
      </c>
      <c r="AD315" s="129">
        <f t="shared" si="97"/>
        <v>0</v>
      </c>
      <c r="AE315" s="129">
        <f t="shared" si="97"/>
        <v>0</v>
      </c>
      <c r="AF315" s="129">
        <f t="shared" si="97"/>
        <v>0</v>
      </c>
      <c r="AG315" s="129">
        <f t="shared" si="97"/>
        <v>0</v>
      </c>
      <c r="AH315" s="129">
        <f t="shared" si="97"/>
        <v>0</v>
      </c>
      <c r="AI315" s="129">
        <f t="shared" si="97"/>
        <v>0</v>
      </c>
      <c r="AJ315" s="129">
        <f t="shared" si="97"/>
        <v>0</v>
      </c>
      <c r="AK315" s="129">
        <f t="shared" si="97"/>
        <v>0</v>
      </c>
      <c r="AL315" s="129">
        <f t="shared" si="97"/>
        <v>0</v>
      </c>
      <c r="AM315" s="129">
        <f t="shared" si="97"/>
        <v>0</v>
      </c>
      <c r="AN315" s="129">
        <f t="shared" si="97"/>
        <v>0</v>
      </c>
      <c r="AO315" s="129">
        <f t="shared" si="97"/>
        <v>0</v>
      </c>
      <c r="AP315" s="129">
        <f t="shared" si="97"/>
        <v>0</v>
      </c>
    </row>
    <row r="316" spans="5:42" x14ac:dyDescent="0.25">
      <c r="F316" s="28" t="s">
        <v>229</v>
      </c>
      <c r="G316" s="28" t="s">
        <v>343</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4.2385533045058099E-2</v>
      </c>
      <c r="T316" s="101">
        <f t="shared" si="98"/>
        <v>3.3678310829636231E-2</v>
      </c>
      <c r="U316" s="101">
        <f t="shared" si="98"/>
        <v>2.8952601066176555E-2</v>
      </c>
      <c r="V316" s="101">
        <f t="shared" si="98"/>
        <v>2.8366785366106956E-2</v>
      </c>
      <c r="W316" s="101">
        <f t="shared" si="98"/>
        <v>2.5492312130674114E-2</v>
      </c>
      <c r="X316" s="101">
        <f t="shared" si="98"/>
        <v>0</v>
      </c>
      <c r="Y316" s="101">
        <f t="shared" si="98"/>
        <v>0</v>
      </c>
      <c r="Z316" s="101">
        <f t="shared" si="98"/>
        <v>0</v>
      </c>
      <c r="AA316" s="101">
        <f t="shared" si="98"/>
        <v>0</v>
      </c>
      <c r="AB316" s="101">
        <f t="shared" si="98"/>
        <v>2.9385033625973882E-2</v>
      </c>
      <c r="AC316" s="101">
        <f t="shared" si="98"/>
        <v>0</v>
      </c>
      <c r="AD316" s="101">
        <f t="shared" si="98"/>
        <v>0</v>
      </c>
      <c r="AE316" s="101">
        <f t="shared" si="98"/>
        <v>0</v>
      </c>
      <c r="AF316" s="101">
        <f t="shared" si="98"/>
        <v>0</v>
      </c>
      <c r="AG316" s="101">
        <f t="shared" si="98"/>
        <v>2.4487189487901666E-2</v>
      </c>
      <c r="AH316" s="101">
        <f t="shared" si="98"/>
        <v>2.4487189487901666E-2</v>
      </c>
      <c r="AI316" s="101">
        <f t="shared" si="98"/>
        <v>0</v>
      </c>
      <c r="AJ316" s="101">
        <f t="shared" si="98"/>
        <v>0</v>
      </c>
      <c r="AK316" s="101">
        <f t="shared" si="98"/>
        <v>2.4487189487901666E-2</v>
      </c>
      <c r="AL316" s="101">
        <f t="shared" si="98"/>
        <v>2.4487189487901666E-2</v>
      </c>
      <c r="AM316" s="101">
        <f t="shared" si="98"/>
        <v>0</v>
      </c>
      <c r="AN316" s="101">
        <f t="shared" si="98"/>
        <v>0</v>
      </c>
      <c r="AO316" s="101">
        <f t="shared" si="98"/>
        <v>2.4487189487901666E-2</v>
      </c>
      <c r="AP316" s="101">
        <f t="shared" si="98"/>
        <v>2.4487189487901666E-2</v>
      </c>
    </row>
    <row r="317" spans="5:42" x14ac:dyDescent="0.25">
      <c r="F317" s="28" t="s">
        <v>230</v>
      </c>
      <c r="G317" s="28" t="s">
        <v>343</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4.2385533045058099E-2</v>
      </c>
      <c r="T317" s="101">
        <f t="shared" si="99"/>
        <v>3.3678310829636231E-2</v>
      </c>
      <c r="U317" s="101">
        <f t="shared" si="99"/>
        <v>2.8952601066176555E-2</v>
      </c>
      <c r="V317" s="101">
        <f t="shared" si="99"/>
        <v>2.8366785366106956E-2</v>
      </c>
      <c r="W317" s="101">
        <f t="shared" si="99"/>
        <v>2.5492312130674114E-2</v>
      </c>
      <c r="X317" s="101">
        <f t="shared" si="99"/>
        <v>0</v>
      </c>
      <c r="Y317" s="101">
        <f t="shared" si="99"/>
        <v>0</v>
      </c>
      <c r="Z317" s="101">
        <f t="shared" si="99"/>
        <v>0</v>
      </c>
      <c r="AA317" s="101">
        <f t="shared" si="99"/>
        <v>0</v>
      </c>
      <c r="AB317" s="101">
        <f t="shared" si="99"/>
        <v>2.9385033625973882E-2</v>
      </c>
      <c r="AC317" s="101">
        <f t="shared" si="99"/>
        <v>0</v>
      </c>
      <c r="AD317" s="101">
        <f t="shared" si="99"/>
        <v>0</v>
      </c>
      <c r="AE317" s="101">
        <f t="shared" si="99"/>
        <v>0</v>
      </c>
      <c r="AF317" s="101">
        <f t="shared" si="99"/>
        <v>0</v>
      </c>
      <c r="AG317" s="101">
        <f t="shared" si="99"/>
        <v>2.4487189487901666E-2</v>
      </c>
      <c r="AH317" s="101">
        <f t="shared" si="99"/>
        <v>2.4487189487901666E-2</v>
      </c>
      <c r="AI317" s="101">
        <f t="shared" si="99"/>
        <v>0</v>
      </c>
      <c r="AJ317" s="101">
        <f t="shared" si="99"/>
        <v>0</v>
      </c>
      <c r="AK317" s="101">
        <f t="shared" si="99"/>
        <v>2.4487189487901666E-2</v>
      </c>
      <c r="AL317" s="101">
        <f t="shared" si="99"/>
        <v>2.4487189487901666E-2</v>
      </c>
      <c r="AM317" s="101">
        <f t="shared" si="99"/>
        <v>0</v>
      </c>
      <c r="AN317" s="101">
        <f t="shared" si="99"/>
        <v>0</v>
      </c>
      <c r="AO317" s="101">
        <f t="shared" si="99"/>
        <v>2.4487189487901666E-2</v>
      </c>
      <c r="AP317" s="101">
        <f t="shared" si="99"/>
        <v>2.4487189487901666E-2</v>
      </c>
    </row>
    <row r="318" spans="5:42" x14ac:dyDescent="0.25">
      <c r="F318" s="28" t="s">
        <v>231</v>
      </c>
      <c r="G318" s="28" t="s">
        <v>343</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0.11920924294278641</v>
      </c>
      <c r="T318" s="101">
        <f t="shared" si="100"/>
        <v>9.4720194584432107E-2</v>
      </c>
      <c r="U318" s="101">
        <f t="shared" si="100"/>
        <v>8.1429143539480206E-2</v>
      </c>
      <c r="V318" s="101">
        <f t="shared" si="100"/>
        <v>7.9781537833187519E-2</v>
      </c>
      <c r="W318" s="101">
        <f t="shared" si="100"/>
        <v>7.1697086520731895E-2</v>
      </c>
      <c r="X318" s="101">
        <f t="shared" si="100"/>
        <v>0</v>
      </c>
      <c r="Y318" s="101">
        <f t="shared" si="100"/>
        <v>0</v>
      </c>
      <c r="Z318" s="101">
        <f t="shared" si="100"/>
        <v>0</v>
      </c>
      <c r="AA318" s="101">
        <f t="shared" si="100"/>
        <v>0</v>
      </c>
      <c r="AB318" s="101">
        <f t="shared" si="100"/>
        <v>8.264535941253412E-2</v>
      </c>
      <c r="AC318" s="101">
        <f t="shared" si="100"/>
        <v>0</v>
      </c>
      <c r="AD318" s="101">
        <f t="shared" si="100"/>
        <v>0</v>
      </c>
      <c r="AE318" s="101">
        <f t="shared" si="100"/>
        <v>0</v>
      </c>
      <c r="AF318" s="101">
        <f t="shared" si="100"/>
        <v>0</v>
      </c>
      <c r="AG318" s="101">
        <f t="shared" si="100"/>
        <v>6.8870180718174662E-2</v>
      </c>
      <c r="AH318" s="101">
        <f t="shared" si="100"/>
        <v>6.8870180718174662E-2</v>
      </c>
      <c r="AI318" s="101">
        <f t="shared" si="100"/>
        <v>0</v>
      </c>
      <c r="AJ318" s="101">
        <f t="shared" si="100"/>
        <v>0</v>
      </c>
      <c r="AK318" s="101">
        <f t="shared" si="100"/>
        <v>6.8870180718174662E-2</v>
      </c>
      <c r="AL318" s="101">
        <f t="shared" si="100"/>
        <v>6.8870180718174662E-2</v>
      </c>
      <c r="AM318" s="101">
        <f t="shared" si="100"/>
        <v>0</v>
      </c>
      <c r="AN318" s="101">
        <f t="shared" si="100"/>
        <v>0</v>
      </c>
      <c r="AO318" s="101">
        <f t="shared" si="100"/>
        <v>6.8870180718174662E-2</v>
      </c>
      <c r="AP318" s="101">
        <f t="shared" si="100"/>
        <v>6.8870180718174662E-2</v>
      </c>
    </row>
    <row r="319" spans="5:42" x14ac:dyDescent="0.25">
      <c r="F319" s="28" t="s">
        <v>232</v>
      </c>
      <c r="G319" s="28" t="s">
        <v>343</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0.11920924294278641</v>
      </c>
      <c r="T319" s="101">
        <f t="shared" si="101"/>
        <v>9.4720194584432107E-2</v>
      </c>
      <c r="U319" s="101">
        <f t="shared" si="101"/>
        <v>8.1429143539480206E-2</v>
      </c>
      <c r="V319" s="101">
        <f t="shared" si="101"/>
        <v>7.9781537833187519E-2</v>
      </c>
      <c r="W319" s="101">
        <f t="shared" si="101"/>
        <v>7.1697086520731895E-2</v>
      </c>
      <c r="X319" s="101">
        <f t="shared" si="101"/>
        <v>0</v>
      </c>
      <c r="Y319" s="101">
        <f t="shared" si="101"/>
        <v>0</v>
      </c>
      <c r="Z319" s="101">
        <f t="shared" si="101"/>
        <v>0</v>
      </c>
      <c r="AA319" s="101">
        <f t="shared" si="101"/>
        <v>0</v>
      </c>
      <c r="AB319" s="101">
        <f t="shared" si="101"/>
        <v>8.264535941253412E-2</v>
      </c>
      <c r="AC319" s="101">
        <f t="shared" si="101"/>
        <v>0</v>
      </c>
      <c r="AD319" s="101">
        <f t="shared" si="101"/>
        <v>0</v>
      </c>
      <c r="AE319" s="101">
        <f t="shared" si="101"/>
        <v>0</v>
      </c>
      <c r="AF319" s="101">
        <f t="shared" si="101"/>
        <v>0</v>
      </c>
      <c r="AG319" s="101">
        <f t="shared" si="101"/>
        <v>6.8870180718174662E-2</v>
      </c>
      <c r="AH319" s="101">
        <f t="shared" si="101"/>
        <v>6.8870180718174662E-2</v>
      </c>
      <c r="AI319" s="101">
        <f t="shared" si="101"/>
        <v>0</v>
      </c>
      <c r="AJ319" s="101">
        <f t="shared" si="101"/>
        <v>0</v>
      </c>
      <c r="AK319" s="101">
        <f t="shared" si="101"/>
        <v>6.8870180718174662E-2</v>
      </c>
      <c r="AL319" s="101">
        <f t="shared" si="101"/>
        <v>6.8870180718174662E-2</v>
      </c>
      <c r="AM319" s="101">
        <f t="shared" si="101"/>
        <v>0</v>
      </c>
      <c r="AN319" s="101">
        <f t="shared" si="101"/>
        <v>0</v>
      </c>
      <c r="AO319" s="101">
        <f t="shared" si="101"/>
        <v>6.8870180718174662E-2</v>
      </c>
      <c r="AP319" s="101">
        <f t="shared" si="101"/>
        <v>6.8870180718174662E-2</v>
      </c>
    </row>
    <row r="320" spans="5:42" x14ac:dyDescent="0.25">
      <c r="F320" s="28" t="s">
        <v>233</v>
      </c>
      <c r="G320" s="28" t="s">
        <v>343</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4.2385533045058099E-2</v>
      </c>
      <c r="T320" s="101">
        <f t="shared" si="102"/>
        <v>3.3678310829636231E-2</v>
      </c>
      <c r="U320" s="101">
        <f t="shared" si="102"/>
        <v>2.8952601066176555E-2</v>
      </c>
      <c r="V320" s="101">
        <f t="shared" si="102"/>
        <v>2.8366785366106956E-2</v>
      </c>
      <c r="W320" s="101">
        <f t="shared" si="102"/>
        <v>2.5492312130674114E-2</v>
      </c>
      <c r="X320" s="101">
        <f t="shared" si="102"/>
        <v>0</v>
      </c>
      <c r="Y320" s="101">
        <f t="shared" si="102"/>
        <v>0</v>
      </c>
      <c r="Z320" s="101">
        <f t="shared" si="102"/>
        <v>0</v>
      </c>
      <c r="AA320" s="101">
        <f t="shared" si="102"/>
        <v>0</v>
      </c>
      <c r="AB320" s="101">
        <f t="shared" si="102"/>
        <v>2.9385033625973882E-2</v>
      </c>
      <c r="AC320" s="101">
        <f t="shared" si="102"/>
        <v>0</v>
      </c>
      <c r="AD320" s="101">
        <f t="shared" si="102"/>
        <v>0</v>
      </c>
      <c r="AE320" s="101">
        <f t="shared" si="102"/>
        <v>0</v>
      </c>
      <c r="AF320" s="101">
        <f t="shared" si="102"/>
        <v>0</v>
      </c>
      <c r="AG320" s="101">
        <f t="shared" si="102"/>
        <v>2.4487189487901666E-2</v>
      </c>
      <c r="AH320" s="101">
        <f t="shared" si="102"/>
        <v>2.4487189487901666E-2</v>
      </c>
      <c r="AI320" s="101">
        <f t="shared" si="102"/>
        <v>0</v>
      </c>
      <c r="AJ320" s="101">
        <f t="shared" si="102"/>
        <v>0</v>
      </c>
      <c r="AK320" s="101">
        <f t="shared" si="102"/>
        <v>2.4487189487901666E-2</v>
      </c>
      <c r="AL320" s="101">
        <f t="shared" si="102"/>
        <v>2.4487189487901666E-2</v>
      </c>
      <c r="AM320" s="101">
        <f t="shared" si="102"/>
        <v>0</v>
      </c>
      <c r="AN320" s="101">
        <f t="shared" si="102"/>
        <v>0</v>
      </c>
      <c r="AO320" s="101">
        <f t="shared" si="102"/>
        <v>2.4487189487901666E-2</v>
      </c>
      <c r="AP320" s="101">
        <f t="shared" si="102"/>
        <v>2.4487189487901666E-2</v>
      </c>
    </row>
    <row r="321" spans="2:44" x14ac:dyDescent="0.25">
      <c r="F321" s="28" t="s">
        <v>234</v>
      </c>
      <c r="G321" s="28" t="s">
        <v>343</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0.11920924294278641</v>
      </c>
      <c r="T321" s="101">
        <f t="shared" si="103"/>
        <v>9.4720194584432107E-2</v>
      </c>
      <c r="U321" s="101">
        <f t="shared" si="103"/>
        <v>8.1429143539480206E-2</v>
      </c>
      <c r="V321" s="101">
        <f t="shared" si="103"/>
        <v>7.9781537833187519E-2</v>
      </c>
      <c r="W321" s="101">
        <f t="shared" si="103"/>
        <v>7.1697086520731895E-2</v>
      </c>
      <c r="X321" s="101">
        <f t="shared" si="103"/>
        <v>0</v>
      </c>
      <c r="Y321" s="101">
        <f t="shared" si="103"/>
        <v>0</v>
      </c>
      <c r="Z321" s="101">
        <f t="shared" si="103"/>
        <v>0</v>
      </c>
      <c r="AA321" s="101">
        <f t="shared" si="103"/>
        <v>0</v>
      </c>
      <c r="AB321" s="101">
        <f t="shared" si="103"/>
        <v>8.264535941253412E-2</v>
      </c>
      <c r="AC321" s="101">
        <f t="shared" si="103"/>
        <v>0</v>
      </c>
      <c r="AD321" s="101">
        <f t="shared" si="103"/>
        <v>0</v>
      </c>
      <c r="AE321" s="101">
        <f t="shared" si="103"/>
        <v>0</v>
      </c>
      <c r="AF321" s="101">
        <f t="shared" si="103"/>
        <v>0</v>
      </c>
      <c r="AG321" s="101">
        <f t="shared" si="103"/>
        <v>6.8870180718174662E-2</v>
      </c>
      <c r="AH321" s="101">
        <f t="shared" si="103"/>
        <v>6.8870180718174662E-2</v>
      </c>
      <c r="AI321" s="101">
        <f t="shared" si="103"/>
        <v>0</v>
      </c>
      <c r="AJ321" s="101">
        <f t="shared" si="103"/>
        <v>0</v>
      </c>
      <c r="AK321" s="101">
        <f t="shared" si="103"/>
        <v>6.8870180718174662E-2</v>
      </c>
      <c r="AL321" s="101">
        <f t="shared" si="103"/>
        <v>6.8870180718174662E-2</v>
      </c>
      <c r="AM321" s="101">
        <f t="shared" si="103"/>
        <v>0</v>
      </c>
      <c r="AN321" s="101">
        <f t="shared" si="103"/>
        <v>0</v>
      </c>
      <c r="AO321" s="101">
        <f t="shared" si="103"/>
        <v>6.8870180718174662E-2</v>
      </c>
      <c r="AP321" s="101">
        <f t="shared" si="103"/>
        <v>6.8870180718174662E-2</v>
      </c>
    </row>
    <row r="322" spans="2:44" x14ac:dyDescent="0.25">
      <c r="F322" s="28" t="s">
        <v>235</v>
      </c>
      <c r="G322" s="28" t="s">
        <v>343</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0.11920924294278641</v>
      </c>
      <c r="T322" s="101">
        <f t="shared" si="104"/>
        <v>9.4720194584432107E-2</v>
      </c>
      <c r="U322" s="101">
        <f t="shared" si="104"/>
        <v>8.1429143539480206E-2</v>
      </c>
      <c r="V322" s="101">
        <f t="shared" si="104"/>
        <v>7.9781537833187519E-2</v>
      </c>
      <c r="W322" s="101">
        <f t="shared" si="104"/>
        <v>7.1697086520731895E-2</v>
      </c>
      <c r="X322" s="101">
        <f t="shared" si="104"/>
        <v>0</v>
      </c>
      <c r="Y322" s="101">
        <f t="shared" si="104"/>
        <v>0</v>
      </c>
      <c r="Z322" s="101">
        <f t="shared" si="104"/>
        <v>0</v>
      </c>
      <c r="AA322" s="101">
        <f t="shared" si="104"/>
        <v>0</v>
      </c>
      <c r="AB322" s="101">
        <f t="shared" si="104"/>
        <v>8.264535941253412E-2</v>
      </c>
      <c r="AC322" s="101">
        <f t="shared" si="104"/>
        <v>0</v>
      </c>
      <c r="AD322" s="101">
        <f t="shared" si="104"/>
        <v>0</v>
      </c>
      <c r="AE322" s="101">
        <f t="shared" si="104"/>
        <v>0</v>
      </c>
      <c r="AF322" s="101">
        <f t="shared" si="104"/>
        <v>0</v>
      </c>
      <c r="AG322" s="101">
        <f t="shared" si="104"/>
        <v>6.8870180718174662E-2</v>
      </c>
      <c r="AH322" s="101">
        <f t="shared" si="104"/>
        <v>6.8870180718174662E-2</v>
      </c>
      <c r="AI322" s="101">
        <f t="shared" si="104"/>
        <v>0</v>
      </c>
      <c r="AJ322" s="101">
        <f t="shared" si="104"/>
        <v>0</v>
      </c>
      <c r="AK322" s="101">
        <f t="shared" si="104"/>
        <v>6.8870180718174662E-2</v>
      </c>
      <c r="AL322" s="101">
        <f t="shared" si="104"/>
        <v>6.8870180718174662E-2</v>
      </c>
      <c r="AM322" s="101">
        <f t="shared" si="104"/>
        <v>0</v>
      </c>
      <c r="AN322" s="101">
        <f t="shared" si="104"/>
        <v>0</v>
      </c>
      <c r="AO322" s="101">
        <f t="shared" si="104"/>
        <v>6.8870180718174662E-2</v>
      </c>
      <c r="AP322" s="101">
        <f t="shared" si="104"/>
        <v>6.8870180718174662E-2</v>
      </c>
    </row>
    <row r="323" spans="2:44" x14ac:dyDescent="0.25">
      <c r="F323" s="67" t="s">
        <v>236</v>
      </c>
      <c r="G323" s="67" t="s">
        <v>343</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0.11920924294278641</v>
      </c>
      <c r="T323" s="103">
        <f t="shared" si="105"/>
        <v>9.4720194584432107E-2</v>
      </c>
      <c r="U323" s="103">
        <f t="shared" si="105"/>
        <v>8.1429143539480206E-2</v>
      </c>
      <c r="V323" s="103">
        <f t="shared" si="105"/>
        <v>7.9781537833187519E-2</v>
      </c>
      <c r="W323" s="103">
        <f t="shared" si="105"/>
        <v>7.1697086520731895E-2</v>
      </c>
      <c r="X323" s="103">
        <f t="shared" si="105"/>
        <v>0</v>
      </c>
      <c r="Y323" s="103">
        <f t="shared" si="105"/>
        <v>0</v>
      </c>
      <c r="Z323" s="103">
        <f t="shared" si="105"/>
        <v>0</v>
      </c>
      <c r="AA323" s="103">
        <f t="shared" si="105"/>
        <v>0</v>
      </c>
      <c r="AB323" s="103">
        <f t="shared" si="105"/>
        <v>8.264535941253412E-2</v>
      </c>
      <c r="AC323" s="103">
        <f t="shared" si="105"/>
        <v>0</v>
      </c>
      <c r="AD323" s="103">
        <f t="shared" si="105"/>
        <v>0</v>
      </c>
      <c r="AE323" s="103">
        <f t="shared" si="105"/>
        <v>0</v>
      </c>
      <c r="AF323" s="103">
        <f t="shared" si="105"/>
        <v>0</v>
      </c>
      <c r="AG323" s="103">
        <f t="shared" si="105"/>
        <v>6.8870180718174662E-2</v>
      </c>
      <c r="AH323" s="103">
        <f t="shared" si="105"/>
        <v>6.8870180718174662E-2</v>
      </c>
      <c r="AI323" s="103">
        <f t="shared" si="105"/>
        <v>0</v>
      </c>
      <c r="AJ323" s="103">
        <f t="shared" si="105"/>
        <v>0</v>
      </c>
      <c r="AK323" s="103">
        <f t="shared" si="105"/>
        <v>6.8870180718174662E-2</v>
      </c>
      <c r="AL323" s="103">
        <f t="shared" si="105"/>
        <v>6.8870180718174662E-2</v>
      </c>
      <c r="AM323" s="103">
        <f t="shared" si="105"/>
        <v>0</v>
      </c>
      <c r="AN323" s="103">
        <f t="shared" si="105"/>
        <v>0</v>
      </c>
      <c r="AO323" s="103">
        <f t="shared" si="105"/>
        <v>6.8870180718174662E-2</v>
      </c>
      <c r="AP323" s="103">
        <f t="shared" si="105"/>
        <v>6.8870180718174662E-2</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575</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576</v>
      </c>
      <c r="D327" s="29"/>
      <c r="E327" s="32"/>
      <c r="I327" s="3" t="s">
        <v>191</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577</v>
      </c>
    </row>
    <row r="328" spans="2:44" x14ac:dyDescent="0.25">
      <c r="C328" s="29" t="s">
        <v>578</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579</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580</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581</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582</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583</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584</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228</v>
      </c>
      <c r="G338" s="64" t="s">
        <v>343</v>
      </c>
      <c r="H338" s="23"/>
      <c r="I338" s="23"/>
      <c r="J338" s="129">
        <f t="shared" ref="J338:O338" si="106">SUMPRODUCT(J206:J208,J$70:J$72,J$253:J$255) * hours_in_year * J$122</f>
        <v>2.1800703725099027</v>
      </c>
      <c r="K338" s="129">
        <f t="shared" si="106"/>
        <v>1.8015009638306236</v>
      </c>
      <c r="L338" s="129">
        <f t="shared" si="106"/>
        <v>0.56715318155154992</v>
      </c>
      <c r="M338" s="129">
        <f t="shared" si="106"/>
        <v>1.8335835592697811</v>
      </c>
      <c r="N338" s="129">
        <f t="shared" si="106"/>
        <v>1.6319677753043773</v>
      </c>
      <c r="O338" s="129">
        <f t="shared" si="106"/>
        <v>0.22347246470577861</v>
      </c>
      <c r="P338" s="83"/>
      <c r="Q338" s="83"/>
      <c r="R338" s="83"/>
      <c r="S338" s="129">
        <f>SUMPRODUCT(S206:S208,S$70:S$72,S$253:S$255) * hours_in_year * S$122</f>
        <v>2.0643480937527587</v>
      </c>
      <c r="T338" s="129">
        <f>SUMPRODUCT(T206:T208,T$70:T$72,T$253:T$255) * hours_in_year * T$122</f>
        <v>1.686926426247503</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229</v>
      </c>
      <c r="G339" s="28" t="s">
        <v>343</v>
      </c>
      <c r="J339" s="101">
        <f t="shared" ref="J339:O339" si="107">SUMPRODUCT(J211:J213,J$70:J$72,J$253:J$255) * hours_in_year * J$122</f>
        <v>2.1192294549103186</v>
      </c>
      <c r="K339" s="101">
        <f t="shared" si="107"/>
        <v>1.7604286282065711</v>
      </c>
      <c r="L339" s="101">
        <f t="shared" si="107"/>
        <v>0.62965889206335846</v>
      </c>
      <c r="M339" s="101">
        <f t="shared" si="107"/>
        <v>1.8665094531664688</v>
      </c>
      <c r="N339" s="101">
        <f t="shared" si="107"/>
        <v>1.6486335838688131</v>
      </c>
      <c r="O339" s="101">
        <f t="shared" si="107"/>
        <v>0.28200915376361751</v>
      </c>
      <c r="P339" s="79"/>
      <c r="Q339" s="79"/>
      <c r="R339" s="79"/>
      <c r="S339" s="101">
        <f>SUMPRODUCT(S211:S213,S$70:S$72,S$253:S$255) * hours_in_year * S$122</f>
        <v>2.0320801121539684</v>
      </c>
      <c r="T339" s="101">
        <f>SUMPRODUCT(T211:T213,T$70:T$72,T$253:T$255) * hours_in_year * T$122</f>
        <v>1.700356414869262</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230</v>
      </c>
      <c r="G340" s="28" t="s">
        <v>343</v>
      </c>
      <c r="J340" s="101">
        <f t="shared" ref="J340:O340" si="108">SUMPRODUCT(J216:J218,J$70:J$72,J$253:J$255) * hours_in_year * J$122</f>
        <v>2.1192294549103186</v>
      </c>
      <c r="K340" s="101">
        <f t="shared" si="108"/>
        <v>1.7604286282065711</v>
      </c>
      <c r="L340" s="101">
        <f t="shared" si="108"/>
        <v>0.62965889206335846</v>
      </c>
      <c r="M340" s="101">
        <f t="shared" si="108"/>
        <v>1.8665094531664688</v>
      </c>
      <c r="N340" s="101">
        <f t="shared" si="108"/>
        <v>1.6486335838688131</v>
      </c>
      <c r="O340" s="101">
        <f t="shared" si="108"/>
        <v>0.28200915376361751</v>
      </c>
      <c r="P340" s="79"/>
      <c r="Q340" s="79"/>
      <c r="R340" s="79"/>
      <c r="S340" s="101">
        <f>SUMPRODUCT(S216:S218,S$70:S$72,S$253:S$255) * hours_in_year * S$122</f>
        <v>2.0320801121539684</v>
      </c>
      <c r="T340" s="101">
        <f>SUMPRODUCT(T216:T218,T$70:T$72,T$253:T$255) * hours_in_year * T$122</f>
        <v>1.700356414869262</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231</v>
      </c>
      <c r="G341" s="28" t="s">
        <v>343</v>
      </c>
      <c r="J341" s="101">
        <f t="shared" ref="J341:O341" si="109">SUMPRODUCT(J221:J223,J$70:J$72,J$253:J$255) * hours_in_year * J$122</f>
        <v>2.0484414663244923</v>
      </c>
      <c r="K341" s="101">
        <f t="shared" si="109"/>
        <v>1.7181937569790862</v>
      </c>
      <c r="L341" s="101">
        <f t="shared" si="109"/>
        <v>0.69633709578290515</v>
      </c>
      <c r="M341" s="101">
        <f t="shared" si="109"/>
        <v>1.8863551915518073</v>
      </c>
      <c r="N341" s="101">
        <f t="shared" si="109"/>
        <v>1.659909444382992</v>
      </c>
      <c r="O341" s="101">
        <f t="shared" si="109"/>
        <v>0.35261535799896354</v>
      </c>
      <c r="P341" s="79"/>
      <c r="Q341" s="79"/>
      <c r="R341" s="79"/>
      <c r="S341" s="101">
        <f>SUMPRODUCT(S221:S223,S$70:S$72,S$253:S$255) * hours_in_year * S$122</f>
        <v>1.9952399102509721</v>
      </c>
      <c r="T341" s="101">
        <f>SUMPRODUCT(T221:T223,T$70:T$72,T$253:T$255) * hours_in_year * T$122</f>
        <v>1.7057860712279709</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232</v>
      </c>
      <c r="G342" s="28" t="s">
        <v>343</v>
      </c>
      <c r="J342" s="101">
        <f t="shared" ref="J342:O342" si="110">SUMPRODUCT(J226:J228,J$70:J$72,J$253:J$255) * hours_in_year * J$122</f>
        <v>2.0484414663244923</v>
      </c>
      <c r="K342" s="101">
        <f t="shared" si="110"/>
        <v>1.7181937569790862</v>
      </c>
      <c r="L342" s="101">
        <f t="shared" si="110"/>
        <v>0.69633709578290515</v>
      </c>
      <c r="M342" s="101">
        <f t="shared" si="110"/>
        <v>1.8863551915518073</v>
      </c>
      <c r="N342" s="101">
        <f t="shared" si="110"/>
        <v>1.659909444382992</v>
      </c>
      <c r="O342" s="101">
        <f t="shared" si="110"/>
        <v>0.35261535799896354</v>
      </c>
      <c r="P342" s="79"/>
      <c r="Q342" s="79"/>
      <c r="R342" s="79"/>
      <c r="S342" s="101">
        <f>SUMPRODUCT(S226:S228,S$70:S$72,S$253:S$255) * hours_in_year * S$122</f>
        <v>1.9952399102509721</v>
      </c>
      <c r="T342" s="101">
        <f>SUMPRODUCT(T226:T228,T$70:T$72,T$253:T$255) * hours_in_year * T$122</f>
        <v>1.7057860712279709</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233</v>
      </c>
      <c r="G343" s="28" t="s">
        <v>343</v>
      </c>
      <c r="J343" s="101">
        <f t="shared" ref="J343:O343" si="111">SUMPRODUCT(J231:J233,J$70:J$72,J$253:J$255) * hours_in_year * J$122</f>
        <v>2.1192294549103186</v>
      </c>
      <c r="K343" s="101">
        <f t="shared" si="111"/>
        <v>1.7604286282065711</v>
      </c>
      <c r="L343" s="101">
        <f t="shared" si="111"/>
        <v>0.62965889206335846</v>
      </c>
      <c r="M343" s="101">
        <f t="shared" si="111"/>
        <v>1.8665094531664688</v>
      </c>
      <c r="N343" s="101">
        <f t="shared" si="111"/>
        <v>1.6486335838688131</v>
      </c>
      <c r="O343" s="101">
        <f t="shared" si="111"/>
        <v>0.28200915376361751</v>
      </c>
      <c r="P343" s="79"/>
      <c r="Q343" s="79"/>
      <c r="R343" s="79"/>
      <c r="S343" s="101">
        <f>SUMPRODUCT(S231:S233,S$70:S$72,S$253:S$255) * hours_in_year * S$122</f>
        <v>2.0320801121539684</v>
      </c>
      <c r="T343" s="101">
        <f>SUMPRODUCT(T231:T233,T$70:T$72,T$253:T$255) * hours_in_year * T$122</f>
        <v>1.700356414869262</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234</v>
      </c>
      <c r="G344" s="28" t="s">
        <v>343</v>
      </c>
      <c r="J344" s="101">
        <f t="shared" ref="J344:O344" si="112">SUMPRODUCT(J236:J238,J$70:J$72,J$253:J$255) * hours_in_year * J$122</f>
        <v>2.0484414663244923</v>
      </c>
      <c r="K344" s="101">
        <f t="shared" si="112"/>
        <v>1.7181937569790862</v>
      </c>
      <c r="L344" s="101">
        <f t="shared" si="112"/>
        <v>0.69633709578290515</v>
      </c>
      <c r="M344" s="101">
        <f t="shared" si="112"/>
        <v>1.8863551915518073</v>
      </c>
      <c r="N344" s="101">
        <f t="shared" si="112"/>
        <v>1.659909444382992</v>
      </c>
      <c r="O344" s="101">
        <f t="shared" si="112"/>
        <v>0.35261535799896354</v>
      </c>
      <c r="P344" s="79"/>
      <c r="Q344" s="79"/>
      <c r="R344" s="79"/>
      <c r="S344" s="101">
        <f>SUMPRODUCT(S236:S238,S$70:S$72,S$253:S$255) * hours_in_year * S$122</f>
        <v>1.9952399102509721</v>
      </c>
      <c r="T344" s="101">
        <f>SUMPRODUCT(T236:T238,T$70:T$72,T$253:T$255) * hours_in_year * T$122</f>
        <v>1.7057860712279709</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235</v>
      </c>
      <c r="G345" s="28" t="s">
        <v>343</v>
      </c>
      <c r="J345" s="101">
        <f t="shared" ref="J345:O345" si="113">SUMPRODUCT(J241:J243,J$70:J$72,J$253:J$255) * hours_in_year * J$122</f>
        <v>2.0484414663244923</v>
      </c>
      <c r="K345" s="101">
        <f t="shared" si="113"/>
        <v>1.7181937569790862</v>
      </c>
      <c r="L345" s="101">
        <f t="shared" si="113"/>
        <v>0.69633709578290515</v>
      </c>
      <c r="M345" s="101">
        <f t="shared" si="113"/>
        <v>1.8863551915518073</v>
      </c>
      <c r="N345" s="101">
        <f t="shared" si="113"/>
        <v>1.659909444382992</v>
      </c>
      <c r="O345" s="101">
        <f t="shared" si="113"/>
        <v>0.35261535799896354</v>
      </c>
      <c r="P345" s="79"/>
      <c r="Q345" s="79"/>
      <c r="R345" s="79"/>
      <c r="S345" s="101">
        <f>SUMPRODUCT(S241:S243,S$70:S$72,S$253:S$255) * hours_in_year * S$122</f>
        <v>1.9952399102509721</v>
      </c>
      <c r="T345" s="101">
        <f>SUMPRODUCT(T241:T243,T$70:T$72,T$253:T$255) * hours_in_year * T$122</f>
        <v>1.7057860712279709</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236</v>
      </c>
      <c r="G346" s="67" t="s">
        <v>343</v>
      </c>
      <c r="H346" s="144"/>
      <c r="I346" s="37"/>
      <c r="J346" s="103">
        <f t="shared" ref="J346:O346" si="114">SUMPRODUCT(J246:J248,J$70:J$72,J$253:J$255) * hours_in_year * J$122</f>
        <v>2.0484414663244923</v>
      </c>
      <c r="K346" s="103">
        <f t="shared" si="114"/>
        <v>1.7181937569790862</v>
      </c>
      <c r="L346" s="103">
        <f t="shared" si="114"/>
        <v>0.69633709578290515</v>
      </c>
      <c r="M346" s="103">
        <f t="shared" si="114"/>
        <v>1.8863551915518073</v>
      </c>
      <c r="N346" s="103">
        <f t="shared" si="114"/>
        <v>1.659909444382992</v>
      </c>
      <c r="O346" s="103">
        <f t="shared" si="114"/>
        <v>0.35261535799896354</v>
      </c>
      <c r="P346" s="81"/>
      <c r="Q346" s="81"/>
      <c r="R346" s="81"/>
      <c r="S346" s="103">
        <f>SUMPRODUCT(S246:S248,S$70:S$72,S$253:S$255) * hours_in_year * S$122</f>
        <v>1.9952399102509721</v>
      </c>
      <c r="T346" s="103">
        <f>SUMPRODUCT(T246:T248,T$70:T$72,T$253:T$255) * hours_in_year * T$122</f>
        <v>1.7057860712279709</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585</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228</v>
      </c>
      <c r="G349" s="23" t="s">
        <v>209</v>
      </c>
      <c r="H349" s="23"/>
      <c r="I349" s="23"/>
      <c r="J349" s="163">
        <f t="shared" ref="J349:O357" si="115">J338 * J$39</f>
        <v>12825987.458920103</v>
      </c>
      <c r="K349" s="163">
        <f t="shared" si="115"/>
        <v>5894934.8126204079</v>
      </c>
      <c r="L349" s="163">
        <f t="shared" si="115"/>
        <v>13485.661787772689</v>
      </c>
      <c r="M349" s="163">
        <f t="shared" si="115"/>
        <v>2130269.2501707198</v>
      </c>
      <c r="N349" s="163">
        <f t="shared" si="115"/>
        <v>3188399.4955152292</v>
      </c>
      <c r="O349" s="163">
        <f t="shared" si="115"/>
        <v>582.9345468593292</v>
      </c>
      <c r="P349" s="83"/>
      <c r="Q349" s="83"/>
      <c r="R349" s="83"/>
      <c r="S349" s="163">
        <f t="shared" ref="S349:T357" si="116">S338 * S$39</f>
        <v>50931.819844728598</v>
      </c>
      <c r="T349" s="163">
        <f t="shared" si="116"/>
        <v>307464.88533831865</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229</v>
      </c>
      <c r="G350" t="s">
        <v>209</v>
      </c>
      <c r="J350" s="92">
        <f t="shared" si="115"/>
        <v>12468042.662292713</v>
      </c>
      <c r="K350" s="92">
        <f t="shared" si="115"/>
        <v>5760536.4714776827</v>
      </c>
      <c r="L350" s="92">
        <f t="shared" si="115"/>
        <v>14971.910828042001</v>
      </c>
      <c r="M350" s="92">
        <f t="shared" si="115"/>
        <v>2168522.766869152</v>
      </c>
      <c r="N350" s="92">
        <f t="shared" si="115"/>
        <v>3220959.7313380782</v>
      </c>
      <c r="O350" s="92">
        <f t="shared" si="115"/>
        <v>735.62923501924558</v>
      </c>
      <c r="P350" s="79"/>
      <c r="Q350" s="79"/>
      <c r="R350" s="79"/>
      <c r="S350" s="92">
        <f t="shared" si="116"/>
        <v>50135.700706432035</v>
      </c>
      <c r="T350" s="92">
        <f t="shared" si="116"/>
        <v>309912.68024355907</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230</v>
      </c>
      <c r="G351" t="s">
        <v>209</v>
      </c>
      <c r="J351" s="92">
        <f t="shared" si="115"/>
        <v>12468042.662292713</v>
      </c>
      <c r="K351" s="92">
        <f t="shared" si="115"/>
        <v>5760536.4714776827</v>
      </c>
      <c r="L351" s="92">
        <f t="shared" si="115"/>
        <v>14971.910828042001</v>
      </c>
      <c r="M351" s="92">
        <f t="shared" si="115"/>
        <v>2168522.766869152</v>
      </c>
      <c r="N351" s="92">
        <f t="shared" si="115"/>
        <v>3220959.7313380782</v>
      </c>
      <c r="O351" s="92">
        <f t="shared" si="115"/>
        <v>735.62923501924558</v>
      </c>
      <c r="P351" s="79"/>
      <c r="Q351" s="79"/>
      <c r="R351" s="79"/>
      <c r="S351" s="92">
        <f t="shared" si="116"/>
        <v>50135.700706432035</v>
      </c>
      <c r="T351" s="92">
        <f t="shared" si="116"/>
        <v>309912.68024355907</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231</v>
      </c>
      <c r="G352" t="s">
        <v>209</v>
      </c>
      <c r="J352" s="101">
        <f t="shared" si="115"/>
        <v>12051576.356758412</v>
      </c>
      <c r="K352" s="101">
        <f t="shared" si="115"/>
        <v>5622334.0404470386</v>
      </c>
      <c r="L352" s="101">
        <f t="shared" si="115"/>
        <v>16557.372627829653</v>
      </c>
      <c r="M352" s="101">
        <f t="shared" si="115"/>
        <v>2191579.6742107817</v>
      </c>
      <c r="N352" s="101">
        <f t="shared" si="115"/>
        <v>3242989.5462149084</v>
      </c>
      <c r="O352" s="101">
        <f t="shared" si="115"/>
        <v>919.80761120343413</v>
      </c>
      <c r="P352" s="79"/>
      <c r="Q352" s="79"/>
      <c r="R352" s="79"/>
      <c r="S352" s="101">
        <f t="shared" si="116"/>
        <v>49226.775253382177</v>
      </c>
      <c r="T352" s="101">
        <f t="shared" si="116"/>
        <v>310902.30767708644</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232</v>
      </c>
      <c r="G353" t="s">
        <v>209</v>
      </c>
      <c r="J353" s="101">
        <f t="shared" si="115"/>
        <v>12051576.356758412</v>
      </c>
      <c r="K353" s="101">
        <f t="shared" si="115"/>
        <v>5622334.0404470386</v>
      </c>
      <c r="L353" s="101">
        <f t="shared" si="115"/>
        <v>16557.372627829653</v>
      </c>
      <c r="M353" s="101">
        <f t="shared" si="115"/>
        <v>2191579.6742107817</v>
      </c>
      <c r="N353" s="101">
        <f t="shared" si="115"/>
        <v>3242989.5462149084</v>
      </c>
      <c r="O353" s="101">
        <f t="shared" si="115"/>
        <v>919.80761120343413</v>
      </c>
      <c r="P353" s="79"/>
      <c r="Q353" s="79"/>
      <c r="R353" s="79"/>
      <c r="S353" s="101">
        <f t="shared" si="116"/>
        <v>49226.775253382177</v>
      </c>
      <c r="T353" s="101">
        <f t="shared" si="116"/>
        <v>310902.30767708644</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233</v>
      </c>
      <c r="G354" t="s">
        <v>209</v>
      </c>
      <c r="J354" s="101">
        <f t="shared" si="115"/>
        <v>12468042.662292713</v>
      </c>
      <c r="K354" s="101">
        <f t="shared" si="115"/>
        <v>5760536.4714776827</v>
      </c>
      <c r="L354" s="101">
        <f t="shared" si="115"/>
        <v>14971.910828042001</v>
      </c>
      <c r="M354" s="101">
        <f t="shared" si="115"/>
        <v>2168522.766869152</v>
      </c>
      <c r="N354" s="101">
        <f t="shared" si="115"/>
        <v>3220959.7313380782</v>
      </c>
      <c r="O354" s="101">
        <f t="shared" si="115"/>
        <v>735.62923501924558</v>
      </c>
      <c r="P354" s="79"/>
      <c r="Q354" s="79"/>
      <c r="R354" s="79"/>
      <c r="S354" s="101">
        <f t="shared" si="116"/>
        <v>50135.700706432035</v>
      </c>
      <c r="T354" s="101">
        <f t="shared" si="116"/>
        <v>309912.68024355907</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234</v>
      </c>
      <c r="G355" t="s">
        <v>209</v>
      </c>
      <c r="J355" s="92">
        <f t="shared" si="115"/>
        <v>12051576.356758412</v>
      </c>
      <c r="K355" s="92">
        <f t="shared" si="115"/>
        <v>5622334.0404470386</v>
      </c>
      <c r="L355" s="92">
        <f t="shared" si="115"/>
        <v>16557.372627829653</v>
      </c>
      <c r="M355" s="92">
        <f t="shared" si="115"/>
        <v>2191579.6742107817</v>
      </c>
      <c r="N355" s="92">
        <f t="shared" si="115"/>
        <v>3242989.5462149084</v>
      </c>
      <c r="O355" s="92">
        <f t="shared" si="115"/>
        <v>919.80761120343413</v>
      </c>
      <c r="P355" s="79"/>
      <c r="Q355" s="79"/>
      <c r="R355" s="79"/>
      <c r="S355" s="92">
        <f t="shared" si="116"/>
        <v>49226.775253382177</v>
      </c>
      <c r="T355" s="92">
        <f t="shared" si="116"/>
        <v>310902.30767708644</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235</v>
      </c>
      <c r="G356" t="s">
        <v>209</v>
      </c>
      <c r="J356" s="92">
        <f t="shared" si="115"/>
        <v>12051576.356758412</v>
      </c>
      <c r="K356" s="92">
        <f t="shared" si="115"/>
        <v>5622334.0404470386</v>
      </c>
      <c r="L356" s="92">
        <f t="shared" si="115"/>
        <v>16557.372627829653</v>
      </c>
      <c r="M356" s="92">
        <f t="shared" si="115"/>
        <v>2191579.6742107817</v>
      </c>
      <c r="N356" s="92">
        <f t="shared" si="115"/>
        <v>3242989.5462149084</v>
      </c>
      <c r="O356" s="92">
        <f t="shared" si="115"/>
        <v>919.80761120343413</v>
      </c>
      <c r="P356" s="79"/>
      <c r="Q356" s="79"/>
      <c r="R356" s="79"/>
      <c r="S356" s="92">
        <f t="shared" si="116"/>
        <v>49226.775253382177</v>
      </c>
      <c r="T356" s="92">
        <f t="shared" si="116"/>
        <v>310902.30767708644</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236</v>
      </c>
      <c r="G357" s="37" t="s">
        <v>209</v>
      </c>
      <c r="H357" s="144"/>
      <c r="I357" s="37"/>
      <c r="J357" s="103">
        <f t="shared" si="115"/>
        <v>12051576.356758412</v>
      </c>
      <c r="K357" s="103">
        <f t="shared" si="115"/>
        <v>5622334.0404470386</v>
      </c>
      <c r="L357" s="103">
        <f t="shared" si="115"/>
        <v>16557.372627829653</v>
      </c>
      <c r="M357" s="103">
        <f t="shared" si="115"/>
        <v>2191579.6742107817</v>
      </c>
      <c r="N357" s="103">
        <f t="shared" si="115"/>
        <v>3242989.5462149084</v>
      </c>
      <c r="O357" s="103">
        <f t="shared" si="115"/>
        <v>919.80761120343413</v>
      </c>
      <c r="P357" s="81"/>
      <c r="Q357" s="81"/>
      <c r="R357" s="81"/>
      <c r="S357" s="103">
        <f t="shared" si="116"/>
        <v>49226.775253382177</v>
      </c>
      <c r="T357" s="103">
        <f t="shared" si="116"/>
        <v>310902.30767708644</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586</v>
      </c>
      <c r="F361" s="32"/>
      <c r="I361" s="3" t="s">
        <v>191</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577</v>
      </c>
    </row>
    <row r="362" spans="3:44" x14ac:dyDescent="0.25">
      <c r="E362" s="32"/>
      <c r="F362" s="23" t="s">
        <v>272</v>
      </c>
      <c r="G362" s="23" t="s">
        <v>587</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277</v>
      </c>
      <c r="G363" s="37" t="s">
        <v>587</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588</v>
      </c>
      <c r="H367" s="131" t="s">
        <v>589</v>
      </c>
    </row>
    <row r="368" spans="3:44" x14ac:dyDescent="0.25">
      <c r="F368" s="64" t="s">
        <v>354</v>
      </c>
      <c r="G368" s="64" t="s">
        <v>204</v>
      </c>
      <c r="H368" s="174" t="s">
        <v>274</v>
      </c>
      <c r="I368" s="23"/>
      <c r="J368" s="65"/>
      <c r="K368" s="65"/>
      <c r="L368" s="65"/>
      <c r="M368" s="65"/>
      <c r="N368" s="65"/>
      <c r="O368" s="65"/>
      <c r="P368" s="65"/>
      <c r="Q368" s="65"/>
      <c r="R368" s="65"/>
      <c r="S368" s="175">
        <f>IF(SUMIF($J$362:$AP$362, $H368, $J$39:$AP$39) &lt;&gt; 0, SUMIF($J$362:$AP$362, $H368, $J73:$AP73) / SUMIF($J$362:$AP$362, $H368, $J$39:$AP$39), 0)</f>
        <v>0.1227753434158535</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355</v>
      </c>
      <c r="G369" s="28" t="s">
        <v>204</v>
      </c>
      <c r="H369" s="14" t="s">
        <v>274</v>
      </c>
      <c r="J369" s="66"/>
      <c r="K369" s="66"/>
      <c r="L369" s="66"/>
      <c r="M369" s="66"/>
      <c r="N369" s="66"/>
      <c r="O369" s="66"/>
      <c r="P369" s="66"/>
      <c r="Q369" s="66"/>
      <c r="R369" s="66"/>
      <c r="S369" s="177">
        <f>IF(SUMIF($J$362:$AP$362, $H369, $J$39:$AP$39) &lt;&gt; 0, SUMIF($J$362:$AP$362, $H369, $J74:$AP74) / SUMIF($J$362:$AP$362, $H369, $J$39:$AP$39), 0)</f>
        <v>0.34255748106558936</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314</v>
      </c>
      <c r="G370" s="67" t="s">
        <v>204</v>
      </c>
      <c r="H370" s="178" t="s">
        <v>274</v>
      </c>
      <c r="I370" s="37"/>
      <c r="J370" s="68"/>
      <c r="K370" s="68"/>
      <c r="L370" s="68"/>
      <c r="M370" s="68"/>
      <c r="N370" s="68"/>
      <c r="O370" s="68"/>
      <c r="P370" s="68"/>
      <c r="Q370" s="68"/>
      <c r="R370" s="68"/>
      <c r="S370" s="179">
        <f>IF(SUMIF($J$362:$AP$362, $H370, $J$39:$AP$39) &lt;&gt; 0, SUMIF($J$362:$AP$362, $H370, $J75:$AP75) / SUMIF($J$362:$AP$362, $H370, $J$39:$AP$39), 0)</f>
        <v>0.53466717551855703</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590</v>
      </c>
      <c r="H372" s="131" t="s">
        <v>589</v>
      </c>
      <c r="S372" s="181"/>
      <c r="T372" s="181"/>
    </row>
    <row r="373" spans="5:42" x14ac:dyDescent="0.25">
      <c r="F373" s="64" t="s">
        <v>354</v>
      </c>
      <c r="G373" s="64" t="s">
        <v>204</v>
      </c>
      <c r="H373" s="174" t="s">
        <v>275</v>
      </c>
      <c r="I373" s="23"/>
      <c r="J373" s="65"/>
      <c r="K373" s="65"/>
      <c r="L373" s="65"/>
      <c r="M373" s="65"/>
      <c r="N373" s="65"/>
      <c r="O373" s="65"/>
      <c r="P373" s="65"/>
      <c r="Q373" s="65"/>
      <c r="R373" s="65"/>
      <c r="S373" s="176"/>
      <c r="T373" s="175">
        <f>IF(SUMIF($J$362:$AP$362, $H373, $J$39:$AP$39) &lt;&gt; 0, SUMIF($J$362:$AP$362, $H373, $J73:$AP73) / SUMIF($J$362:$AP$362, $H373, $J$39:$AP$39), 0)</f>
        <v>0.10547116050116753</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355</v>
      </c>
      <c r="G374" s="28" t="s">
        <v>204</v>
      </c>
      <c r="H374" s="14" t="s">
        <v>275</v>
      </c>
      <c r="J374" s="66"/>
      <c r="K374" s="66"/>
      <c r="L374" s="66"/>
      <c r="M374" s="66"/>
      <c r="N374" s="66"/>
      <c r="O374" s="66"/>
      <c r="P374" s="66"/>
      <c r="Q374" s="66"/>
      <c r="R374" s="66"/>
      <c r="S374" s="97"/>
      <c r="T374" s="177">
        <f>IF(SUMIF($J$362:$AP$362, $H374, $J$39:$AP$39) &lt;&gt; 0, SUMIF($J$362:$AP$362, $H374, $J74:$AP74) / SUMIF($J$362:$AP$362, $H374, $J$39:$AP$39), 0)</f>
        <v>0.43813720859853444</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314</v>
      </c>
      <c r="G375" s="67" t="s">
        <v>204</v>
      </c>
      <c r="H375" s="178" t="s">
        <v>275</v>
      </c>
      <c r="I375" s="37"/>
      <c r="J375" s="68"/>
      <c r="K375" s="68"/>
      <c r="L375" s="68"/>
      <c r="M375" s="68"/>
      <c r="N375" s="68"/>
      <c r="O375" s="68"/>
      <c r="P375" s="68"/>
      <c r="Q375" s="68"/>
      <c r="R375" s="68"/>
      <c r="S375" s="180"/>
      <c r="T375" s="179">
        <f>IF(SUMIF($J$362:$AP$362, $H375, $J$39:$AP$39) &lt;&gt; 0, SUMIF($J$362:$AP$362, $H375, $J75:$AP75) / SUMIF($J$362:$AP$362, $H375, $J$39:$AP$39), 0)</f>
        <v>0.45639163090029788</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591</v>
      </c>
      <c r="H377" s="131"/>
      <c r="S377" s="181"/>
      <c r="T377" s="181"/>
    </row>
    <row r="378" spans="5:42" x14ac:dyDescent="0.25">
      <c r="F378" s="64" t="s">
        <v>354</v>
      </c>
      <c r="G378" s="64" t="s">
        <v>204</v>
      </c>
      <c r="H378" s="174"/>
      <c r="I378" s="23"/>
      <c r="J378" s="65"/>
      <c r="K378" s="65"/>
      <c r="L378" s="65"/>
      <c r="M378" s="65"/>
      <c r="N378" s="65"/>
      <c r="O378" s="65"/>
      <c r="P378" s="65"/>
      <c r="Q378" s="65"/>
      <c r="R378" s="65"/>
      <c r="S378" s="175">
        <f>S368 + S373</f>
        <v>0.1227753434158535</v>
      </c>
      <c r="T378" s="175">
        <f>T368 + T373</f>
        <v>0.10547116050116753</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355</v>
      </c>
      <c r="G379" s="28" t="s">
        <v>204</v>
      </c>
      <c r="H379" s="14"/>
      <c r="J379" s="66"/>
      <c r="K379" s="66"/>
      <c r="L379" s="66"/>
      <c r="M379" s="66"/>
      <c r="N379" s="66"/>
      <c r="O379" s="66"/>
      <c r="P379" s="66"/>
      <c r="Q379" s="66"/>
      <c r="R379" s="66"/>
      <c r="S379" s="177">
        <f t="shared" ref="S379:T380" si="117">S369 + S374</f>
        <v>0.34255748106558936</v>
      </c>
      <c r="T379" s="177">
        <f t="shared" si="117"/>
        <v>0.43813720859853444</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314</v>
      </c>
      <c r="G380" s="67" t="s">
        <v>204</v>
      </c>
      <c r="H380" s="178"/>
      <c r="I380" s="37"/>
      <c r="J380" s="68"/>
      <c r="K380" s="68"/>
      <c r="L380" s="68"/>
      <c r="M380" s="68"/>
      <c r="N380" s="68"/>
      <c r="O380" s="68"/>
      <c r="P380" s="68"/>
      <c r="Q380" s="68"/>
      <c r="R380" s="68"/>
      <c r="S380" s="179">
        <f t="shared" si="117"/>
        <v>0.53466717551855703</v>
      </c>
      <c r="T380" s="179">
        <f t="shared" si="117"/>
        <v>0.45639163090029788</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592</v>
      </c>
      <c r="G382" s="28"/>
    </row>
    <row r="383" spans="5:42" x14ac:dyDescent="0.25">
      <c r="F383" s="64" t="s">
        <v>228</v>
      </c>
      <c r="G383" s="64" t="s">
        <v>343</v>
      </c>
      <c r="H383" s="23"/>
      <c r="I383" s="23"/>
      <c r="J383" s="83"/>
      <c r="K383" s="83"/>
      <c r="L383" s="83"/>
      <c r="M383" s="83"/>
      <c r="N383" s="83"/>
      <c r="O383" s="83"/>
      <c r="P383" s="83"/>
      <c r="Q383" s="83"/>
      <c r="R383" s="83"/>
      <c r="S383" s="129">
        <f>SUMPRODUCT(S206:S208,S$378:S$380,S$253:S$255) * hours_in_year * S$122</f>
        <v>2.3241577282901678</v>
      </c>
      <c r="T383" s="129">
        <f>SUMPRODUCT(T206:T208,T$378:T$380,T$253:T$255) * hours_in_year * T$122</f>
        <v>1.6564730885743215</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229</v>
      </c>
      <c r="G384" s="28" t="s">
        <v>343</v>
      </c>
      <c r="J384" s="79"/>
      <c r="K384" s="79"/>
      <c r="L384" s="79"/>
      <c r="M384" s="79"/>
      <c r="N384" s="79"/>
      <c r="O384" s="79"/>
      <c r="P384" s="79"/>
      <c r="Q384" s="79"/>
      <c r="R384" s="79"/>
      <c r="S384" s="101">
        <f>SUMPRODUCT(S211:S213,S$378:S$380,S$253:S$255) * hours_in_year * S$122</f>
        <v>2.2632210444454981</v>
      </c>
      <c r="T384" s="101">
        <f>SUMPRODUCT(T211:T213,T$378:T$380,T$253:T$255) * hours_in_year * T$122</f>
        <v>1.67877818174783</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230</v>
      </c>
      <c r="G385" s="28" t="s">
        <v>343</v>
      </c>
      <c r="J385" s="79"/>
      <c r="K385" s="79"/>
      <c r="L385" s="79"/>
      <c r="M385" s="79"/>
      <c r="N385" s="79"/>
      <c r="O385" s="79"/>
      <c r="P385" s="79"/>
      <c r="Q385" s="79"/>
      <c r="R385" s="79"/>
      <c r="S385" s="101">
        <f>SUMPRODUCT(S216:S218,S$378:S$380,S$253:S$255) * hours_in_year * S$122</f>
        <v>2.2632210444454981</v>
      </c>
      <c r="T385" s="101">
        <f>SUMPRODUCT(T216:T218,T$378:T$380,T$253:T$255) * hours_in_year * T$122</f>
        <v>1.67877818174783</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231</v>
      </c>
      <c r="G386" s="28" t="s">
        <v>343</v>
      </c>
      <c r="J386" s="79"/>
      <c r="K386" s="79"/>
      <c r="L386" s="79"/>
      <c r="M386" s="79"/>
      <c r="N386" s="79"/>
      <c r="O386" s="79"/>
      <c r="P386" s="79"/>
      <c r="Q386" s="79"/>
      <c r="R386" s="79"/>
      <c r="S386" s="101">
        <f>SUMPRODUCT(S221:S223,S$378:S$380,S$253:S$255) * hours_in_year * S$122</f>
        <v>2.1944508153253222</v>
      </c>
      <c r="T386" s="101">
        <f>SUMPRODUCT(T221:T223,T$378:T$380,T$253:T$255) * hours_in_year * T$122</f>
        <v>1.6929935645097414</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232</v>
      </c>
      <c r="G387" s="28" t="s">
        <v>343</v>
      </c>
      <c r="J387" s="79"/>
      <c r="K387" s="79"/>
      <c r="L387" s="79"/>
      <c r="M387" s="79"/>
      <c r="N387" s="79"/>
      <c r="O387" s="79"/>
      <c r="P387" s="79"/>
      <c r="Q387" s="79"/>
      <c r="R387" s="79"/>
      <c r="S387" s="101">
        <f>SUMPRODUCT(S226:S228,S$378:S$380,S$253:S$255) * hours_in_year * S$122</f>
        <v>2.1944508153253222</v>
      </c>
      <c r="T387" s="101">
        <f>SUMPRODUCT(T226:T228,T$378:T$380,T$253:T$255) * hours_in_year * T$122</f>
        <v>1.6929935645097414</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233</v>
      </c>
      <c r="G388" s="28" t="s">
        <v>343</v>
      </c>
      <c r="J388" s="79"/>
      <c r="K388" s="79"/>
      <c r="L388" s="79"/>
      <c r="M388" s="79"/>
      <c r="N388" s="79"/>
      <c r="O388" s="79"/>
      <c r="P388" s="79"/>
      <c r="Q388" s="79"/>
      <c r="R388" s="79"/>
      <c r="S388" s="101">
        <f>SUMPRODUCT(S231:S233,S$378:S$380,S$253:S$255) * hours_in_year * S$122</f>
        <v>2.2632210444454981</v>
      </c>
      <c r="T388" s="101">
        <f>SUMPRODUCT(T231:T233,T$378:T$380,T$253:T$255) * hours_in_year * T$122</f>
        <v>1.67877818174783</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234</v>
      </c>
      <c r="G389" s="28" t="s">
        <v>343</v>
      </c>
      <c r="J389" s="79"/>
      <c r="K389" s="79"/>
      <c r="L389" s="79"/>
      <c r="M389" s="79"/>
      <c r="N389" s="79"/>
      <c r="O389" s="79"/>
      <c r="P389" s="79"/>
      <c r="Q389" s="79"/>
      <c r="R389" s="79"/>
      <c r="S389" s="101">
        <f>SUMPRODUCT(S236:S238,S$378:S$380,S$253:S$255) * hours_in_year * S$122</f>
        <v>2.1944508153253222</v>
      </c>
      <c r="T389" s="101">
        <f>SUMPRODUCT(T236:T238,T$378:T$380,T$253:T$255) * hours_in_year * T$122</f>
        <v>1.6929935645097414</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235</v>
      </c>
      <c r="G390" s="28" t="s">
        <v>343</v>
      </c>
      <c r="J390" s="79"/>
      <c r="K390" s="79"/>
      <c r="L390" s="79"/>
      <c r="M390" s="79"/>
      <c r="N390" s="79"/>
      <c r="O390" s="79"/>
      <c r="P390" s="79"/>
      <c r="Q390" s="79"/>
      <c r="R390" s="79"/>
      <c r="S390" s="101">
        <f>SUMPRODUCT(S241:S243,S$378:S$380,S$253:S$255) * hours_in_year * S$122</f>
        <v>2.1944508153253222</v>
      </c>
      <c r="T390" s="101">
        <f>SUMPRODUCT(T241:T243,T$378:T$380,T$253:T$255) * hours_in_year * T$122</f>
        <v>1.6929935645097414</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236</v>
      </c>
      <c r="G391" s="67" t="s">
        <v>343</v>
      </c>
      <c r="H391" s="144"/>
      <c r="I391" s="37"/>
      <c r="J391" s="81"/>
      <c r="K391" s="81"/>
      <c r="L391" s="81"/>
      <c r="M391" s="81"/>
      <c r="N391" s="81"/>
      <c r="O391" s="81"/>
      <c r="P391" s="81"/>
      <c r="Q391" s="81"/>
      <c r="R391" s="81"/>
      <c r="S391" s="103">
        <f>SUMPRODUCT(S246:S248,S$378:S$380,S$253:S$255) * hours_in_year * S$122</f>
        <v>2.1944508153253222</v>
      </c>
      <c r="T391" s="103">
        <f>SUMPRODUCT(T246:T248,T$378:T$380,T$253:T$255) * hours_in_year * T$122</f>
        <v>1.6929935645097414</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593</v>
      </c>
      <c r="G395" s="28"/>
    </row>
    <row r="396" spans="3:44" x14ac:dyDescent="0.25">
      <c r="E396" s="172"/>
      <c r="F396" s="23" t="s">
        <v>228</v>
      </c>
      <c r="G396" s="64" t="s">
        <v>343</v>
      </c>
      <c r="H396" s="163">
        <f t="shared" ref="H396:H404" si="118">IF(SUM($J$39:$L$39) &lt;&gt; 0, SUMPRODUCT($J338:$L338,$J$39:$L$39) / SUM($J$39:$L$39), 0)</f>
        <v>2.0409400160089288</v>
      </c>
    </row>
    <row r="397" spans="3:44" x14ac:dyDescent="0.25">
      <c r="E397" s="172"/>
      <c r="F397" t="s">
        <v>229</v>
      </c>
      <c r="G397" s="28" t="s">
        <v>343</v>
      </c>
      <c r="H397" s="92">
        <f t="shared" si="118"/>
        <v>1.9874657098068</v>
      </c>
    </row>
    <row r="398" spans="3:44" x14ac:dyDescent="0.25">
      <c r="E398" s="172"/>
      <c r="F398" t="s">
        <v>230</v>
      </c>
      <c r="G398" s="28" t="s">
        <v>343</v>
      </c>
      <c r="H398" s="92">
        <f t="shared" si="118"/>
        <v>1.9874657098068</v>
      </c>
    </row>
    <row r="399" spans="3:44" x14ac:dyDescent="0.25">
      <c r="E399" s="172"/>
      <c r="F399" t="s">
        <v>231</v>
      </c>
      <c r="G399" s="28" t="s">
        <v>343</v>
      </c>
      <c r="H399" s="92">
        <f t="shared" si="118"/>
        <v>1.9272124158852271</v>
      </c>
    </row>
    <row r="400" spans="3:44" x14ac:dyDescent="0.25">
      <c r="E400" s="172"/>
      <c r="F400" t="s">
        <v>232</v>
      </c>
      <c r="G400" s="28" t="s">
        <v>343</v>
      </c>
      <c r="H400" s="92">
        <f t="shared" si="118"/>
        <v>1.9272124158852271</v>
      </c>
    </row>
    <row r="401" spans="5:8" x14ac:dyDescent="0.25">
      <c r="E401" s="172"/>
      <c r="F401" t="s">
        <v>233</v>
      </c>
      <c r="G401" s="28" t="s">
        <v>343</v>
      </c>
      <c r="H401" s="92">
        <f t="shared" si="118"/>
        <v>1.9874657098068</v>
      </c>
    </row>
    <row r="402" spans="5:8" x14ac:dyDescent="0.25">
      <c r="E402" s="172"/>
      <c r="F402" t="s">
        <v>234</v>
      </c>
      <c r="G402" s="28" t="s">
        <v>343</v>
      </c>
      <c r="H402" s="92">
        <f t="shared" si="118"/>
        <v>1.9272124158852271</v>
      </c>
    </row>
    <row r="403" spans="5:8" x14ac:dyDescent="0.25">
      <c r="E403" s="172"/>
      <c r="F403" t="s">
        <v>235</v>
      </c>
      <c r="G403" s="28" t="s">
        <v>343</v>
      </c>
      <c r="H403" s="92">
        <f t="shared" si="118"/>
        <v>1.9272124158852271</v>
      </c>
    </row>
    <row r="404" spans="5:8" x14ac:dyDescent="0.25">
      <c r="E404" s="172"/>
      <c r="F404" s="37" t="s">
        <v>236</v>
      </c>
      <c r="G404" s="67" t="s">
        <v>343</v>
      </c>
      <c r="H404" s="82">
        <f t="shared" si="118"/>
        <v>1.9272124158852271</v>
      </c>
    </row>
    <row r="405" spans="5:8" x14ac:dyDescent="0.25">
      <c r="E405" s="29"/>
      <c r="G405" s="28"/>
      <c r="H405" s="92"/>
    </row>
    <row r="406" spans="5:8" x14ac:dyDescent="0.25">
      <c r="E406" s="32" t="s">
        <v>594</v>
      </c>
      <c r="G406" s="28"/>
      <c r="H406" s="92"/>
    </row>
    <row r="407" spans="5:8" x14ac:dyDescent="0.25">
      <c r="E407" s="172"/>
      <c r="F407" s="23" t="s">
        <v>228</v>
      </c>
      <c r="G407" s="64" t="s">
        <v>343</v>
      </c>
      <c r="H407" s="129">
        <f t="shared" ref="H407:H415" si="119">IF(SUM($M$39:$O$39) &lt;&gt; 0, SUMPRODUCT($M338:$O338,$M$39:$O$39) / SUM($M$39:$O$39), 0)</f>
        <v>1.7059109529142467</v>
      </c>
    </row>
    <row r="408" spans="5:8" x14ac:dyDescent="0.25">
      <c r="E408" s="172"/>
      <c r="F408" t="s">
        <v>229</v>
      </c>
      <c r="G408" s="28" t="s">
        <v>343</v>
      </c>
      <c r="H408" s="101">
        <f t="shared" si="119"/>
        <v>1.7286702519400634</v>
      </c>
    </row>
    <row r="409" spans="5:8" x14ac:dyDescent="0.25">
      <c r="E409" s="172"/>
      <c r="F409" t="s">
        <v>230</v>
      </c>
      <c r="G409" s="28" t="s">
        <v>343</v>
      </c>
      <c r="H409" s="101">
        <f t="shared" si="119"/>
        <v>1.7286702519400634</v>
      </c>
    </row>
    <row r="410" spans="5:8" x14ac:dyDescent="0.25">
      <c r="E410" s="172"/>
      <c r="F410" t="s">
        <v>231</v>
      </c>
      <c r="G410" s="28" t="s">
        <v>343</v>
      </c>
      <c r="H410" s="101">
        <f t="shared" si="119"/>
        <v>1.7431888590328031</v>
      </c>
    </row>
    <row r="411" spans="5:8" x14ac:dyDescent="0.25">
      <c r="E411" s="172"/>
      <c r="F411" t="s">
        <v>232</v>
      </c>
      <c r="G411" s="28" t="s">
        <v>343</v>
      </c>
      <c r="H411" s="101">
        <f t="shared" si="119"/>
        <v>1.7431888590328031</v>
      </c>
    </row>
    <row r="412" spans="5:8" x14ac:dyDescent="0.25">
      <c r="E412" s="172"/>
      <c r="F412" t="s">
        <v>233</v>
      </c>
      <c r="G412" s="28" t="s">
        <v>343</v>
      </c>
      <c r="H412" s="101">
        <f t="shared" si="119"/>
        <v>1.7286702519400634</v>
      </c>
    </row>
    <row r="413" spans="5:8" x14ac:dyDescent="0.25">
      <c r="E413" s="172"/>
      <c r="F413" t="s">
        <v>234</v>
      </c>
      <c r="G413" s="28" t="s">
        <v>343</v>
      </c>
      <c r="H413" s="101">
        <f t="shared" si="119"/>
        <v>1.7431888590328031</v>
      </c>
    </row>
    <row r="414" spans="5:8" x14ac:dyDescent="0.25">
      <c r="E414" s="172"/>
      <c r="F414" t="s">
        <v>235</v>
      </c>
      <c r="G414" s="28" t="s">
        <v>343</v>
      </c>
      <c r="H414" s="101">
        <f t="shared" si="119"/>
        <v>1.7431888590328031</v>
      </c>
    </row>
    <row r="415" spans="5:8" x14ac:dyDescent="0.25">
      <c r="E415" s="172"/>
      <c r="F415" s="37" t="s">
        <v>236</v>
      </c>
      <c r="G415" s="67" t="s">
        <v>343</v>
      </c>
      <c r="H415" s="103">
        <f t="shared" si="119"/>
        <v>1.7431888590328031</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595</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228</v>
      </c>
      <c r="G420" s="64" t="s">
        <v>343</v>
      </c>
      <c r="H420" s="23"/>
      <c r="I420" s="23"/>
      <c r="J420" s="83"/>
      <c r="K420" s="83"/>
      <c r="L420" s="83"/>
      <c r="M420" s="83"/>
      <c r="N420" s="83"/>
      <c r="O420" s="83"/>
      <c r="P420" s="83"/>
      <c r="Q420" s="83"/>
      <c r="R420" s="83"/>
      <c r="S420" s="163">
        <f>IF(S383 &lt;&gt; 0, H396 / S383, 0)</f>
        <v>0.87814178494262696</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229</v>
      </c>
      <c r="G421" s="28" t="s">
        <v>343</v>
      </c>
      <c r="J421" s="79"/>
      <c r="K421" s="79"/>
      <c r="L421" s="79"/>
      <c r="M421" s="79"/>
      <c r="N421" s="79"/>
      <c r="O421" s="79"/>
      <c r="P421" s="79"/>
      <c r="Q421" s="79"/>
      <c r="R421" s="79"/>
      <c r="S421" s="101">
        <f t="shared" ref="S421:S428" si="120">IF(S384 &lt;&gt; 0, H397 / S384, 0)</f>
        <v>0.87815801937885407</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230</v>
      </c>
      <c r="G422" s="28" t="s">
        <v>343</v>
      </c>
      <c r="J422" s="79"/>
      <c r="K422" s="79"/>
      <c r="L422" s="79"/>
      <c r="M422" s="79"/>
      <c r="N422" s="79"/>
      <c r="O422" s="79"/>
      <c r="P422" s="79"/>
      <c r="Q422" s="79"/>
      <c r="R422" s="79"/>
      <c r="S422" s="101">
        <f t="shared" si="120"/>
        <v>0.87815801937885407</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231</v>
      </c>
      <c r="G423" s="28" t="s">
        <v>343</v>
      </c>
      <c r="J423" s="79"/>
      <c r="K423" s="79"/>
      <c r="L423" s="79"/>
      <c r="M423" s="79"/>
      <c r="N423" s="79"/>
      <c r="O423" s="79"/>
      <c r="P423" s="79"/>
      <c r="Q423" s="79"/>
      <c r="R423" s="79"/>
      <c r="S423" s="101">
        <f t="shared" si="120"/>
        <v>0.8782208297521229</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232</v>
      </c>
      <c r="G424" s="28" t="s">
        <v>343</v>
      </c>
      <c r="J424" s="79"/>
      <c r="K424" s="79"/>
      <c r="L424" s="79"/>
      <c r="M424" s="79"/>
      <c r="N424" s="79"/>
      <c r="O424" s="79"/>
      <c r="P424" s="79"/>
      <c r="Q424" s="79"/>
      <c r="R424" s="79"/>
      <c r="S424" s="101">
        <f t="shared" si="120"/>
        <v>0.8782208297521229</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233</v>
      </c>
      <c r="G425" s="28" t="s">
        <v>343</v>
      </c>
      <c r="J425" s="79"/>
      <c r="K425" s="79"/>
      <c r="L425" s="79"/>
      <c r="M425" s="79"/>
      <c r="N425" s="79"/>
      <c r="O425" s="79"/>
      <c r="P425" s="79"/>
      <c r="Q425" s="79"/>
      <c r="R425" s="79"/>
      <c r="S425" s="101">
        <f t="shared" si="120"/>
        <v>0.87815801937885407</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234</v>
      </c>
      <c r="G426" s="28" t="s">
        <v>343</v>
      </c>
      <c r="J426" s="79"/>
      <c r="K426" s="79"/>
      <c r="L426" s="79"/>
      <c r="M426" s="79"/>
      <c r="N426" s="79"/>
      <c r="O426" s="79"/>
      <c r="P426" s="79"/>
      <c r="Q426" s="79"/>
      <c r="R426" s="79"/>
      <c r="S426" s="101">
        <f t="shared" si="120"/>
        <v>0.8782208297521229</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235</v>
      </c>
      <c r="G427" s="28" t="s">
        <v>343</v>
      </c>
      <c r="J427" s="79"/>
      <c r="K427" s="79"/>
      <c r="L427" s="79"/>
      <c r="M427" s="79"/>
      <c r="N427" s="79"/>
      <c r="O427" s="79"/>
      <c r="P427" s="79"/>
      <c r="Q427" s="79"/>
      <c r="R427" s="79"/>
      <c r="S427" s="101">
        <f t="shared" si="120"/>
        <v>0.8782208297521229</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236</v>
      </c>
      <c r="G428" s="67" t="s">
        <v>343</v>
      </c>
      <c r="H428" s="37"/>
      <c r="I428" s="37"/>
      <c r="J428" s="81"/>
      <c r="K428" s="81"/>
      <c r="L428" s="81"/>
      <c r="M428" s="81"/>
      <c r="N428" s="81"/>
      <c r="O428" s="81"/>
      <c r="P428" s="81"/>
      <c r="Q428" s="81"/>
      <c r="R428" s="81"/>
      <c r="S428" s="103">
        <f t="shared" si="120"/>
        <v>0.8782208297521229</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595</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228</v>
      </c>
      <c r="G431" s="64" t="s">
        <v>343</v>
      </c>
      <c r="H431" s="23"/>
      <c r="I431" s="23"/>
      <c r="J431" s="83"/>
      <c r="K431" s="83"/>
      <c r="L431" s="83"/>
      <c r="M431" s="83"/>
      <c r="N431" s="83"/>
      <c r="O431" s="83"/>
      <c r="P431" s="83"/>
      <c r="Q431" s="83"/>
      <c r="R431" s="83"/>
      <c r="S431" s="83"/>
      <c r="T431" s="163">
        <f t="shared" ref="T431:T432" si="121">IF(T383 &lt;&gt; 0, H407 / T383, 0)</f>
        <v>1.0298452565761118</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229</v>
      </c>
      <c r="G432" s="28" t="s">
        <v>343</v>
      </c>
      <c r="J432" s="79"/>
      <c r="K432" s="79"/>
      <c r="L432" s="79"/>
      <c r="M432" s="79"/>
      <c r="N432" s="79"/>
      <c r="O432" s="79"/>
      <c r="P432" s="79"/>
      <c r="Q432" s="79"/>
      <c r="R432" s="79"/>
      <c r="S432" s="79"/>
      <c r="T432" s="101">
        <f t="shared" si="121"/>
        <v>1.0297192748480262</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230</v>
      </c>
      <c r="G433" s="28" t="s">
        <v>343</v>
      </c>
      <c r="J433" s="79"/>
      <c r="K433" s="79"/>
      <c r="L433" s="79"/>
      <c r="M433" s="79"/>
      <c r="N433" s="79"/>
      <c r="O433" s="79"/>
      <c r="P433" s="79"/>
      <c r="Q433" s="79"/>
      <c r="R433" s="79"/>
      <c r="S433" s="79"/>
      <c r="T433" s="101">
        <f>IF(T385 &lt;&gt; 0, H409 / T385, 0)</f>
        <v>1.0297192748480262</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231</v>
      </c>
      <c r="G434" s="28" t="s">
        <v>343</v>
      </c>
      <c r="J434" s="79"/>
      <c r="K434" s="79"/>
      <c r="L434" s="79"/>
      <c r="M434" s="79"/>
      <c r="N434" s="79"/>
      <c r="O434" s="79"/>
      <c r="P434" s="79"/>
      <c r="Q434" s="79"/>
      <c r="R434" s="79"/>
      <c r="S434" s="79"/>
      <c r="T434" s="101">
        <f t="shared" ref="T434:T439" si="122">IF(T386 &lt;&gt; 0, H410 / T386, 0)</f>
        <v>1.0296488395321204</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232</v>
      </c>
      <c r="G435" s="28" t="s">
        <v>343</v>
      </c>
      <c r="J435" s="79"/>
      <c r="K435" s="79"/>
      <c r="L435" s="79"/>
      <c r="M435" s="79"/>
      <c r="N435" s="79"/>
      <c r="O435" s="79"/>
      <c r="P435" s="79"/>
      <c r="Q435" s="79"/>
      <c r="R435" s="79"/>
      <c r="S435" s="79"/>
      <c r="T435" s="101">
        <f t="shared" si="122"/>
        <v>1.0296488395321204</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233</v>
      </c>
      <c r="G436" s="28" t="s">
        <v>343</v>
      </c>
      <c r="J436" s="79"/>
      <c r="K436" s="79"/>
      <c r="L436" s="79"/>
      <c r="M436" s="79"/>
      <c r="N436" s="79"/>
      <c r="O436" s="79"/>
      <c r="P436" s="79"/>
      <c r="Q436" s="79"/>
      <c r="R436" s="79"/>
      <c r="S436" s="79"/>
      <c r="T436" s="101">
        <f t="shared" si="122"/>
        <v>1.0297192748480262</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234</v>
      </c>
      <c r="G437" s="28" t="s">
        <v>343</v>
      </c>
      <c r="J437" s="79"/>
      <c r="K437" s="79"/>
      <c r="L437" s="79"/>
      <c r="M437" s="79"/>
      <c r="N437" s="79"/>
      <c r="O437" s="79"/>
      <c r="P437" s="79"/>
      <c r="Q437" s="79"/>
      <c r="R437" s="79"/>
      <c r="S437" s="79"/>
      <c r="T437" s="101">
        <f t="shared" si="122"/>
        <v>1.0296488395321204</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235</v>
      </c>
      <c r="G438" s="28" t="s">
        <v>343</v>
      </c>
      <c r="J438" s="79"/>
      <c r="K438" s="79"/>
      <c r="L438" s="79"/>
      <c r="M438" s="79"/>
      <c r="N438" s="79"/>
      <c r="O438" s="79"/>
      <c r="P438" s="79"/>
      <c r="Q438" s="79"/>
      <c r="R438" s="79"/>
      <c r="S438" s="79"/>
      <c r="T438" s="101">
        <f t="shared" si="122"/>
        <v>1.0296488395321204</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236</v>
      </c>
      <c r="G439" s="67" t="s">
        <v>343</v>
      </c>
      <c r="H439" s="37"/>
      <c r="I439" s="37"/>
      <c r="J439" s="81"/>
      <c r="K439" s="81"/>
      <c r="L439" s="81"/>
      <c r="M439" s="81"/>
      <c r="N439" s="81"/>
      <c r="O439" s="81"/>
      <c r="P439" s="81"/>
      <c r="Q439" s="81"/>
      <c r="R439" s="81"/>
      <c r="S439" s="81"/>
      <c r="T439" s="103">
        <f t="shared" si="122"/>
        <v>1.0296488395321204</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596</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228</v>
      </c>
      <c r="G442" s="64" t="s">
        <v>343</v>
      </c>
      <c r="H442" s="23"/>
      <c r="I442" s="23"/>
      <c r="J442" s="83"/>
      <c r="K442" s="83"/>
      <c r="L442" s="83"/>
      <c r="M442" s="83"/>
      <c r="N442" s="83"/>
      <c r="O442" s="83"/>
      <c r="P442" s="83"/>
      <c r="Q442" s="83"/>
      <c r="R442" s="83"/>
      <c r="S442" s="129">
        <f>IF(SUM($J349:$L349,$S349 * ($S420 + S431)) &lt;&gt; 0, SUM($J349:$L349,$S349) / SUM($J349:$L349,$S349 * ($S420 + S431)), 0)</f>
        <v>1.0003304977156948</v>
      </c>
      <c r="T442" s="129">
        <f>IF(SUM($M349:$O349,$T349 * ($T420 + T431)) &lt;&gt; 0, SUM($M349:$O349,$T349) / SUM($M349:$O349,$T349 * ($T420 + T431)), 0)</f>
        <v>0.99837179866640657</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229</v>
      </c>
      <c r="G443" s="28" t="s">
        <v>343</v>
      </c>
      <c r="J443" s="79"/>
      <c r="K443" s="79"/>
      <c r="L443" s="79"/>
      <c r="M443" s="79"/>
      <c r="N443" s="79"/>
      <c r="O443" s="79"/>
      <c r="P443" s="79"/>
      <c r="Q443" s="79"/>
      <c r="R443" s="79"/>
      <c r="S443" s="101">
        <f t="shared" ref="S443:S450" si="123">IF(SUM($J350:$L350,$S350 * ($S421 + S432)) &lt;&gt; 0, SUM($J350:$L350,$S350) / SUM($J350:$L350,$S350 * ($S421 + S432)), 0)</f>
        <v>1.000334031824029</v>
      </c>
      <c r="T443" s="101">
        <f t="shared" ref="T443:T450" si="124">IF(SUM($M350:$O350,$T350 * ($T421 + T432)) &lt;&gt; 0, SUM($M350:$O350,$T350) / SUM($M350:$O350,$T350 * ($T421 + T432)), 0)</f>
        <v>0.99838678757844901</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230</v>
      </c>
      <c r="G444" s="28" t="s">
        <v>343</v>
      </c>
      <c r="J444" s="79"/>
      <c r="K444" s="79"/>
      <c r="L444" s="79"/>
      <c r="M444" s="79"/>
      <c r="N444" s="79"/>
      <c r="O444" s="79"/>
      <c r="P444" s="79"/>
      <c r="Q444" s="79"/>
      <c r="R444" s="79"/>
      <c r="S444" s="101">
        <f t="shared" si="123"/>
        <v>1.000334031824029</v>
      </c>
      <c r="T444" s="101">
        <f t="shared" si="124"/>
        <v>0.99838678757844901</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231</v>
      </c>
      <c r="G445" s="28" t="s">
        <v>343</v>
      </c>
      <c r="J445" s="79"/>
      <c r="K445" s="79"/>
      <c r="L445" s="79"/>
      <c r="M445" s="79"/>
      <c r="N445" s="79"/>
      <c r="O445" s="79"/>
      <c r="P445" s="79"/>
      <c r="Q445" s="79"/>
      <c r="R445" s="79"/>
      <c r="S445" s="101">
        <f t="shared" si="123"/>
        <v>1.0003380454123563</v>
      </c>
      <c r="T445" s="101">
        <f t="shared" si="124"/>
        <v>0.99839845057842203</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232</v>
      </c>
      <c r="G446" s="28" t="s">
        <v>343</v>
      </c>
      <c r="J446" s="79"/>
      <c r="K446" s="79"/>
      <c r="L446" s="79"/>
      <c r="M446" s="79"/>
      <c r="N446" s="79"/>
      <c r="O446" s="79"/>
      <c r="P446" s="79"/>
      <c r="Q446" s="79"/>
      <c r="R446" s="79"/>
      <c r="S446" s="101">
        <f t="shared" si="123"/>
        <v>1.0003380454123563</v>
      </c>
      <c r="T446" s="101">
        <f t="shared" si="124"/>
        <v>0.99839845057842203</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233</v>
      </c>
      <c r="G447" s="28" t="s">
        <v>343</v>
      </c>
      <c r="J447" s="79"/>
      <c r="K447" s="79"/>
      <c r="L447" s="79"/>
      <c r="M447" s="79"/>
      <c r="N447" s="79"/>
      <c r="O447" s="79"/>
      <c r="P447" s="79"/>
      <c r="Q447" s="79"/>
      <c r="R447" s="79"/>
      <c r="S447" s="101">
        <f t="shared" si="123"/>
        <v>1.000334031824029</v>
      </c>
      <c r="T447" s="101">
        <f t="shared" si="124"/>
        <v>0.99838678757844901</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234</v>
      </c>
      <c r="G448" s="28" t="s">
        <v>343</v>
      </c>
      <c r="J448" s="79"/>
      <c r="K448" s="79"/>
      <c r="L448" s="79"/>
      <c r="M448" s="79"/>
      <c r="N448" s="79"/>
      <c r="O448" s="79"/>
      <c r="P448" s="79"/>
      <c r="Q448" s="79"/>
      <c r="R448" s="79"/>
      <c r="S448" s="101">
        <f t="shared" si="123"/>
        <v>1.0003380454123563</v>
      </c>
      <c r="T448" s="101">
        <f t="shared" si="124"/>
        <v>0.99839845057842203</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235</v>
      </c>
      <c r="G449" s="28" t="s">
        <v>343</v>
      </c>
      <c r="J449" s="79"/>
      <c r="K449" s="79"/>
      <c r="L449" s="79"/>
      <c r="M449" s="79"/>
      <c r="N449" s="79"/>
      <c r="O449" s="79"/>
      <c r="P449" s="79"/>
      <c r="Q449" s="79"/>
      <c r="R449" s="79"/>
      <c r="S449" s="101">
        <f t="shared" si="123"/>
        <v>1.0003380454123563</v>
      </c>
      <c r="T449" s="101">
        <f t="shared" si="124"/>
        <v>0.99839845057842203</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236</v>
      </c>
      <c r="G450" s="67" t="s">
        <v>343</v>
      </c>
      <c r="H450" s="37"/>
      <c r="I450" s="37"/>
      <c r="J450" s="81"/>
      <c r="K450" s="81"/>
      <c r="L450" s="81"/>
      <c r="M450" s="81"/>
      <c r="N450" s="81"/>
      <c r="O450" s="81"/>
      <c r="P450" s="81"/>
      <c r="Q450" s="81"/>
      <c r="R450" s="81"/>
      <c r="S450" s="103">
        <f t="shared" si="123"/>
        <v>1.0003380454123563</v>
      </c>
      <c r="T450" s="103">
        <f t="shared" si="124"/>
        <v>0.99839845057842203</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597</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228</v>
      </c>
      <c r="G453" s="64" t="s">
        <v>343</v>
      </c>
      <c r="H453" s="23"/>
      <c r="I453" s="23"/>
      <c r="J453" s="129">
        <f>$S442</f>
        <v>1.0003304977156948</v>
      </c>
      <c r="K453" s="129">
        <f t="shared" ref="K453:L453" si="125">$S442</f>
        <v>1.0003304977156948</v>
      </c>
      <c r="L453" s="129">
        <f t="shared" si="125"/>
        <v>1.0003304977156948</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229</v>
      </c>
      <c r="G454" s="28" t="s">
        <v>343</v>
      </c>
      <c r="J454" s="101">
        <f t="shared" ref="J454:L461" si="126">$S443</f>
        <v>1.000334031824029</v>
      </c>
      <c r="K454" s="101">
        <f t="shared" si="126"/>
        <v>1.000334031824029</v>
      </c>
      <c r="L454" s="101">
        <f t="shared" si="126"/>
        <v>1.000334031824029</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230</v>
      </c>
      <c r="G455" s="28" t="s">
        <v>343</v>
      </c>
      <c r="J455" s="101">
        <f t="shared" si="126"/>
        <v>1.000334031824029</v>
      </c>
      <c r="K455" s="101">
        <f t="shared" si="126"/>
        <v>1.000334031824029</v>
      </c>
      <c r="L455" s="101">
        <f t="shared" si="126"/>
        <v>1.000334031824029</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231</v>
      </c>
      <c r="G456" s="28" t="s">
        <v>343</v>
      </c>
      <c r="J456" s="101">
        <f t="shared" si="126"/>
        <v>1.0003380454123563</v>
      </c>
      <c r="K456" s="101">
        <f t="shared" si="126"/>
        <v>1.0003380454123563</v>
      </c>
      <c r="L456" s="101">
        <f t="shared" si="126"/>
        <v>1.0003380454123563</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232</v>
      </c>
      <c r="G457" s="28" t="s">
        <v>343</v>
      </c>
      <c r="J457" s="101">
        <f t="shared" si="126"/>
        <v>1.0003380454123563</v>
      </c>
      <c r="K457" s="101">
        <f t="shared" si="126"/>
        <v>1.0003380454123563</v>
      </c>
      <c r="L457" s="101">
        <f t="shared" si="126"/>
        <v>1.0003380454123563</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233</v>
      </c>
      <c r="G458" s="28" t="s">
        <v>343</v>
      </c>
      <c r="J458" s="101">
        <f t="shared" si="126"/>
        <v>1.000334031824029</v>
      </c>
      <c r="K458" s="101">
        <f t="shared" si="126"/>
        <v>1.000334031824029</v>
      </c>
      <c r="L458" s="101">
        <f t="shared" si="126"/>
        <v>1.000334031824029</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234</v>
      </c>
      <c r="G459" s="28" t="s">
        <v>343</v>
      </c>
      <c r="J459" s="101">
        <f t="shared" si="126"/>
        <v>1.0003380454123563</v>
      </c>
      <c r="K459" s="101">
        <f t="shared" si="126"/>
        <v>1.0003380454123563</v>
      </c>
      <c r="L459" s="101">
        <f t="shared" si="126"/>
        <v>1.0003380454123563</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235</v>
      </c>
      <c r="G460" s="28" t="s">
        <v>343</v>
      </c>
      <c r="J460" s="101">
        <f t="shared" si="126"/>
        <v>1.0003380454123563</v>
      </c>
      <c r="K460" s="101">
        <f t="shared" si="126"/>
        <v>1.0003380454123563</v>
      </c>
      <c r="L460" s="101">
        <f t="shared" si="126"/>
        <v>1.0003380454123563</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236</v>
      </c>
      <c r="G461" s="67" t="s">
        <v>343</v>
      </c>
      <c r="H461" s="37"/>
      <c r="I461" s="37"/>
      <c r="J461" s="103">
        <f t="shared" si="126"/>
        <v>1.0003380454123563</v>
      </c>
      <c r="K461" s="103">
        <f t="shared" si="126"/>
        <v>1.0003380454123563</v>
      </c>
      <c r="L461" s="103">
        <f t="shared" si="126"/>
        <v>1.0003380454123563</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598</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228</v>
      </c>
      <c r="G464" s="64" t="s">
        <v>343</v>
      </c>
      <c r="H464" s="23"/>
      <c r="I464" s="23"/>
      <c r="J464" s="83"/>
      <c r="K464" s="83"/>
      <c r="L464" s="83"/>
      <c r="M464" s="129">
        <f>$T442</f>
        <v>0.99837179866640657</v>
      </c>
      <c r="N464" s="129">
        <f t="shared" ref="N464:O464" si="127">$T442</f>
        <v>0.99837179866640657</v>
      </c>
      <c r="O464" s="129">
        <f t="shared" si="127"/>
        <v>0.99837179866640657</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229</v>
      </c>
      <c r="G465" s="28" t="s">
        <v>343</v>
      </c>
      <c r="J465" s="79"/>
      <c r="K465" s="79"/>
      <c r="L465" s="79"/>
      <c r="M465" s="101">
        <f t="shared" ref="M465:O465" si="128">$T443</f>
        <v>0.99838678757844901</v>
      </c>
      <c r="N465" s="101">
        <f t="shared" si="128"/>
        <v>0.99838678757844901</v>
      </c>
      <c r="O465" s="101">
        <f t="shared" si="128"/>
        <v>0.99838678757844901</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230</v>
      </c>
      <c r="G466" s="28" t="s">
        <v>343</v>
      </c>
      <c r="J466" s="79"/>
      <c r="K466" s="79"/>
      <c r="L466" s="79"/>
      <c r="M466" s="101">
        <f t="shared" ref="M466:O466" si="129">$T444</f>
        <v>0.99838678757844901</v>
      </c>
      <c r="N466" s="101">
        <f t="shared" si="129"/>
        <v>0.99838678757844901</v>
      </c>
      <c r="O466" s="101">
        <f t="shared" si="129"/>
        <v>0.99838678757844901</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231</v>
      </c>
      <c r="G467" s="28" t="s">
        <v>343</v>
      </c>
      <c r="J467" s="79"/>
      <c r="K467" s="79"/>
      <c r="L467" s="79"/>
      <c r="M467" s="101">
        <f t="shared" ref="M467:O467" si="130">$T445</f>
        <v>0.99839845057842203</v>
      </c>
      <c r="N467" s="101">
        <f t="shared" si="130"/>
        <v>0.99839845057842203</v>
      </c>
      <c r="O467" s="101">
        <f t="shared" si="130"/>
        <v>0.99839845057842203</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232</v>
      </c>
      <c r="G468" s="28" t="s">
        <v>343</v>
      </c>
      <c r="J468" s="79"/>
      <c r="K468" s="79"/>
      <c r="L468" s="79"/>
      <c r="M468" s="101">
        <f t="shared" ref="M468:O468" si="131">$T446</f>
        <v>0.99839845057842203</v>
      </c>
      <c r="N468" s="101">
        <f t="shared" si="131"/>
        <v>0.99839845057842203</v>
      </c>
      <c r="O468" s="101">
        <f t="shared" si="131"/>
        <v>0.99839845057842203</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233</v>
      </c>
      <c r="G469" s="28" t="s">
        <v>343</v>
      </c>
      <c r="J469" s="79"/>
      <c r="K469" s="79"/>
      <c r="L469" s="79"/>
      <c r="M469" s="101">
        <f t="shared" ref="M469:O469" si="132">$T447</f>
        <v>0.99838678757844901</v>
      </c>
      <c r="N469" s="101">
        <f t="shared" si="132"/>
        <v>0.99838678757844901</v>
      </c>
      <c r="O469" s="101">
        <f t="shared" si="132"/>
        <v>0.99838678757844901</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234</v>
      </c>
      <c r="G470" s="28" t="s">
        <v>343</v>
      </c>
      <c r="J470" s="79"/>
      <c r="K470" s="79"/>
      <c r="L470" s="79"/>
      <c r="M470" s="101">
        <f t="shared" ref="M470:O470" si="133">$T448</f>
        <v>0.99839845057842203</v>
      </c>
      <c r="N470" s="101">
        <f t="shared" si="133"/>
        <v>0.99839845057842203</v>
      </c>
      <c r="O470" s="101">
        <f t="shared" si="133"/>
        <v>0.99839845057842203</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235</v>
      </c>
      <c r="G471" s="28" t="s">
        <v>343</v>
      </c>
      <c r="J471" s="79"/>
      <c r="K471" s="79"/>
      <c r="L471" s="79"/>
      <c r="M471" s="101">
        <f t="shared" ref="M471:O471" si="134">$T449</f>
        <v>0.99839845057842203</v>
      </c>
      <c r="N471" s="101">
        <f t="shared" si="134"/>
        <v>0.99839845057842203</v>
      </c>
      <c r="O471" s="101">
        <f t="shared" si="134"/>
        <v>0.99839845057842203</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236</v>
      </c>
      <c r="G472" s="67" t="s">
        <v>343</v>
      </c>
      <c r="H472" s="37"/>
      <c r="I472" s="37"/>
      <c r="J472" s="81"/>
      <c r="K472" s="81"/>
      <c r="L472" s="81"/>
      <c r="M472" s="103">
        <f t="shared" ref="M472:O472" si="135">$T450</f>
        <v>0.99839845057842203</v>
      </c>
      <c r="N472" s="103">
        <f t="shared" si="135"/>
        <v>0.99839845057842203</v>
      </c>
      <c r="O472" s="103">
        <f t="shared" si="135"/>
        <v>0.99839845057842203</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599</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228</v>
      </c>
      <c r="G475" s="64" t="s">
        <v>343</v>
      </c>
      <c r="H475" s="23"/>
      <c r="I475" s="23"/>
      <c r="J475" s="83"/>
      <c r="K475" s="83"/>
      <c r="L475" s="83"/>
      <c r="M475" s="83"/>
      <c r="N475" s="83"/>
      <c r="O475" s="83"/>
      <c r="P475" s="83"/>
      <c r="Q475" s="83"/>
      <c r="R475" s="83"/>
      <c r="S475" s="163">
        <f>S442 * (S420 + S431)</f>
        <v>0.87843200879660666</v>
      </c>
      <c r="T475" s="163">
        <f>T442 * (T420 + T431)</f>
        <v>1.0281684611559596</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229</v>
      </c>
      <c r="G476" s="28" t="s">
        <v>343</v>
      </c>
      <c r="J476" s="79"/>
      <c r="K476" s="79"/>
      <c r="L476" s="79"/>
      <c r="M476" s="79"/>
      <c r="N476" s="79"/>
      <c r="O476" s="79"/>
      <c r="P476" s="79"/>
      <c r="Q476" s="79"/>
      <c r="R476" s="79"/>
      <c r="S476" s="92">
        <f t="shared" ref="S476:T476" si="136">S443 * (S421 + S432)</f>
        <v>0.87845135210385294</v>
      </c>
      <c r="T476" s="101">
        <f t="shared" si="136"/>
        <v>1.0280581189231308</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230</v>
      </c>
      <c r="G477" s="28" t="s">
        <v>343</v>
      </c>
      <c r="J477" s="79"/>
      <c r="K477" s="79"/>
      <c r="L477" s="79"/>
      <c r="M477" s="79"/>
      <c r="N477" s="79"/>
      <c r="O477" s="79"/>
      <c r="P477" s="79"/>
      <c r="Q477" s="79"/>
      <c r="R477" s="79"/>
      <c r="S477" s="92">
        <f t="shared" ref="S477:T477" si="137">S444 * (S422 + S433)</f>
        <v>0.87845135210385294</v>
      </c>
      <c r="T477" s="101">
        <f t="shared" si="137"/>
        <v>1.0280581189231308</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231</v>
      </c>
      <c r="G478" s="28" t="s">
        <v>343</v>
      </c>
      <c r="J478" s="79"/>
      <c r="K478" s="79"/>
      <c r="L478" s="79"/>
      <c r="M478" s="79"/>
      <c r="N478" s="79"/>
      <c r="O478" s="79"/>
      <c r="P478" s="79"/>
      <c r="Q478" s="79"/>
      <c r="R478" s="79"/>
      <c r="S478" s="92">
        <f t="shared" ref="S478:T478" si="138">S445 * (S423 + S434)</f>
        <v>0.87851770827465636</v>
      </c>
      <c r="T478" s="101">
        <f t="shared" si="138"/>
        <v>1.0279998060287392</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232</v>
      </c>
      <c r="G479" s="28" t="s">
        <v>343</v>
      </c>
      <c r="J479" s="79"/>
      <c r="K479" s="79"/>
      <c r="L479" s="79"/>
      <c r="M479" s="79"/>
      <c r="N479" s="79"/>
      <c r="O479" s="79"/>
      <c r="P479" s="79"/>
      <c r="Q479" s="79"/>
      <c r="R479" s="79"/>
      <c r="S479" s="92">
        <f t="shared" ref="S479:T479" si="139">S446 * (S424 + S435)</f>
        <v>0.87851770827465636</v>
      </c>
      <c r="T479" s="101">
        <f t="shared" si="139"/>
        <v>1.0279998060287392</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233</v>
      </c>
      <c r="G480" s="28" t="s">
        <v>343</v>
      </c>
      <c r="J480" s="79"/>
      <c r="K480" s="79"/>
      <c r="L480" s="79"/>
      <c r="M480" s="79"/>
      <c r="N480" s="79"/>
      <c r="O480" s="79"/>
      <c r="P480" s="79"/>
      <c r="Q480" s="79"/>
      <c r="R480" s="79"/>
      <c r="S480" s="92">
        <f t="shared" ref="S480:T480" si="140">S447 * (S425 + S436)</f>
        <v>0.87845135210385294</v>
      </c>
      <c r="T480" s="101">
        <f t="shared" si="140"/>
        <v>1.0280581189231308</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234</v>
      </c>
      <c r="G481" s="28" t="s">
        <v>343</v>
      </c>
      <c r="J481" s="79"/>
      <c r="K481" s="79"/>
      <c r="L481" s="79"/>
      <c r="M481" s="79"/>
      <c r="N481" s="79"/>
      <c r="O481" s="79"/>
      <c r="P481" s="79"/>
      <c r="Q481" s="79"/>
      <c r="R481" s="79"/>
      <c r="S481" s="92">
        <f t="shared" ref="S481:T481" si="141">S448 * (S426 + S437)</f>
        <v>0.87851770827465636</v>
      </c>
      <c r="T481" s="101">
        <f t="shared" si="141"/>
        <v>1.0279998060287392</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235</v>
      </c>
      <c r="G482" s="28" t="s">
        <v>343</v>
      </c>
      <c r="J482" s="79"/>
      <c r="K482" s="79"/>
      <c r="L482" s="79"/>
      <c r="M482" s="79"/>
      <c r="N482" s="79"/>
      <c r="O482" s="79"/>
      <c r="P482" s="79"/>
      <c r="Q482" s="79"/>
      <c r="R482" s="79"/>
      <c r="S482" s="92">
        <f t="shared" ref="S482:T482" si="142">S449 * (S427 + S438)</f>
        <v>0.87851770827465636</v>
      </c>
      <c r="T482" s="101">
        <f t="shared" si="142"/>
        <v>1.0279998060287392</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236</v>
      </c>
      <c r="G483" s="67" t="s">
        <v>343</v>
      </c>
      <c r="H483" s="37"/>
      <c r="I483" s="37"/>
      <c r="J483" s="81"/>
      <c r="K483" s="81"/>
      <c r="L483" s="81"/>
      <c r="M483" s="81"/>
      <c r="N483" s="81"/>
      <c r="O483" s="81"/>
      <c r="P483" s="81"/>
      <c r="Q483" s="81"/>
      <c r="R483" s="81"/>
      <c r="S483" s="82">
        <f t="shared" ref="S483:T483" si="143">S450 * (S428 + S439)</f>
        <v>0.87851770827465636</v>
      </c>
      <c r="T483" s="103">
        <f t="shared" si="143"/>
        <v>1.0279998060287392</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600</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228</v>
      </c>
      <c r="G488" s="64" t="s">
        <v>343</v>
      </c>
      <c r="H488" s="132"/>
      <c r="I488" s="23"/>
      <c r="J488" s="129">
        <f>IF(J453 + J464 + J475 = 0, 1, J453 + J464 + J475)</f>
        <v>1.0003304977156948</v>
      </c>
      <c r="K488" s="129">
        <f t="shared" ref="K488:AP488" si="144">IF(K453 + K464 + K475 = 0, 1, K453 + K464 + K475)</f>
        <v>1.0003304977156948</v>
      </c>
      <c r="L488" s="129">
        <f t="shared" si="144"/>
        <v>1.0003304977156948</v>
      </c>
      <c r="M488" s="129">
        <f t="shared" si="144"/>
        <v>0.99837179866640657</v>
      </c>
      <c r="N488" s="129">
        <f t="shared" si="144"/>
        <v>0.99837179866640657</v>
      </c>
      <c r="O488" s="129">
        <f t="shared" si="144"/>
        <v>0.99837179866640657</v>
      </c>
      <c r="P488" s="129">
        <f t="shared" si="144"/>
        <v>1</v>
      </c>
      <c r="Q488" s="129">
        <f t="shared" si="144"/>
        <v>1</v>
      </c>
      <c r="R488" s="129">
        <f t="shared" si="144"/>
        <v>1</v>
      </c>
      <c r="S488" s="129">
        <f t="shared" si="144"/>
        <v>0.87843200879660666</v>
      </c>
      <c r="T488" s="129">
        <f t="shared" si="144"/>
        <v>1.0281684611559596</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229</v>
      </c>
      <c r="G489" s="28" t="s">
        <v>343</v>
      </c>
      <c r="H489" s="63"/>
      <c r="J489" s="101">
        <f t="shared" ref="J489:AP489" si="145">IF(J454 + J465 + J476 = 0, 1, J454 + J465 + J476)</f>
        <v>1.000334031824029</v>
      </c>
      <c r="K489" s="101">
        <f t="shared" si="145"/>
        <v>1.000334031824029</v>
      </c>
      <c r="L489" s="101">
        <f t="shared" si="145"/>
        <v>1.000334031824029</v>
      </c>
      <c r="M489" s="101">
        <f t="shared" si="145"/>
        <v>0.99838678757844901</v>
      </c>
      <c r="N489" s="101">
        <f t="shared" si="145"/>
        <v>0.99838678757844901</v>
      </c>
      <c r="O489" s="101">
        <f t="shared" si="145"/>
        <v>0.99838678757844901</v>
      </c>
      <c r="P489" s="101">
        <f t="shared" si="145"/>
        <v>1</v>
      </c>
      <c r="Q489" s="101">
        <f t="shared" si="145"/>
        <v>1</v>
      </c>
      <c r="R489" s="101">
        <f t="shared" si="145"/>
        <v>1</v>
      </c>
      <c r="S489" s="101">
        <f t="shared" si="145"/>
        <v>0.87845135210385294</v>
      </c>
      <c r="T489" s="101">
        <f t="shared" si="145"/>
        <v>1.0280581189231308</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230</v>
      </c>
      <c r="G490" s="28" t="s">
        <v>343</v>
      </c>
      <c r="H490" s="63"/>
      <c r="J490" s="101">
        <f t="shared" ref="J490:AP490" si="146">IF(J455 + J466 + J477 = 0, 1, J455 + J466 + J477)</f>
        <v>1.000334031824029</v>
      </c>
      <c r="K490" s="101">
        <f t="shared" si="146"/>
        <v>1.000334031824029</v>
      </c>
      <c r="L490" s="101">
        <f t="shared" si="146"/>
        <v>1.000334031824029</v>
      </c>
      <c r="M490" s="101">
        <f t="shared" si="146"/>
        <v>0.99838678757844901</v>
      </c>
      <c r="N490" s="101">
        <f t="shared" si="146"/>
        <v>0.99838678757844901</v>
      </c>
      <c r="O490" s="101">
        <f t="shared" si="146"/>
        <v>0.99838678757844901</v>
      </c>
      <c r="P490" s="101">
        <f t="shared" si="146"/>
        <v>1</v>
      </c>
      <c r="Q490" s="101">
        <f t="shared" si="146"/>
        <v>1</v>
      </c>
      <c r="R490" s="101">
        <f t="shared" si="146"/>
        <v>1</v>
      </c>
      <c r="S490" s="101">
        <f t="shared" si="146"/>
        <v>0.87845135210385294</v>
      </c>
      <c r="T490" s="101">
        <f t="shared" si="146"/>
        <v>1.0280581189231308</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231</v>
      </c>
      <c r="G491" s="28" t="s">
        <v>343</v>
      </c>
      <c r="H491" s="63"/>
      <c r="J491" s="101">
        <f t="shared" ref="J491:AP491" si="147">IF(J456 + J467 + J478 = 0, 1, J456 + J467 + J478)</f>
        <v>1.0003380454123563</v>
      </c>
      <c r="K491" s="101">
        <f t="shared" si="147"/>
        <v>1.0003380454123563</v>
      </c>
      <c r="L491" s="101">
        <f t="shared" si="147"/>
        <v>1.0003380454123563</v>
      </c>
      <c r="M491" s="101">
        <f t="shared" si="147"/>
        <v>0.99839845057842203</v>
      </c>
      <c r="N491" s="101">
        <f t="shared" si="147"/>
        <v>0.99839845057842203</v>
      </c>
      <c r="O491" s="101">
        <f t="shared" si="147"/>
        <v>0.99839845057842203</v>
      </c>
      <c r="P491" s="101">
        <f t="shared" si="147"/>
        <v>1</v>
      </c>
      <c r="Q491" s="101">
        <f t="shared" si="147"/>
        <v>1</v>
      </c>
      <c r="R491" s="101">
        <f t="shared" si="147"/>
        <v>1</v>
      </c>
      <c r="S491" s="101">
        <f t="shared" si="147"/>
        <v>0.87851770827465636</v>
      </c>
      <c r="T491" s="101">
        <f t="shared" si="147"/>
        <v>1.0279998060287392</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232</v>
      </c>
      <c r="G492" s="28" t="s">
        <v>343</v>
      </c>
      <c r="H492" s="63"/>
      <c r="J492" s="101">
        <f t="shared" ref="J492:AP492" si="148">IF(J457 + J468 + J479 = 0, 1, J457 + J468 + J479)</f>
        <v>1.0003380454123563</v>
      </c>
      <c r="K492" s="101">
        <f t="shared" si="148"/>
        <v>1.0003380454123563</v>
      </c>
      <c r="L492" s="101">
        <f t="shared" si="148"/>
        <v>1.0003380454123563</v>
      </c>
      <c r="M492" s="101">
        <f t="shared" si="148"/>
        <v>0.99839845057842203</v>
      </c>
      <c r="N492" s="101">
        <f t="shared" si="148"/>
        <v>0.99839845057842203</v>
      </c>
      <c r="O492" s="101">
        <f t="shared" si="148"/>
        <v>0.99839845057842203</v>
      </c>
      <c r="P492" s="101">
        <f t="shared" si="148"/>
        <v>1</v>
      </c>
      <c r="Q492" s="101">
        <f t="shared" si="148"/>
        <v>1</v>
      </c>
      <c r="R492" s="101">
        <f t="shared" si="148"/>
        <v>1</v>
      </c>
      <c r="S492" s="101">
        <f t="shared" si="148"/>
        <v>0.87851770827465636</v>
      </c>
      <c r="T492" s="101">
        <f t="shared" si="148"/>
        <v>1.0279998060287392</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233</v>
      </c>
      <c r="G493" s="28" t="s">
        <v>343</v>
      </c>
      <c r="H493" s="63"/>
      <c r="J493" s="101">
        <f t="shared" ref="J493:AP493" si="149">IF(J458 + J469 + J480 = 0, 1, J458 + J469 + J480)</f>
        <v>1.000334031824029</v>
      </c>
      <c r="K493" s="101">
        <f t="shared" si="149"/>
        <v>1.000334031824029</v>
      </c>
      <c r="L493" s="101">
        <f t="shared" si="149"/>
        <v>1.000334031824029</v>
      </c>
      <c r="M493" s="101">
        <f t="shared" si="149"/>
        <v>0.99838678757844901</v>
      </c>
      <c r="N493" s="101">
        <f t="shared" si="149"/>
        <v>0.99838678757844901</v>
      </c>
      <c r="O493" s="101">
        <f t="shared" si="149"/>
        <v>0.99838678757844901</v>
      </c>
      <c r="P493" s="101">
        <f t="shared" si="149"/>
        <v>1</v>
      </c>
      <c r="Q493" s="101">
        <f t="shared" si="149"/>
        <v>1</v>
      </c>
      <c r="R493" s="101">
        <f t="shared" si="149"/>
        <v>1</v>
      </c>
      <c r="S493" s="101">
        <f t="shared" si="149"/>
        <v>0.87845135210385294</v>
      </c>
      <c r="T493" s="101">
        <f t="shared" si="149"/>
        <v>1.0280581189231308</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234</v>
      </c>
      <c r="G494" s="28" t="s">
        <v>343</v>
      </c>
      <c r="H494" s="63"/>
      <c r="J494" s="101">
        <f t="shared" ref="J494:AP494" si="150">IF(J459 + J470 + J481 = 0, 1, J459 + J470 + J481)</f>
        <v>1.0003380454123563</v>
      </c>
      <c r="K494" s="101">
        <f t="shared" si="150"/>
        <v>1.0003380454123563</v>
      </c>
      <c r="L494" s="101">
        <f t="shared" si="150"/>
        <v>1.0003380454123563</v>
      </c>
      <c r="M494" s="101">
        <f t="shared" si="150"/>
        <v>0.99839845057842203</v>
      </c>
      <c r="N494" s="101">
        <f t="shared" si="150"/>
        <v>0.99839845057842203</v>
      </c>
      <c r="O494" s="101">
        <f t="shared" si="150"/>
        <v>0.99839845057842203</v>
      </c>
      <c r="P494" s="101">
        <f t="shared" si="150"/>
        <v>1</v>
      </c>
      <c r="Q494" s="101">
        <f t="shared" si="150"/>
        <v>1</v>
      </c>
      <c r="R494" s="101">
        <f t="shared" si="150"/>
        <v>1</v>
      </c>
      <c r="S494" s="101">
        <f t="shared" si="150"/>
        <v>0.87851770827465636</v>
      </c>
      <c r="T494" s="101">
        <f t="shared" si="150"/>
        <v>1.0279998060287392</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235</v>
      </c>
      <c r="G495" s="28" t="s">
        <v>343</v>
      </c>
      <c r="H495" s="63"/>
      <c r="J495" s="101">
        <f t="shared" ref="J495:AP495" si="151">IF(J460 + J471 + J482 = 0, 1, J460 + J471 + J482)</f>
        <v>1.0003380454123563</v>
      </c>
      <c r="K495" s="101">
        <f t="shared" si="151"/>
        <v>1.0003380454123563</v>
      </c>
      <c r="L495" s="101">
        <f t="shared" si="151"/>
        <v>1.0003380454123563</v>
      </c>
      <c r="M495" s="101">
        <f t="shared" si="151"/>
        <v>0.99839845057842203</v>
      </c>
      <c r="N495" s="101">
        <f t="shared" si="151"/>
        <v>0.99839845057842203</v>
      </c>
      <c r="O495" s="101">
        <f t="shared" si="151"/>
        <v>0.99839845057842203</v>
      </c>
      <c r="P495" s="101">
        <f t="shared" si="151"/>
        <v>1</v>
      </c>
      <c r="Q495" s="101">
        <f t="shared" si="151"/>
        <v>1</v>
      </c>
      <c r="R495" s="101">
        <f t="shared" si="151"/>
        <v>1</v>
      </c>
      <c r="S495" s="101">
        <f t="shared" si="151"/>
        <v>0.87851770827465636</v>
      </c>
      <c r="T495" s="101">
        <f t="shared" si="151"/>
        <v>1.0279998060287392</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236</v>
      </c>
      <c r="G496" s="67" t="s">
        <v>343</v>
      </c>
      <c r="H496" s="133"/>
      <c r="I496" s="37"/>
      <c r="J496" s="103">
        <f t="shared" ref="J496:AP496" si="152">IF(J461 + J472 + J483 = 0, 1, J461 + J472 + J483)</f>
        <v>1.0003380454123563</v>
      </c>
      <c r="K496" s="103">
        <f t="shared" si="152"/>
        <v>1.0003380454123563</v>
      </c>
      <c r="L496" s="103">
        <f t="shared" si="152"/>
        <v>1.0003380454123563</v>
      </c>
      <c r="M496" s="103">
        <f t="shared" si="152"/>
        <v>0.99839845057842203</v>
      </c>
      <c r="N496" s="103">
        <f t="shared" si="152"/>
        <v>0.99839845057842203</v>
      </c>
      <c r="O496" s="103">
        <f t="shared" si="152"/>
        <v>0.99839845057842203</v>
      </c>
      <c r="P496" s="103">
        <f t="shared" si="152"/>
        <v>1</v>
      </c>
      <c r="Q496" s="103">
        <f t="shared" si="152"/>
        <v>1</v>
      </c>
      <c r="R496" s="103">
        <f t="shared" si="152"/>
        <v>1</v>
      </c>
      <c r="S496" s="103">
        <f t="shared" si="152"/>
        <v>0.87851770827465636</v>
      </c>
      <c r="T496" s="103">
        <f t="shared" si="152"/>
        <v>1.0279998060287392</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601</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602</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552</v>
      </c>
      <c r="G504" s="28" t="s">
        <v>343</v>
      </c>
      <c r="J504" s="124">
        <f t="shared" ref="J504:AP504" si="153">J116</f>
        <v>2.230668585312972</v>
      </c>
      <c r="K504" s="124">
        <f t="shared" si="153"/>
        <v>1.8427737701631894</v>
      </c>
      <c r="L504" s="124">
        <f t="shared" si="153"/>
        <v>0</v>
      </c>
      <c r="M504" s="124">
        <f t="shared" si="153"/>
        <v>1.7825415717829454</v>
      </c>
      <c r="N504" s="124">
        <f t="shared" si="153"/>
        <v>1.6077093701950986</v>
      </c>
      <c r="O504" s="124">
        <f t="shared" si="153"/>
        <v>0</v>
      </c>
      <c r="P504" s="124">
        <f t="shared" si="153"/>
        <v>1.5419184196255049</v>
      </c>
      <c r="Q504" s="124">
        <f t="shared" si="153"/>
        <v>1.5419184196255049</v>
      </c>
      <c r="R504" s="124">
        <f t="shared" si="153"/>
        <v>1.5728035569641943</v>
      </c>
      <c r="S504" s="124">
        <f t="shared" si="153"/>
        <v>2.0920850032493314</v>
      </c>
      <c r="T504" s="124">
        <f t="shared" si="153"/>
        <v>1.6626920019262783</v>
      </c>
      <c r="U504" s="124">
        <f t="shared" si="153"/>
        <v>1.4166403247012538</v>
      </c>
      <c r="V504" s="124">
        <f t="shared" si="153"/>
        <v>1.3790568699378303</v>
      </c>
      <c r="W504" s="124">
        <f t="shared" si="153"/>
        <v>1.1304209062948314</v>
      </c>
      <c r="X504" s="124">
        <f t="shared" si="153"/>
        <v>1.000000000000107</v>
      </c>
      <c r="Y504" s="124">
        <f t="shared" si="153"/>
        <v>2.1124063696590247</v>
      </c>
      <c r="Z504" s="124">
        <f t="shared" si="153"/>
        <v>3.8306161778303376</v>
      </c>
      <c r="AA504" s="124">
        <f t="shared" si="153"/>
        <v>5.5372474548933813E-4</v>
      </c>
      <c r="AB504" s="124">
        <f t="shared" si="153"/>
        <v>2.1264926338958143</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193</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228</v>
      </c>
      <c r="G509" s="64" t="s">
        <v>343</v>
      </c>
      <c r="H509" s="23"/>
      <c r="I509" s="23"/>
      <c r="J509" s="104">
        <f t="shared" ref="J509:AP509" si="154">J293 * J488</f>
        <v>2.1807908807880709</v>
      </c>
      <c r="K509" s="104">
        <f t="shared" si="154"/>
        <v>2.6171163772064023</v>
      </c>
      <c r="L509" s="104">
        <f t="shared" si="154"/>
        <v>0.56734062438250188</v>
      </c>
      <c r="M509" s="104">
        <f t="shared" si="154"/>
        <v>1.8305981160733231</v>
      </c>
      <c r="N509" s="104">
        <f t="shared" si="154"/>
        <v>2.1189847740834802</v>
      </c>
      <c r="O509" s="104">
        <f t="shared" si="154"/>
        <v>0.22310860654072326</v>
      </c>
      <c r="P509" s="104">
        <f t="shared" si="154"/>
        <v>2.0212381171457885</v>
      </c>
      <c r="Q509" s="104">
        <f t="shared" si="154"/>
        <v>1.5617677718572813</v>
      </c>
      <c r="R509" s="104">
        <f t="shared" si="154"/>
        <v>2.1321313712203991</v>
      </c>
      <c r="S509" s="104">
        <f t="shared" si="154"/>
        <v>15.12702328718407</v>
      </c>
      <c r="T509" s="104">
        <f t="shared" si="154"/>
        <v>14.06832045999138</v>
      </c>
      <c r="U509" s="104">
        <f t="shared" si="154"/>
        <v>11.76292315998421</v>
      </c>
      <c r="V509" s="104">
        <f t="shared" si="154"/>
        <v>11.524916735273678</v>
      </c>
      <c r="W509" s="104">
        <f t="shared" si="154"/>
        <v>10.357069752664287</v>
      </c>
      <c r="X509" s="104">
        <f t="shared" si="154"/>
        <v>1.2095736174987421</v>
      </c>
      <c r="Y509" s="104">
        <f t="shared" si="154"/>
        <v>1.6780027160525404</v>
      </c>
      <c r="Z509" s="104">
        <f t="shared" si="154"/>
        <v>3.1130261035743256</v>
      </c>
      <c r="AA509" s="104">
        <f t="shared" si="154"/>
        <v>0.74408439611735222</v>
      </c>
      <c r="AB509" s="104">
        <f t="shared" si="154"/>
        <v>31.859749087532848</v>
      </c>
      <c r="AC509" s="104">
        <f t="shared" si="154"/>
        <v>1</v>
      </c>
      <c r="AD509" s="104">
        <f t="shared" si="154"/>
        <v>1</v>
      </c>
      <c r="AE509" s="104">
        <f t="shared" si="154"/>
        <v>1</v>
      </c>
      <c r="AF509" s="104">
        <f t="shared" si="154"/>
        <v>1</v>
      </c>
      <c r="AG509" s="104">
        <f t="shared" si="154"/>
        <v>9.9487064285446856</v>
      </c>
      <c r="AH509" s="104">
        <f t="shared" si="154"/>
        <v>9.9487064285446856</v>
      </c>
      <c r="AI509" s="104">
        <f t="shared" si="154"/>
        <v>1</v>
      </c>
      <c r="AJ509" s="104">
        <f t="shared" si="154"/>
        <v>1</v>
      </c>
      <c r="AK509" s="104">
        <f t="shared" si="154"/>
        <v>9.9487064285446856</v>
      </c>
      <c r="AL509" s="104">
        <f t="shared" si="154"/>
        <v>9.9487064285446856</v>
      </c>
      <c r="AM509" s="104">
        <f t="shared" si="154"/>
        <v>1</v>
      </c>
      <c r="AN509" s="104">
        <f t="shared" si="154"/>
        <v>1</v>
      </c>
      <c r="AO509" s="104">
        <f t="shared" si="154"/>
        <v>9.9487064285446856</v>
      </c>
      <c r="AP509" s="104">
        <f t="shared" si="154"/>
        <v>9.9487064285446856</v>
      </c>
    </row>
    <row r="510" spans="2:44" x14ac:dyDescent="0.25">
      <c r="F510" s="28" t="s">
        <v>229</v>
      </c>
      <c r="G510" s="28" t="s">
        <v>343</v>
      </c>
      <c r="J510" s="124">
        <f t="shared" ref="J510:AP510" si="155">J294 * J489</f>
        <v>2.1199373449906784</v>
      </c>
      <c r="K510" s="124">
        <f t="shared" si="155"/>
        <v>2.5398556248087099</v>
      </c>
      <c r="L510" s="124">
        <f t="shared" si="155"/>
        <v>0.62986921817159047</v>
      </c>
      <c r="M510" s="124">
        <f t="shared" si="155"/>
        <v>1.8634983769316782</v>
      </c>
      <c r="N510" s="124">
        <f t="shared" si="155"/>
        <v>2.1299899451884969</v>
      </c>
      <c r="O510" s="124">
        <f t="shared" si="155"/>
        <v>0.28155421309377499</v>
      </c>
      <c r="P510" s="124">
        <f t="shared" si="155"/>
        <v>2.025478572211715</v>
      </c>
      <c r="Q510" s="124">
        <f t="shared" si="155"/>
        <v>1.5658802339295605</v>
      </c>
      <c r="R510" s="124">
        <f t="shared" si="155"/>
        <v>2.1482935142613062</v>
      </c>
      <c r="S510" s="124">
        <f t="shared" si="155"/>
        <v>13.156969672521958</v>
      </c>
      <c r="T510" s="124">
        <f t="shared" si="155"/>
        <v>12.234563427842506</v>
      </c>
      <c r="U510" s="124">
        <f t="shared" si="155"/>
        <v>10.230764669237841</v>
      </c>
      <c r="V510" s="124">
        <f t="shared" si="155"/>
        <v>10.023759345147685</v>
      </c>
      <c r="W510" s="124">
        <f t="shared" si="155"/>
        <v>9.0080281798365434</v>
      </c>
      <c r="X510" s="124">
        <f t="shared" si="155"/>
        <v>1.2091816158103814</v>
      </c>
      <c r="Y510" s="124">
        <f t="shared" si="155"/>
        <v>1.6476207301726158</v>
      </c>
      <c r="Z510" s="124">
        <f t="shared" si="155"/>
        <v>3.0315940766510652</v>
      </c>
      <c r="AA510" s="124">
        <f t="shared" si="155"/>
        <v>0.77268628544056728</v>
      </c>
      <c r="AB510" s="124">
        <f t="shared" si="155"/>
        <v>30.680807090232229</v>
      </c>
      <c r="AC510" s="124">
        <f t="shared" si="155"/>
        <v>1</v>
      </c>
      <c r="AD510" s="124">
        <f t="shared" si="155"/>
        <v>1</v>
      </c>
      <c r="AE510" s="124">
        <f t="shared" si="155"/>
        <v>1</v>
      </c>
      <c r="AF510" s="124">
        <f t="shared" si="155"/>
        <v>1</v>
      </c>
      <c r="AG510" s="124">
        <f t="shared" si="155"/>
        <v>8.6528554891887079</v>
      </c>
      <c r="AH510" s="124">
        <f t="shared" si="155"/>
        <v>8.6528554891887079</v>
      </c>
      <c r="AI510" s="124">
        <f t="shared" si="155"/>
        <v>1</v>
      </c>
      <c r="AJ510" s="124">
        <f t="shared" si="155"/>
        <v>1</v>
      </c>
      <c r="AK510" s="124">
        <f t="shared" si="155"/>
        <v>8.6528554891887079</v>
      </c>
      <c r="AL510" s="124">
        <f t="shared" si="155"/>
        <v>8.6528554891887079</v>
      </c>
      <c r="AM510" s="124">
        <f t="shared" si="155"/>
        <v>1</v>
      </c>
      <c r="AN510" s="124">
        <f t="shared" si="155"/>
        <v>1</v>
      </c>
      <c r="AO510" s="124">
        <f t="shared" si="155"/>
        <v>8.6528554891887079</v>
      </c>
      <c r="AP510" s="124">
        <f t="shared" si="155"/>
        <v>8.6528554891887079</v>
      </c>
    </row>
    <row r="511" spans="2:44" x14ac:dyDescent="0.25">
      <c r="F511" s="28" t="s">
        <v>230</v>
      </c>
      <c r="G511" s="28" t="s">
        <v>343</v>
      </c>
      <c r="J511" s="124">
        <f t="shared" ref="J511:AP511" si="156">J295 * J490</f>
        <v>2.1199373449906784</v>
      </c>
      <c r="K511" s="124">
        <f t="shared" si="156"/>
        <v>2.5398556248087099</v>
      </c>
      <c r="L511" s="124">
        <f t="shared" si="156"/>
        <v>0.62986921817159047</v>
      </c>
      <c r="M511" s="124">
        <f t="shared" si="156"/>
        <v>1.8634983769316782</v>
      </c>
      <c r="N511" s="124">
        <f t="shared" si="156"/>
        <v>2.1299899451884969</v>
      </c>
      <c r="O511" s="124">
        <f t="shared" si="156"/>
        <v>0.28155421309377499</v>
      </c>
      <c r="P511" s="124">
        <f t="shared" si="156"/>
        <v>2.025478572211715</v>
      </c>
      <c r="Q511" s="124">
        <f t="shared" si="156"/>
        <v>1.5658802339295605</v>
      </c>
      <c r="R511" s="124">
        <f t="shared" si="156"/>
        <v>2.1482935142613062</v>
      </c>
      <c r="S511" s="124">
        <f t="shared" si="156"/>
        <v>13.156969672521958</v>
      </c>
      <c r="T511" s="124">
        <f t="shared" si="156"/>
        <v>12.234563427842506</v>
      </c>
      <c r="U511" s="124">
        <f t="shared" si="156"/>
        <v>10.230764669237841</v>
      </c>
      <c r="V511" s="124">
        <f t="shared" si="156"/>
        <v>10.023759345147685</v>
      </c>
      <c r="W511" s="124">
        <f t="shared" si="156"/>
        <v>9.0080281798365434</v>
      </c>
      <c r="X511" s="124">
        <f t="shared" si="156"/>
        <v>1.2091816158103814</v>
      </c>
      <c r="Y511" s="124">
        <f t="shared" si="156"/>
        <v>1.6476207301726158</v>
      </c>
      <c r="Z511" s="124">
        <f t="shared" si="156"/>
        <v>3.0315940766510652</v>
      </c>
      <c r="AA511" s="124">
        <f t="shared" si="156"/>
        <v>0.77268628544056728</v>
      </c>
      <c r="AB511" s="124">
        <f t="shared" si="156"/>
        <v>30.680807090232229</v>
      </c>
      <c r="AC511" s="124">
        <f t="shared" si="156"/>
        <v>1</v>
      </c>
      <c r="AD511" s="124">
        <f t="shared" si="156"/>
        <v>1</v>
      </c>
      <c r="AE511" s="124">
        <f t="shared" si="156"/>
        <v>1</v>
      </c>
      <c r="AF511" s="124">
        <f t="shared" si="156"/>
        <v>1</v>
      </c>
      <c r="AG511" s="124">
        <f t="shared" si="156"/>
        <v>8.6528554891887079</v>
      </c>
      <c r="AH511" s="124">
        <f t="shared" si="156"/>
        <v>8.6528554891887079</v>
      </c>
      <c r="AI511" s="124">
        <f t="shared" si="156"/>
        <v>1</v>
      </c>
      <c r="AJ511" s="124">
        <f t="shared" si="156"/>
        <v>1</v>
      </c>
      <c r="AK511" s="124">
        <f t="shared" si="156"/>
        <v>8.6528554891887079</v>
      </c>
      <c r="AL511" s="124">
        <f t="shared" si="156"/>
        <v>8.6528554891887079</v>
      </c>
      <c r="AM511" s="124">
        <f t="shared" si="156"/>
        <v>1</v>
      </c>
      <c r="AN511" s="124">
        <f t="shared" si="156"/>
        <v>1</v>
      </c>
      <c r="AO511" s="124">
        <f t="shared" si="156"/>
        <v>8.6528554891887079</v>
      </c>
      <c r="AP511" s="124">
        <f t="shared" si="156"/>
        <v>8.6528554891887079</v>
      </c>
    </row>
    <row r="512" spans="2:44" x14ac:dyDescent="0.25">
      <c r="F512" s="28" t="s">
        <v>231</v>
      </c>
      <c r="G512" s="28" t="s">
        <v>343</v>
      </c>
      <c r="J512" s="124">
        <f t="shared" ref="J512:AP512" si="157">J296 * J491</f>
        <v>2.0491339325646636</v>
      </c>
      <c r="K512" s="124">
        <f t="shared" si="157"/>
        <v>2.446604752565642</v>
      </c>
      <c r="L512" s="124">
        <f t="shared" si="157"/>
        <v>0.69657248934358806</v>
      </c>
      <c r="M512" s="124">
        <f t="shared" si="157"/>
        <v>1.883334100485887</v>
      </c>
      <c r="N512" s="124">
        <f t="shared" si="157"/>
        <v>2.1253232903477883</v>
      </c>
      <c r="O512" s="124">
        <f t="shared" si="157"/>
        <v>0.35205062707632079</v>
      </c>
      <c r="P512" s="124">
        <f t="shared" si="157"/>
        <v>2.0138469291147127</v>
      </c>
      <c r="Q512" s="124">
        <f t="shared" si="157"/>
        <v>1.5578439321096642</v>
      </c>
      <c r="R512" s="124">
        <f t="shared" si="157"/>
        <v>2.1470067563918569</v>
      </c>
      <c r="S512" s="124">
        <f t="shared" si="157"/>
        <v>11.05672165212744</v>
      </c>
      <c r="T512" s="124">
        <f t="shared" si="157"/>
        <v>10.280199456238735</v>
      </c>
      <c r="U512" s="124">
        <f t="shared" si="157"/>
        <v>8.5969775694748787</v>
      </c>
      <c r="V512" s="124">
        <f t="shared" si="157"/>
        <v>8.4230296598610472</v>
      </c>
      <c r="W512" s="124">
        <f t="shared" si="157"/>
        <v>7.569504207257026</v>
      </c>
      <c r="X512" s="124">
        <f t="shared" si="157"/>
        <v>1.2075246920838687</v>
      </c>
      <c r="Y512" s="124">
        <f t="shared" si="157"/>
        <v>1.4806590276438236</v>
      </c>
      <c r="Z512" s="124">
        <f t="shared" si="157"/>
        <v>2.6767872117120697</v>
      </c>
      <c r="AA512" s="124">
        <f t="shared" si="157"/>
        <v>0.92899252566537083</v>
      </c>
      <c r="AB512" s="124">
        <f t="shared" si="157"/>
        <v>25.978852580500728</v>
      </c>
      <c r="AC512" s="124">
        <f t="shared" si="157"/>
        <v>0.99999999999999989</v>
      </c>
      <c r="AD512" s="124">
        <f t="shared" si="157"/>
        <v>0.99999999999999989</v>
      </c>
      <c r="AE512" s="124">
        <f t="shared" si="157"/>
        <v>0.99999999999999989</v>
      </c>
      <c r="AF512" s="124">
        <f t="shared" si="157"/>
        <v>0.99999999999999989</v>
      </c>
      <c r="AG512" s="124">
        <f t="shared" si="157"/>
        <v>7.2710503034182867</v>
      </c>
      <c r="AH512" s="124">
        <f t="shared" si="157"/>
        <v>7.2710503034182867</v>
      </c>
      <c r="AI512" s="124">
        <f t="shared" si="157"/>
        <v>0.99999999999999989</v>
      </c>
      <c r="AJ512" s="124">
        <f t="shared" si="157"/>
        <v>0.99999999999999989</v>
      </c>
      <c r="AK512" s="124">
        <f t="shared" si="157"/>
        <v>7.2710503034182867</v>
      </c>
      <c r="AL512" s="124">
        <f t="shared" si="157"/>
        <v>7.2710503034182867</v>
      </c>
      <c r="AM512" s="124">
        <f t="shared" si="157"/>
        <v>0.99999999999999989</v>
      </c>
      <c r="AN512" s="124">
        <f t="shared" si="157"/>
        <v>0.99999999999999989</v>
      </c>
      <c r="AO512" s="124">
        <f t="shared" si="157"/>
        <v>7.2710503034182867</v>
      </c>
      <c r="AP512" s="124">
        <f t="shared" si="157"/>
        <v>7.2710503034182867</v>
      </c>
    </row>
    <row r="513" spans="5:42" x14ac:dyDescent="0.25">
      <c r="F513" s="28" t="s">
        <v>232</v>
      </c>
      <c r="G513" s="28" t="s">
        <v>343</v>
      </c>
      <c r="J513" s="124">
        <f t="shared" ref="J513:AP513" si="158">J297 * J492</f>
        <v>2.0491339325646636</v>
      </c>
      <c r="K513" s="124">
        <f t="shared" si="158"/>
        <v>2.446604752565642</v>
      </c>
      <c r="L513" s="124">
        <f t="shared" si="158"/>
        <v>0.69657248934358806</v>
      </c>
      <c r="M513" s="124">
        <f t="shared" si="158"/>
        <v>1.883334100485887</v>
      </c>
      <c r="N513" s="124">
        <f t="shared" si="158"/>
        <v>2.1253232903477883</v>
      </c>
      <c r="O513" s="124">
        <f t="shared" si="158"/>
        <v>0.35205062707632079</v>
      </c>
      <c r="P513" s="124">
        <f t="shared" si="158"/>
        <v>2.0138469291147127</v>
      </c>
      <c r="Q513" s="124">
        <f t="shared" si="158"/>
        <v>1.5578439321096642</v>
      </c>
      <c r="R513" s="124">
        <f t="shared" si="158"/>
        <v>2.1470067563918569</v>
      </c>
      <c r="S513" s="124">
        <f t="shared" si="158"/>
        <v>11.05672165212744</v>
      </c>
      <c r="T513" s="124">
        <f t="shared" si="158"/>
        <v>10.280199456238735</v>
      </c>
      <c r="U513" s="124">
        <f t="shared" si="158"/>
        <v>8.5969775694748787</v>
      </c>
      <c r="V513" s="124">
        <f t="shared" si="158"/>
        <v>8.4230296598610472</v>
      </c>
      <c r="W513" s="124">
        <f t="shared" si="158"/>
        <v>7.569504207257026</v>
      </c>
      <c r="X513" s="124">
        <f t="shared" si="158"/>
        <v>1.2075246920838687</v>
      </c>
      <c r="Y513" s="124">
        <f t="shared" si="158"/>
        <v>1.4806590276438236</v>
      </c>
      <c r="Z513" s="124">
        <f t="shared" si="158"/>
        <v>2.6767872117120697</v>
      </c>
      <c r="AA513" s="124">
        <f t="shared" si="158"/>
        <v>0.92899252566537083</v>
      </c>
      <c r="AB513" s="124">
        <f t="shared" si="158"/>
        <v>25.978852580500728</v>
      </c>
      <c r="AC513" s="124">
        <f t="shared" si="158"/>
        <v>0.99999999999999989</v>
      </c>
      <c r="AD513" s="124">
        <f t="shared" si="158"/>
        <v>0.99999999999999989</v>
      </c>
      <c r="AE513" s="124">
        <f t="shared" si="158"/>
        <v>0.99999999999999989</v>
      </c>
      <c r="AF513" s="124">
        <f t="shared" si="158"/>
        <v>0.99999999999999989</v>
      </c>
      <c r="AG513" s="124">
        <f t="shared" si="158"/>
        <v>7.2710503034182867</v>
      </c>
      <c r="AH513" s="124">
        <f t="shared" si="158"/>
        <v>7.2710503034182867</v>
      </c>
      <c r="AI513" s="124">
        <f t="shared" si="158"/>
        <v>0.99999999999999989</v>
      </c>
      <c r="AJ513" s="124">
        <f t="shared" si="158"/>
        <v>0.99999999999999989</v>
      </c>
      <c r="AK513" s="124">
        <f t="shared" si="158"/>
        <v>7.2710503034182867</v>
      </c>
      <c r="AL513" s="124">
        <f t="shared" si="158"/>
        <v>7.2710503034182867</v>
      </c>
      <c r="AM513" s="124">
        <f t="shared" si="158"/>
        <v>0.99999999999999989</v>
      </c>
      <c r="AN513" s="124">
        <f t="shared" si="158"/>
        <v>0.99999999999999989</v>
      </c>
      <c r="AO513" s="124">
        <f t="shared" si="158"/>
        <v>7.2710503034182867</v>
      </c>
      <c r="AP513" s="124">
        <f t="shared" si="158"/>
        <v>7.2710503034182867</v>
      </c>
    </row>
    <row r="514" spans="5:42" x14ac:dyDescent="0.25">
      <c r="F514" s="28" t="s">
        <v>233</v>
      </c>
      <c r="G514" s="28" t="s">
        <v>343</v>
      </c>
      <c r="J514" s="124">
        <f t="shared" ref="J514:AP514" si="159">J298 * J493</f>
        <v>2.1199373449906784</v>
      </c>
      <c r="K514" s="124">
        <f t="shared" si="159"/>
        <v>2.5398556248087099</v>
      </c>
      <c r="L514" s="124">
        <f t="shared" si="159"/>
        <v>0.62986921817159047</v>
      </c>
      <c r="M514" s="124">
        <f t="shared" si="159"/>
        <v>1.8634983769316782</v>
      </c>
      <c r="N514" s="124">
        <f t="shared" si="159"/>
        <v>2.1299899451884969</v>
      </c>
      <c r="O514" s="124">
        <f t="shared" si="159"/>
        <v>0.28155421309377499</v>
      </c>
      <c r="P514" s="124">
        <f t="shared" si="159"/>
        <v>2.025478572211715</v>
      </c>
      <c r="Q514" s="124">
        <f t="shared" si="159"/>
        <v>1.5658802339295605</v>
      </c>
      <c r="R514" s="124">
        <f t="shared" si="159"/>
        <v>2.1482935142613062</v>
      </c>
      <c r="S514" s="124">
        <f t="shared" si="159"/>
        <v>13.156969672521958</v>
      </c>
      <c r="T514" s="124">
        <f t="shared" si="159"/>
        <v>12.234563427842506</v>
      </c>
      <c r="U514" s="124">
        <f t="shared" si="159"/>
        <v>10.230764669237841</v>
      </c>
      <c r="V514" s="124">
        <f t="shared" si="159"/>
        <v>10.023759345147685</v>
      </c>
      <c r="W514" s="124">
        <f t="shared" si="159"/>
        <v>9.0080281798365434</v>
      </c>
      <c r="X514" s="124">
        <f t="shared" si="159"/>
        <v>1.2091816158103814</v>
      </c>
      <c r="Y514" s="124">
        <f t="shared" si="159"/>
        <v>1.6476207301726158</v>
      </c>
      <c r="Z514" s="124">
        <f t="shared" si="159"/>
        <v>3.0315940766510652</v>
      </c>
      <c r="AA514" s="124">
        <f t="shared" si="159"/>
        <v>0.77268628544056728</v>
      </c>
      <c r="AB514" s="124">
        <f t="shared" si="159"/>
        <v>30.680807090232229</v>
      </c>
      <c r="AC514" s="124">
        <f t="shared" si="159"/>
        <v>1</v>
      </c>
      <c r="AD514" s="124">
        <f t="shared" si="159"/>
        <v>1</v>
      </c>
      <c r="AE514" s="124">
        <f t="shared" si="159"/>
        <v>1</v>
      </c>
      <c r="AF514" s="124">
        <f t="shared" si="159"/>
        <v>1</v>
      </c>
      <c r="AG514" s="124">
        <f t="shared" si="159"/>
        <v>8.6528554891887079</v>
      </c>
      <c r="AH514" s="124">
        <f t="shared" si="159"/>
        <v>8.6528554891887079</v>
      </c>
      <c r="AI514" s="124">
        <f t="shared" si="159"/>
        <v>1</v>
      </c>
      <c r="AJ514" s="124">
        <f t="shared" si="159"/>
        <v>1</v>
      </c>
      <c r="AK514" s="124">
        <f t="shared" si="159"/>
        <v>8.6528554891887079</v>
      </c>
      <c r="AL514" s="124">
        <f t="shared" si="159"/>
        <v>8.6528554891887079</v>
      </c>
      <c r="AM514" s="124">
        <f t="shared" si="159"/>
        <v>1</v>
      </c>
      <c r="AN514" s="124">
        <f t="shared" si="159"/>
        <v>1</v>
      </c>
      <c r="AO514" s="124">
        <f t="shared" si="159"/>
        <v>8.6528554891887079</v>
      </c>
      <c r="AP514" s="124">
        <f t="shared" si="159"/>
        <v>8.6528554891887079</v>
      </c>
    </row>
    <row r="515" spans="5:42" x14ac:dyDescent="0.25">
      <c r="F515" s="28" t="s">
        <v>234</v>
      </c>
      <c r="G515" s="28" t="s">
        <v>343</v>
      </c>
      <c r="J515" s="124">
        <f t="shared" ref="J515:AP515" si="160">J299 * J494</f>
        <v>2.0491339325646636</v>
      </c>
      <c r="K515" s="124">
        <f t="shared" si="160"/>
        <v>2.446604752565642</v>
      </c>
      <c r="L515" s="124">
        <f t="shared" si="160"/>
        <v>0.69657248934358806</v>
      </c>
      <c r="M515" s="124">
        <f t="shared" si="160"/>
        <v>1.883334100485887</v>
      </c>
      <c r="N515" s="124">
        <f t="shared" si="160"/>
        <v>2.1253232903477883</v>
      </c>
      <c r="O515" s="124">
        <f t="shared" si="160"/>
        <v>0.35205062707632079</v>
      </c>
      <c r="P515" s="124">
        <f t="shared" si="160"/>
        <v>2.0138469291147127</v>
      </c>
      <c r="Q515" s="124">
        <f t="shared" si="160"/>
        <v>1.5578439321096642</v>
      </c>
      <c r="R515" s="124">
        <f t="shared" si="160"/>
        <v>2.1470067563918569</v>
      </c>
      <c r="S515" s="124">
        <f t="shared" si="160"/>
        <v>11.05672165212744</v>
      </c>
      <c r="T515" s="124">
        <f t="shared" si="160"/>
        <v>10.280199456238735</v>
      </c>
      <c r="U515" s="124">
        <f t="shared" si="160"/>
        <v>8.5969775694748787</v>
      </c>
      <c r="V515" s="124">
        <f t="shared" si="160"/>
        <v>8.4230296598610472</v>
      </c>
      <c r="W515" s="124">
        <f t="shared" si="160"/>
        <v>7.569504207257026</v>
      </c>
      <c r="X515" s="124">
        <f t="shared" si="160"/>
        <v>1.2075246920838687</v>
      </c>
      <c r="Y515" s="124">
        <f t="shared" si="160"/>
        <v>1.4806590276438236</v>
      </c>
      <c r="Z515" s="124">
        <f t="shared" si="160"/>
        <v>2.6767872117120697</v>
      </c>
      <c r="AA515" s="124">
        <f t="shared" si="160"/>
        <v>0.92899252566537083</v>
      </c>
      <c r="AB515" s="124">
        <f t="shared" si="160"/>
        <v>25.978852580500728</v>
      </c>
      <c r="AC515" s="124">
        <f t="shared" si="160"/>
        <v>0.99999999999999989</v>
      </c>
      <c r="AD515" s="124">
        <f t="shared" si="160"/>
        <v>0.99999999999999989</v>
      </c>
      <c r="AE515" s="124">
        <f t="shared" si="160"/>
        <v>0.99999999999999989</v>
      </c>
      <c r="AF515" s="124">
        <f t="shared" si="160"/>
        <v>0.99999999999999989</v>
      </c>
      <c r="AG515" s="124">
        <f t="shared" si="160"/>
        <v>7.2710503034182867</v>
      </c>
      <c r="AH515" s="124">
        <f t="shared" si="160"/>
        <v>7.2710503034182867</v>
      </c>
      <c r="AI515" s="124">
        <f t="shared" si="160"/>
        <v>0.99999999999999989</v>
      </c>
      <c r="AJ515" s="124">
        <f t="shared" si="160"/>
        <v>0.99999999999999989</v>
      </c>
      <c r="AK515" s="124">
        <f t="shared" si="160"/>
        <v>7.2710503034182867</v>
      </c>
      <c r="AL515" s="124">
        <f t="shared" si="160"/>
        <v>7.2710503034182867</v>
      </c>
      <c r="AM515" s="124">
        <f t="shared" si="160"/>
        <v>0.99999999999999989</v>
      </c>
      <c r="AN515" s="124">
        <f t="shared" si="160"/>
        <v>0.99999999999999989</v>
      </c>
      <c r="AO515" s="124">
        <f t="shared" si="160"/>
        <v>7.2710503034182867</v>
      </c>
      <c r="AP515" s="124">
        <f t="shared" si="160"/>
        <v>7.2710503034182867</v>
      </c>
    </row>
    <row r="516" spans="5:42" x14ac:dyDescent="0.25">
      <c r="F516" s="28" t="s">
        <v>235</v>
      </c>
      <c r="G516" s="28" t="s">
        <v>343</v>
      </c>
      <c r="J516" s="124">
        <f t="shared" ref="J516:AP516" si="161">J300 * J495</f>
        <v>2.0491339325646636</v>
      </c>
      <c r="K516" s="124">
        <f t="shared" si="161"/>
        <v>2.446604752565642</v>
      </c>
      <c r="L516" s="124">
        <f t="shared" si="161"/>
        <v>0.69657248934358806</v>
      </c>
      <c r="M516" s="124">
        <f t="shared" si="161"/>
        <v>1.883334100485887</v>
      </c>
      <c r="N516" s="124">
        <f t="shared" si="161"/>
        <v>2.1253232903477883</v>
      </c>
      <c r="O516" s="124">
        <f t="shared" si="161"/>
        <v>0.35205062707632079</v>
      </c>
      <c r="P516" s="124">
        <f t="shared" si="161"/>
        <v>2.0138469291147127</v>
      </c>
      <c r="Q516" s="124">
        <f t="shared" si="161"/>
        <v>1.5578439321096642</v>
      </c>
      <c r="R516" s="124">
        <f t="shared" si="161"/>
        <v>2.1470067563918569</v>
      </c>
      <c r="S516" s="124">
        <f t="shared" si="161"/>
        <v>11.05672165212744</v>
      </c>
      <c r="T516" s="124">
        <f t="shared" si="161"/>
        <v>10.280199456238735</v>
      </c>
      <c r="U516" s="124">
        <f t="shared" si="161"/>
        <v>8.5969775694748787</v>
      </c>
      <c r="V516" s="124">
        <f t="shared" si="161"/>
        <v>8.4230296598610472</v>
      </c>
      <c r="W516" s="124">
        <f t="shared" si="161"/>
        <v>7.569504207257026</v>
      </c>
      <c r="X516" s="124">
        <f t="shared" si="161"/>
        <v>1.2075246920838687</v>
      </c>
      <c r="Y516" s="124">
        <f t="shared" si="161"/>
        <v>1.4806590276438236</v>
      </c>
      <c r="Z516" s="124">
        <f t="shared" si="161"/>
        <v>2.6767872117120697</v>
      </c>
      <c r="AA516" s="124">
        <f t="shared" si="161"/>
        <v>0.92899252566537083</v>
      </c>
      <c r="AB516" s="124">
        <f t="shared" si="161"/>
        <v>25.978852580500728</v>
      </c>
      <c r="AC516" s="124">
        <f t="shared" si="161"/>
        <v>0.99999999999999989</v>
      </c>
      <c r="AD516" s="124">
        <f t="shared" si="161"/>
        <v>0.99999999999999989</v>
      </c>
      <c r="AE516" s="124">
        <f t="shared" si="161"/>
        <v>0.99999999999999989</v>
      </c>
      <c r="AF516" s="124">
        <f t="shared" si="161"/>
        <v>0.99999999999999989</v>
      </c>
      <c r="AG516" s="124">
        <f t="shared" si="161"/>
        <v>7.2710503034182867</v>
      </c>
      <c r="AH516" s="124">
        <f t="shared" si="161"/>
        <v>7.2710503034182867</v>
      </c>
      <c r="AI516" s="124">
        <f t="shared" si="161"/>
        <v>0.99999999999999989</v>
      </c>
      <c r="AJ516" s="124">
        <f t="shared" si="161"/>
        <v>0.99999999999999989</v>
      </c>
      <c r="AK516" s="124">
        <f t="shared" si="161"/>
        <v>7.2710503034182867</v>
      </c>
      <c r="AL516" s="124">
        <f t="shared" si="161"/>
        <v>7.2710503034182867</v>
      </c>
      <c r="AM516" s="124">
        <f t="shared" si="161"/>
        <v>0.99999999999999989</v>
      </c>
      <c r="AN516" s="124">
        <f t="shared" si="161"/>
        <v>0.99999999999999989</v>
      </c>
      <c r="AO516" s="124">
        <f t="shared" si="161"/>
        <v>7.2710503034182867</v>
      </c>
      <c r="AP516" s="124">
        <f t="shared" si="161"/>
        <v>7.2710503034182867</v>
      </c>
    </row>
    <row r="517" spans="5:42" x14ac:dyDescent="0.25">
      <c r="F517" s="67" t="s">
        <v>236</v>
      </c>
      <c r="G517" s="67" t="s">
        <v>343</v>
      </c>
      <c r="H517" s="37"/>
      <c r="I517" s="37"/>
      <c r="J517" s="134">
        <f t="shared" ref="J517:AP517" si="162">J301 * J496</f>
        <v>2.0491339325646636</v>
      </c>
      <c r="K517" s="134">
        <f t="shared" si="162"/>
        <v>2.446604752565642</v>
      </c>
      <c r="L517" s="134">
        <f t="shared" si="162"/>
        <v>0.69657248934358806</v>
      </c>
      <c r="M517" s="134">
        <f t="shared" si="162"/>
        <v>1.883334100485887</v>
      </c>
      <c r="N517" s="134">
        <f t="shared" si="162"/>
        <v>2.1253232903477883</v>
      </c>
      <c r="O517" s="134">
        <f t="shared" si="162"/>
        <v>0.35205062707632079</v>
      </c>
      <c r="P517" s="134">
        <f t="shared" si="162"/>
        <v>2.0138469291147127</v>
      </c>
      <c r="Q517" s="134">
        <f t="shared" si="162"/>
        <v>1.5578439321096642</v>
      </c>
      <c r="R517" s="134">
        <f t="shared" si="162"/>
        <v>2.1470067563918569</v>
      </c>
      <c r="S517" s="134">
        <f t="shared" si="162"/>
        <v>11.05672165212744</v>
      </c>
      <c r="T517" s="134">
        <f t="shared" si="162"/>
        <v>10.280199456238735</v>
      </c>
      <c r="U517" s="134">
        <f t="shared" si="162"/>
        <v>8.5969775694748787</v>
      </c>
      <c r="V517" s="134">
        <f t="shared" si="162"/>
        <v>8.4230296598610472</v>
      </c>
      <c r="W517" s="134">
        <f t="shared" si="162"/>
        <v>7.569504207257026</v>
      </c>
      <c r="X517" s="134">
        <f t="shared" si="162"/>
        <v>1.2075246920838687</v>
      </c>
      <c r="Y517" s="134">
        <f t="shared" si="162"/>
        <v>1.4806590276438236</v>
      </c>
      <c r="Z517" s="134">
        <f t="shared" si="162"/>
        <v>2.6767872117120697</v>
      </c>
      <c r="AA517" s="134">
        <f t="shared" si="162"/>
        <v>0.92899252566537083</v>
      </c>
      <c r="AB517" s="134">
        <f t="shared" si="162"/>
        <v>25.978852580500728</v>
      </c>
      <c r="AC517" s="134">
        <f t="shared" si="162"/>
        <v>0.99999999999999989</v>
      </c>
      <c r="AD517" s="134">
        <f t="shared" si="162"/>
        <v>0.99999999999999989</v>
      </c>
      <c r="AE517" s="134">
        <f t="shared" si="162"/>
        <v>0.99999999999999989</v>
      </c>
      <c r="AF517" s="134">
        <f t="shared" si="162"/>
        <v>0.99999999999999989</v>
      </c>
      <c r="AG517" s="134">
        <f t="shared" si="162"/>
        <v>7.2710503034182867</v>
      </c>
      <c r="AH517" s="134">
        <f t="shared" si="162"/>
        <v>7.2710503034182867</v>
      </c>
      <c r="AI517" s="134">
        <f t="shared" si="162"/>
        <v>0.99999999999999989</v>
      </c>
      <c r="AJ517" s="134">
        <f t="shared" si="162"/>
        <v>0.99999999999999989</v>
      </c>
      <c r="AK517" s="134">
        <f t="shared" si="162"/>
        <v>7.2710503034182867</v>
      </c>
      <c r="AL517" s="134">
        <f t="shared" si="162"/>
        <v>7.2710503034182867</v>
      </c>
      <c r="AM517" s="134">
        <f t="shared" si="162"/>
        <v>0.99999999999999989</v>
      </c>
      <c r="AN517" s="134">
        <f t="shared" si="162"/>
        <v>0.99999999999999989</v>
      </c>
      <c r="AO517" s="134">
        <f t="shared" si="162"/>
        <v>7.2710503034182867</v>
      </c>
      <c r="AP517" s="134">
        <f t="shared" si="162"/>
        <v>7.2710503034182867</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194</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228</v>
      </c>
      <c r="G520" s="64" t="s">
        <v>343</v>
      </c>
      <c r="H520" s="23"/>
      <c r="I520" s="23"/>
      <c r="J520" s="104">
        <f t="shared" ref="J520:AP520" si="163">J304 * J488</f>
        <v>0</v>
      </c>
      <c r="K520" s="104">
        <f t="shared" si="163"/>
        <v>0</v>
      </c>
      <c r="L520" s="104">
        <f t="shared" si="163"/>
        <v>0</v>
      </c>
      <c r="M520" s="104">
        <f t="shared" si="163"/>
        <v>0</v>
      </c>
      <c r="N520" s="104">
        <f t="shared" si="163"/>
        <v>0</v>
      </c>
      <c r="O520" s="104">
        <f t="shared" si="163"/>
        <v>0</v>
      </c>
      <c r="P520" s="104">
        <f t="shared" si="163"/>
        <v>0</v>
      </c>
      <c r="Q520" s="104">
        <f t="shared" si="163"/>
        <v>0</v>
      </c>
      <c r="R520" s="104">
        <f t="shared" si="163"/>
        <v>0</v>
      </c>
      <c r="S520" s="104">
        <f t="shared" si="163"/>
        <v>0.53827189090974181</v>
      </c>
      <c r="T520" s="104">
        <f t="shared" si="163"/>
        <v>0.50059957680764722</v>
      </c>
      <c r="U520" s="104">
        <f t="shared" si="163"/>
        <v>0.41856555462005562</v>
      </c>
      <c r="V520" s="104">
        <f t="shared" si="163"/>
        <v>0.41009646153773416</v>
      </c>
      <c r="W520" s="104">
        <f t="shared" si="163"/>
        <v>0.3685404202936533</v>
      </c>
      <c r="X520" s="104">
        <f t="shared" si="163"/>
        <v>0</v>
      </c>
      <c r="Y520" s="104">
        <f t="shared" si="163"/>
        <v>0</v>
      </c>
      <c r="Z520" s="104">
        <f t="shared" si="163"/>
        <v>0</v>
      </c>
      <c r="AA520" s="104">
        <f t="shared" si="163"/>
        <v>0</v>
      </c>
      <c r="AB520" s="104">
        <f t="shared" si="163"/>
        <v>0.73058262517062489</v>
      </c>
      <c r="AC520" s="104">
        <f t="shared" si="163"/>
        <v>0</v>
      </c>
      <c r="AD520" s="104">
        <f t="shared" si="163"/>
        <v>0</v>
      </c>
      <c r="AE520" s="104">
        <f t="shared" si="163"/>
        <v>0</v>
      </c>
      <c r="AF520" s="104">
        <f t="shared" si="163"/>
        <v>0</v>
      </c>
      <c r="AG520" s="104">
        <f t="shared" si="163"/>
        <v>0.35400943858767064</v>
      </c>
      <c r="AH520" s="104">
        <f t="shared" si="163"/>
        <v>0.35400943858767064</v>
      </c>
      <c r="AI520" s="104">
        <f t="shared" si="163"/>
        <v>0</v>
      </c>
      <c r="AJ520" s="104">
        <f t="shared" si="163"/>
        <v>0</v>
      </c>
      <c r="AK520" s="104">
        <f t="shared" si="163"/>
        <v>0.35400943858767064</v>
      </c>
      <c r="AL520" s="104">
        <f t="shared" si="163"/>
        <v>0.35400943858767064</v>
      </c>
      <c r="AM520" s="104">
        <f t="shared" si="163"/>
        <v>0</v>
      </c>
      <c r="AN520" s="104">
        <f t="shared" si="163"/>
        <v>0</v>
      </c>
      <c r="AO520" s="104">
        <f t="shared" si="163"/>
        <v>0.35400943858767064</v>
      </c>
      <c r="AP520" s="104">
        <f t="shared" si="163"/>
        <v>0.35400943858767064</v>
      </c>
    </row>
    <row r="521" spans="5:42" x14ac:dyDescent="0.25">
      <c r="F521" s="28" t="s">
        <v>229</v>
      </c>
      <c r="G521" s="28" t="s">
        <v>343</v>
      </c>
      <c r="J521" s="124">
        <f t="shared" ref="J521:AP521" si="164">J305 * J489</f>
        <v>0</v>
      </c>
      <c r="K521" s="124">
        <f t="shared" si="164"/>
        <v>3.8920510229037593E-2</v>
      </c>
      <c r="L521" s="124">
        <f t="shared" si="164"/>
        <v>0</v>
      </c>
      <c r="M521" s="124">
        <f t="shared" si="164"/>
        <v>0</v>
      </c>
      <c r="N521" s="124">
        <f t="shared" si="164"/>
        <v>3.549016283596812E-2</v>
      </c>
      <c r="O521" s="124">
        <f t="shared" si="164"/>
        <v>0</v>
      </c>
      <c r="P521" s="124">
        <f t="shared" si="164"/>
        <v>3.22238237396857E-2</v>
      </c>
      <c r="Q521" s="124">
        <f t="shared" si="164"/>
        <v>2.5106637306638285E-2</v>
      </c>
      <c r="R521" s="124">
        <f t="shared" si="164"/>
        <v>3.4318823607292083E-2</v>
      </c>
      <c r="S521" s="124">
        <f t="shared" si="164"/>
        <v>1.0301060029333653</v>
      </c>
      <c r="T521" s="124">
        <f t="shared" si="164"/>
        <v>0.95788753367809676</v>
      </c>
      <c r="U521" s="124">
        <f t="shared" si="164"/>
        <v>0.80100299405496678</v>
      </c>
      <c r="V521" s="124">
        <f t="shared" si="164"/>
        <v>0.78479581015989563</v>
      </c>
      <c r="W521" s="124">
        <f t="shared" si="164"/>
        <v>0.70527060057164936</v>
      </c>
      <c r="X521" s="124">
        <f t="shared" si="164"/>
        <v>0</v>
      </c>
      <c r="Y521" s="124">
        <f t="shared" si="164"/>
        <v>0</v>
      </c>
      <c r="Z521" s="124">
        <f t="shared" si="164"/>
        <v>0</v>
      </c>
      <c r="AA521" s="124">
        <f t="shared" si="164"/>
        <v>0</v>
      </c>
      <c r="AB521" s="124">
        <f t="shared" si="164"/>
        <v>0.77548257338211224</v>
      </c>
      <c r="AC521" s="124">
        <f t="shared" si="164"/>
        <v>0</v>
      </c>
      <c r="AD521" s="124">
        <f t="shared" si="164"/>
        <v>0</v>
      </c>
      <c r="AE521" s="124">
        <f t="shared" si="164"/>
        <v>0</v>
      </c>
      <c r="AF521" s="124">
        <f t="shared" si="164"/>
        <v>0</v>
      </c>
      <c r="AG521" s="124">
        <f t="shared" si="164"/>
        <v>0.6774628659776849</v>
      </c>
      <c r="AH521" s="124">
        <f t="shared" si="164"/>
        <v>0.6774628659776849</v>
      </c>
      <c r="AI521" s="124">
        <f t="shared" si="164"/>
        <v>0</v>
      </c>
      <c r="AJ521" s="124">
        <f t="shared" si="164"/>
        <v>0</v>
      </c>
      <c r="AK521" s="124">
        <f t="shared" si="164"/>
        <v>0.6774628659776849</v>
      </c>
      <c r="AL521" s="124">
        <f t="shared" si="164"/>
        <v>0.6774628659776849</v>
      </c>
      <c r="AM521" s="124">
        <f t="shared" si="164"/>
        <v>0</v>
      </c>
      <c r="AN521" s="124">
        <f t="shared" si="164"/>
        <v>0</v>
      </c>
      <c r="AO521" s="124">
        <f t="shared" si="164"/>
        <v>0.6774628659776849</v>
      </c>
      <c r="AP521" s="124">
        <f t="shared" si="164"/>
        <v>0.6774628659776849</v>
      </c>
    </row>
    <row r="522" spans="5:42" x14ac:dyDescent="0.25">
      <c r="F522" s="28" t="s">
        <v>230</v>
      </c>
      <c r="G522" s="28" t="s">
        <v>343</v>
      </c>
      <c r="J522" s="124">
        <f t="shared" ref="J522:AP522" si="165">J306 * J490</f>
        <v>0</v>
      </c>
      <c r="K522" s="124">
        <f t="shared" si="165"/>
        <v>3.8920510229037593E-2</v>
      </c>
      <c r="L522" s="124">
        <f t="shared" si="165"/>
        <v>0</v>
      </c>
      <c r="M522" s="124">
        <f t="shared" si="165"/>
        <v>0</v>
      </c>
      <c r="N522" s="124">
        <f t="shared" si="165"/>
        <v>3.549016283596812E-2</v>
      </c>
      <c r="O522" s="124">
        <f t="shared" si="165"/>
        <v>0</v>
      </c>
      <c r="P522" s="124">
        <f t="shared" si="165"/>
        <v>3.22238237396857E-2</v>
      </c>
      <c r="Q522" s="124">
        <f t="shared" si="165"/>
        <v>2.5106637306638285E-2</v>
      </c>
      <c r="R522" s="124">
        <f t="shared" si="165"/>
        <v>3.4318823607292083E-2</v>
      </c>
      <c r="S522" s="124">
        <f t="shared" si="165"/>
        <v>1.0301060029333653</v>
      </c>
      <c r="T522" s="124">
        <f t="shared" si="165"/>
        <v>0.95788753367809676</v>
      </c>
      <c r="U522" s="124">
        <f t="shared" si="165"/>
        <v>0.80100299405496678</v>
      </c>
      <c r="V522" s="124">
        <f t="shared" si="165"/>
        <v>0.78479581015989563</v>
      </c>
      <c r="W522" s="124">
        <f t="shared" si="165"/>
        <v>0.70527060057164936</v>
      </c>
      <c r="X522" s="124">
        <f t="shared" si="165"/>
        <v>0</v>
      </c>
      <c r="Y522" s="124">
        <f t="shared" si="165"/>
        <v>0</v>
      </c>
      <c r="Z522" s="124">
        <f t="shared" si="165"/>
        <v>0</v>
      </c>
      <c r="AA522" s="124">
        <f t="shared" si="165"/>
        <v>0</v>
      </c>
      <c r="AB522" s="124">
        <f t="shared" si="165"/>
        <v>0.77548257338211224</v>
      </c>
      <c r="AC522" s="124">
        <f t="shared" si="165"/>
        <v>0</v>
      </c>
      <c r="AD522" s="124">
        <f t="shared" si="165"/>
        <v>0</v>
      </c>
      <c r="AE522" s="124">
        <f t="shared" si="165"/>
        <v>0</v>
      </c>
      <c r="AF522" s="124">
        <f t="shared" si="165"/>
        <v>0</v>
      </c>
      <c r="AG522" s="124">
        <f t="shared" si="165"/>
        <v>0.6774628659776849</v>
      </c>
      <c r="AH522" s="124">
        <f t="shared" si="165"/>
        <v>0.6774628659776849</v>
      </c>
      <c r="AI522" s="124">
        <f t="shared" si="165"/>
        <v>0</v>
      </c>
      <c r="AJ522" s="124">
        <f t="shared" si="165"/>
        <v>0</v>
      </c>
      <c r="AK522" s="124">
        <f t="shared" si="165"/>
        <v>0.6774628659776849</v>
      </c>
      <c r="AL522" s="124">
        <f t="shared" si="165"/>
        <v>0.6774628659776849</v>
      </c>
      <c r="AM522" s="124">
        <f t="shared" si="165"/>
        <v>0</v>
      </c>
      <c r="AN522" s="124">
        <f t="shared" si="165"/>
        <v>0</v>
      </c>
      <c r="AO522" s="124">
        <f t="shared" si="165"/>
        <v>0.6774628659776849</v>
      </c>
      <c r="AP522" s="124">
        <f t="shared" si="165"/>
        <v>0.6774628659776849</v>
      </c>
    </row>
    <row r="523" spans="5:42" x14ac:dyDescent="0.25">
      <c r="F523" s="28" t="s">
        <v>231</v>
      </c>
      <c r="G523" s="28" t="s">
        <v>343</v>
      </c>
      <c r="J523" s="124">
        <f t="shared" ref="J523:AP523" si="166">J307 * J491</f>
        <v>0</v>
      </c>
      <c r="K523" s="124">
        <f t="shared" si="166"/>
        <v>0.10946431108897202</v>
      </c>
      <c r="L523" s="124">
        <f t="shared" si="166"/>
        <v>0</v>
      </c>
      <c r="M523" s="124">
        <f t="shared" si="166"/>
        <v>0</v>
      </c>
      <c r="N523" s="124">
        <f t="shared" si="166"/>
        <v>9.9817191448904788E-2</v>
      </c>
      <c r="O523" s="124">
        <f t="shared" si="166"/>
        <v>0</v>
      </c>
      <c r="P523" s="124">
        <f t="shared" si="166"/>
        <v>9.0629452003024941E-2</v>
      </c>
      <c r="Q523" s="124">
        <f t="shared" si="166"/>
        <v>7.0612376703669349E-2</v>
      </c>
      <c r="R523" s="124">
        <f t="shared" si="166"/>
        <v>9.6521635732721212E-2</v>
      </c>
      <c r="S523" s="124">
        <f t="shared" si="166"/>
        <v>1.5015780184416474</v>
      </c>
      <c r="T523" s="124">
        <f t="shared" si="166"/>
        <v>1.396121021615272</v>
      </c>
      <c r="U523" s="124">
        <f t="shared" si="166"/>
        <v>1.1675280385552196</v>
      </c>
      <c r="V523" s="124">
        <f t="shared" si="166"/>
        <v>1.1439047290745341</v>
      </c>
      <c r="W523" s="124">
        <f t="shared" si="166"/>
        <v>1.0279901661385977</v>
      </c>
      <c r="X523" s="124">
        <f t="shared" si="166"/>
        <v>0</v>
      </c>
      <c r="Y523" s="124">
        <f t="shared" si="166"/>
        <v>0</v>
      </c>
      <c r="Z523" s="124">
        <f t="shared" si="166"/>
        <v>0</v>
      </c>
      <c r="AA523" s="124">
        <f t="shared" si="166"/>
        <v>0</v>
      </c>
      <c r="AB523" s="124">
        <f t="shared" si="166"/>
        <v>1.0569880664217965</v>
      </c>
      <c r="AC523" s="124">
        <f t="shared" si="166"/>
        <v>0</v>
      </c>
      <c r="AD523" s="124">
        <f t="shared" si="166"/>
        <v>0</v>
      </c>
      <c r="AE523" s="124">
        <f t="shared" si="166"/>
        <v>0</v>
      </c>
      <c r="AF523" s="124">
        <f t="shared" si="166"/>
        <v>0</v>
      </c>
      <c r="AG523" s="124">
        <f t="shared" si="166"/>
        <v>0.98745809563683939</v>
      </c>
      <c r="AH523" s="124">
        <f t="shared" si="166"/>
        <v>0.98745809563683939</v>
      </c>
      <c r="AI523" s="124">
        <f t="shared" si="166"/>
        <v>0</v>
      </c>
      <c r="AJ523" s="124">
        <f t="shared" si="166"/>
        <v>0</v>
      </c>
      <c r="AK523" s="124">
        <f t="shared" si="166"/>
        <v>0.98745809563683939</v>
      </c>
      <c r="AL523" s="124">
        <f t="shared" si="166"/>
        <v>0.98745809563683939</v>
      </c>
      <c r="AM523" s="124">
        <f t="shared" si="166"/>
        <v>0</v>
      </c>
      <c r="AN523" s="124">
        <f t="shared" si="166"/>
        <v>0</v>
      </c>
      <c r="AO523" s="124">
        <f t="shared" si="166"/>
        <v>0.98745809563683939</v>
      </c>
      <c r="AP523" s="124">
        <f t="shared" si="166"/>
        <v>0.98745809563683939</v>
      </c>
    </row>
    <row r="524" spans="5:42" x14ac:dyDescent="0.25">
      <c r="F524" s="28" t="s">
        <v>232</v>
      </c>
      <c r="G524" s="28" t="s">
        <v>343</v>
      </c>
      <c r="J524" s="124">
        <f t="shared" ref="J524:AP524" si="167">J308 * J492</f>
        <v>0</v>
      </c>
      <c r="K524" s="124">
        <f t="shared" si="167"/>
        <v>0.10946431108897202</v>
      </c>
      <c r="L524" s="124">
        <f t="shared" si="167"/>
        <v>0</v>
      </c>
      <c r="M524" s="124">
        <f t="shared" si="167"/>
        <v>0</v>
      </c>
      <c r="N524" s="124">
        <f t="shared" si="167"/>
        <v>9.9817191448904788E-2</v>
      </c>
      <c r="O524" s="124">
        <f t="shared" si="167"/>
        <v>0</v>
      </c>
      <c r="P524" s="124">
        <f t="shared" si="167"/>
        <v>9.0629452003024941E-2</v>
      </c>
      <c r="Q524" s="124">
        <f t="shared" si="167"/>
        <v>7.0612376703669349E-2</v>
      </c>
      <c r="R524" s="124">
        <f t="shared" si="167"/>
        <v>9.6521635732721212E-2</v>
      </c>
      <c r="S524" s="124">
        <f t="shared" si="167"/>
        <v>1.5015780184416474</v>
      </c>
      <c r="T524" s="124">
        <f t="shared" si="167"/>
        <v>1.396121021615272</v>
      </c>
      <c r="U524" s="124">
        <f t="shared" si="167"/>
        <v>1.1675280385552196</v>
      </c>
      <c r="V524" s="124">
        <f t="shared" si="167"/>
        <v>1.1439047290745341</v>
      </c>
      <c r="W524" s="124">
        <f t="shared" si="167"/>
        <v>1.0279901661385977</v>
      </c>
      <c r="X524" s="124">
        <f t="shared" si="167"/>
        <v>0</v>
      </c>
      <c r="Y524" s="124">
        <f t="shared" si="167"/>
        <v>0</v>
      </c>
      <c r="Z524" s="124">
        <f t="shared" si="167"/>
        <v>0</v>
      </c>
      <c r="AA524" s="124">
        <f t="shared" si="167"/>
        <v>0</v>
      </c>
      <c r="AB524" s="124">
        <f t="shared" si="167"/>
        <v>1.0569880664217965</v>
      </c>
      <c r="AC524" s="124">
        <f t="shared" si="167"/>
        <v>0</v>
      </c>
      <c r="AD524" s="124">
        <f t="shared" si="167"/>
        <v>0</v>
      </c>
      <c r="AE524" s="124">
        <f t="shared" si="167"/>
        <v>0</v>
      </c>
      <c r="AF524" s="124">
        <f t="shared" si="167"/>
        <v>0</v>
      </c>
      <c r="AG524" s="124">
        <f t="shared" si="167"/>
        <v>0.98745809563683939</v>
      </c>
      <c r="AH524" s="124">
        <f t="shared" si="167"/>
        <v>0.98745809563683939</v>
      </c>
      <c r="AI524" s="124">
        <f t="shared" si="167"/>
        <v>0</v>
      </c>
      <c r="AJ524" s="124">
        <f t="shared" si="167"/>
        <v>0</v>
      </c>
      <c r="AK524" s="124">
        <f t="shared" si="167"/>
        <v>0.98745809563683939</v>
      </c>
      <c r="AL524" s="124">
        <f t="shared" si="167"/>
        <v>0.98745809563683939</v>
      </c>
      <c r="AM524" s="124">
        <f t="shared" si="167"/>
        <v>0</v>
      </c>
      <c r="AN524" s="124">
        <f t="shared" si="167"/>
        <v>0</v>
      </c>
      <c r="AO524" s="124">
        <f t="shared" si="167"/>
        <v>0.98745809563683939</v>
      </c>
      <c r="AP524" s="124">
        <f t="shared" si="167"/>
        <v>0.98745809563683939</v>
      </c>
    </row>
    <row r="525" spans="5:42" x14ac:dyDescent="0.25">
      <c r="F525" s="28" t="s">
        <v>233</v>
      </c>
      <c r="G525" s="28" t="s">
        <v>343</v>
      </c>
      <c r="J525" s="124">
        <f t="shared" ref="J525:AP525" si="168">J309 * J493</f>
        <v>0</v>
      </c>
      <c r="K525" s="124">
        <f t="shared" si="168"/>
        <v>3.8920510229037593E-2</v>
      </c>
      <c r="L525" s="124">
        <f t="shared" si="168"/>
        <v>0</v>
      </c>
      <c r="M525" s="124">
        <f t="shared" si="168"/>
        <v>0</v>
      </c>
      <c r="N525" s="124">
        <f t="shared" si="168"/>
        <v>3.549016283596812E-2</v>
      </c>
      <c r="O525" s="124">
        <f t="shared" si="168"/>
        <v>0</v>
      </c>
      <c r="P525" s="124">
        <f t="shared" si="168"/>
        <v>3.22238237396857E-2</v>
      </c>
      <c r="Q525" s="124">
        <f t="shared" si="168"/>
        <v>2.5106637306638285E-2</v>
      </c>
      <c r="R525" s="124">
        <f t="shared" si="168"/>
        <v>3.4318823607292083E-2</v>
      </c>
      <c r="S525" s="124">
        <f t="shared" si="168"/>
        <v>1.0301060029333653</v>
      </c>
      <c r="T525" s="124">
        <f t="shared" si="168"/>
        <v>0.95788753367809676</v>
      </c>
      <c r="U525" s="124">
        <f t="shared" si="168"/>
        <v>0.80100299405496678</v>
      </c>
      <c r="V525" s="124">
        <f t="shared" si="168"/>
        <v>0.78479581015989563</v>
      </c>
      <c r="W525" s="124">
        <f t="shared" si="168"/>
        <v>0.70527060057164936</v>
      </c>
      <c r="X525" s="124">
        <f t="shared" si="168"/>
        <v>0</v>
      </c>
      <c r="Y525" s="124">
        <f t="shared" si="168"/>
        <v>0</v>
      </c>
      <c r="Z525" s="124">
        <f t="shared" si="168"/>
        <v>0</v>
      </c>
      <c r="AA525" s="124">
        <f t="shared" si="168"/>
        <v>0</v>
      </c>
      <c r="AB525" s="124">
        <f t="shared" si="168"/>
        <v>0.77548257338211224</v>
      </c>
      <c r="AC525" s="124">
        <f t="shared" si="168"/>
        <v>0</v>
      </c>
      <c r="AD525" s="124">
        <f t="shared" si="168"/>
        <v>0</v>
      </c>
      <c r="AE525" s="124">
        <f t="shared" si="168"/>
        <v>0</v>
      </c>
      <c r="AF525" s="124">
        <f t="shared" si="168"/>
        <v>0</v>
      </c>
      <c r="AG525" s="124">
        <f t="shared" si="168"/>
        <v>0.6774628659776849</v>
      </c>
      <c r="AH525" s="124">
        <f t="shared" si="168"/>
        <v>0.6774628659776849</v>
      </c>
      <c r="AI525" s="124">
        <f t="shared" si="168"/>
        <v>0</v>
      </c>
      <c r="AJ525" s="124">
        <f t="shared" si="168"/>
        <v>0</v>
      </c>
      <c r="AK525" s="124">
        <f t="shared" si="168"/>
        <v>0.6774628659776849</v>
      </c>
      <c r="AL525" s="124">
        <f t="shared" si="168"/>
        <v>0.6774628659776849</v>
      </c>
      <c r="AM525" s="124">
        <f t="shared" si="168"/>
        <v>0</v>
      </c>
      <c r="AN525" s="124">
        <f t="shared" si="168"/>
        <v>0</v>
      </c>
      <c r="AO525" s="124">
        <f t="shared" si="168"/>
        <v>0.6774628659776849</v>
      </c>
      <c r="AP525" s="124">
        <f t="shared" si="168"/>
        <v>0.6774628659776849</v>
      </c>
    </row>
    <row r="526" spans="5:42" x14ac:dyDescent="0.25">
      <c r="F526" s="28" t="s">
        <v>234</v>
      </c>
      <c r="G526" s="28" t="s">
        <v>343</v>
      </c>
      <c r="J526" s="124">
        <f t="shared" ref="J526:AP526" si="169">J310 * J494</f>
        <v>0</v>
      </c>
      <c r="K526" s="124">
        <f t="shared" si="169"/>
        <v>0.10946431108897202</v>
      </c>
      <c r="L526" s="124">
        <f t="shared" si="169"/>
        <v>0</v>
      </c>
      <c r="M526" s="124">
        <f t="shared" si="169"/>
        <v>0</v>
      </c>
      <c r="N526" s="124">
        <f t="shared" si="169"/>
        <v>9.9817191448904788E-2</v>
      </c>
      <c r="O526" s="124">
        <f t="shared" si="169"/>
        <v>0</v>
      </c>
      <c r="P526" s="124">
        <f t="shared" si="169"/>
        <v>9.0629452003024941E-2</v>
      </c>
      <c r="Q526" s="124">
        <f t="shared" si="169"/>
        <v>7.0612376703669349E-2</v>
      </c>
      <c r="R526" s="124">
        <f t="shared" si="169"/>
        <v>9.6521635732721212E-2</v>
      </c>
      <c r="S526" s="124">
        <f t="shared" si="169"/>
        <v>1.5015780184416474</v>
      </c>
      <c r="T526" s="124">
        <f t="shared" si="169"/>
        <v>1.396121021615272</v>
      </c>
      <c r="U526" s="124">
        <f t="shared" si="169"/>
        <v>1.1675280385552196</v>
      </c>
      <c r="V526" s="124">
        <f t="shared" si="169"/>
        <v>1.1439047290745341</v>
      </c>
      <c r="W526" s="124">
        <f t="shared" si="169"/>
        <v>1.0279901661385977</v>
      </c>
      <c r="X526" s="124">
        <f t="shared" si="169"/>
        <v>0</v>
      </c>
      <c r="Y526" s="124">
        <f t="shared" si="169"/>
        <v>0</v>
      </c>
      <c r="Z526" s="124">
        <f t="shared" si="169"/>
        <v>0</v>
      </c>
      <c r="AA526" s="124">
        <f t="shared" si="169"/>
        <v>0</v>
      </c>
      <c r="AB526" s="124">
        <f t="shared" si="169"/>
        <v>1.0569880664217965</v>
      </c>
      <c r="AC526" s="124">
        <f t="shared" si="169"/>
        <v>0</v>
      </c>
      <c r="AD526" s="124">
        <f t="shared" si="169"/>
        <v>0</v>
      </c>
      <c r="AE526" s="124">
        <f t="shared" si="169"/>
        <v>0</v>
      </c>
      <c r="AF526" s="124">
        <f t="shared" si="169"/>
        <v>0</v>
      </c>
      <c r="AG526" s="124">
        <f t="shared" si="169"/>
        <v>0.98745809563683939</v>
      </c>
      <c r="AH526" s="124">
        <f t="shared" si="169"/>
        <v>0.98745809563683939</v>
      </c>
      <c r="AI526" s="124">
        <f t="shared" si="169"/>
        <v>0</v>
      </c>
      <c r="AJ526" s="124">
        <f t="shared" si="169"/>
        <v>0</v>
      </c>
      <c r="AK526" s="124">
        <f t="shared" si="169"/>
        <v>0.98745809563683939</v>
      </c>
      <c r="AL526" s="124">
        <f t="shared" si="169"/>
        <v>0.98745809563683939</v>
      </c>
      <c r="AM526" s="124">
        <f t="shared" si="169"/>
        <v>0</v>
      </c>
      <c r="AN526" s="124">
        <f t="shared" si="169"/>
        <v>0</v>
      </c>
      <c r="AO526" s="124">
        <f t="shared" si="169"/>
        <v>0.98745809563683939</v>
      </c>
      <c r="AP526" s="124">
        <f t="shared" si="169"/>
        <v>0.98745809563683939</v>
      </c>
    </row>
    <row r="527" spans="5:42" x14ac:dyDescent="0.25">
      <c r="F527" s="28" t="s">
        <v>235</v>
      </c>
      <c r="G527" s="28" t="s">
        <v>343</v>
      </c>
      <c r="J527" s="124">
        <f t="shared" ref="J527:AP527" si="170">J311 * J495</f>
        <v>0</v>
      </c>
      <c r="K527" s="124">
        <f t="shared" si="170"/>
        <v>0.10946431108897202</v>
      </c>
      <c r="L527" s="124">
        <f t="shared" si="170"/>
        <v>0</v>
      </c>
      <c r="M527" s="124">
        <f t="shared" si="170"/>
        <v>0</v>
      </c>
      <c r="N527" s="124">
        <f t="shared" si="170"/>
        <v>9.9817191448904788E-2</v>
      </c>
      <c r="O527" s="124">
        <f t="shared" si="170"/>
        <v>0</v>
      </c>
      <c r="P527" s="124">
        <f t="shared" si="170"/>
        <v>9.0629452003024941E-2</v>
      </c>
      <c r="Q527" s="124">
        <f t="shared" si="170"/>
        <v>7.0612376703669349E-2</v>
      </c>
      <c r="R527" s="124">
        <f t="shared" si="170"/>
        <v>9.6521635732721212E-2</v>
      </c>
      <c r="S527" s="124">
        <f t="shared" si="170"/>
        <v>1.5015780184416474</v>
      </c>
      <c r="T527" s="124">
        <f t="shared" si="170"/>
        <v>1.396121021615272</v>
      </c>
      <c r="U527" s="124">
        <f t="shared" si="170"/>
        <v>1.1675280385552196</v>
      </c>
      <c r="V527" s="124">
        <f t="shared" si="170"/>
        <v>1.1439047290745341</v>
      </c>
      <c r="W527" s="124">
        <f t="shared" si="170"/>
        <v>1.0279901661385977</v>
      </c>
      <c r="X527" s="124">
        <f t="shared" si="170"/>
        <v>0</v>
      </c>
      <c r="Y527" s="124">
        <f t="shared" si="170"/>
        <v>0</v>
      </c>
      <c r="Z527" s="124">
        <f t="shared" si="170"/>
        <v>0</v>
      </c>
      <c r="AA527" s="124">
        <f t="shared" si="170"/>
        <v>0</v>
      </c>
      <c r="AB527" s="124">
        <f t="shared" si="170"/>
        <v>1.0569880664217965</v>
      </c>
      <c r="AC527" s="124">
        <f t="shared" si="170"/>
        <v>0</v>
      </c>
      <c r="AD527" s="124">
        <f t="shared" si="170"/>
        <v>0</v>
      </c>
      <c r="AE527" s="124">
        <f t="shared" si="170"/>
        <v>0</v>
      </c>
      <c r="AF527" s="124">
        <f t="shared" si="170"/>
        <v>0</v>
      </c>
      <c r="AG527" s="124">
        <f t="shared" si="170"/>
        <v>0.98745809563683939</v>
      </c>
      <c r="AH527" s="124">
        <f t="shared" si="170"/>
        <v>0.98745809563683939</v>
      </c>
      <c r="AI527" s="124">
        <f t="shared" si="170"/>
        <v>0</v>
      </c>
      <c r="AJ527" s="124">
        <f t="shared" si="170"/>
        <v>0</v>
      </c>
      <c r="AK527" s="124">
        <f t="shared" si="170"/>
        <v>0.98745809563683939</v>
      </c>
      <c r="AL527" s="124">
        <f t="shared" si="170"/>
        <v>0.98745809563683939</v>
      </c>
      <c r="AM527" s="124">
        <f t="shared" si="170"/>
        <v>0</v>
      </c>
      <c r="AN527" s="124">
        <f t="shared" si="170"/>
        <v>0</v>
      </c>
      <c r="AO527" s="124">
        <f t="shared" si="170"/>
        <v>0.98745809563683939</v>
      </c>
      <c r="AP527" s="124">
        <f t="shared" si="170"/>
        <v>0.98745809563683939</v>
      </c>
    </row>
    <row r="528" spans="5:42" x14ac:dyDescent="0.25">
      <c r="F528" s="67" t="s">
        <v>236</v>
      </c>
      <c r="G528" s="67" t="s">
        <v>343</v>
      </c>
      <c r="H528" s="37"/>
      <c r="I528" s="37"/>
      <c r="J528" s="134">
        <f t="shared" ref="J528:AP528" si="171">J312 * J496</f>
        <v>0</v>
      </c>
      <c r="K528" s="134">
        <f t="shared" si="171"/>
        <v>0.10946431108897202</v>
      </c>
      <c r="L528" s="134">
        <f t="shared" si="171"/>
        <v>0</v>
      </c>
      <c r="M528" s="134">
        <f t="shared" si="171"/>
        <v>0</v>
      </c>
      <c r="N528" s="134">
        <f t="shared" si="171"/>
        <v>9.9817191448904788E-2</v>
      </c>
      <c r="O528" s="134">
        <f t="shared" si="171"/>
        <v>0</v>
      </c>
      <c r="P528" s="134">
        <f t="shared" si="171"/>
        <v>9.0629452003024941E-2</v>
      </c>
      <c r="Q528" s="134">
        <f t="shared" si="171"/>
        <v>7.0612376703669349E-2</v>
      </c>
      <c r="R528" s="134">
        <f t="shared" si="171"/>
        <v>9.6521635732721212E-2</v>
      </c>
      <c r="S528" s="134">
        <f t="shared" si="171"/>
        <v>1.5015780184416474</v>
      </c>
      <c r="T528" s="134">
        <f t="shared" si="171"/>
        <v>1.396121021615272</v>
      </c>
      <c r="U528" s="134">
        <f t="shared" si="171"/>
        <v>1.1675280385552196</v>
      </c>
      <c r="V528" s="134">
        <f t="shared" si="171"/>
        <v>1.1439047290745341</v>
      </c>
      <c r="W528" s="134">
        <f t="shared" si="171"/>
        <v>1.0279901661385977</v>
      </c>
      <c r="X528" s="134">
        <f t="shared" si="171"/>
        <v>0</v>
      </c>
      <c r="Y528" s="134">
        <f t="shared" si="171"/>
        <v>0</v>
      </c>
      <c r="Z528" s="134">
        <f t="shared" si="171"/>
        <v>0</v>
      </c>
      <c r="AA528" s="134">
        <f t="shared" si="171"/>
        <v>0</v>
      </c>
      <c r="AB528" s="134">
        <f t="shared" si="171"/>
        <v>1.0569880664217965</v>
      </c>
      <c r="AC528" s="134">
        <f t="shared" si="171"/>
        <v>0</v>
      </c>
      <c r="AD528" s="134">
        <f t="shared" si="171"/>
        <v>0</v>
      </c>
      <c r="AE528" s="134">
        <f t="shared" si="171"/>
        <v>0</v>
      </c>
      <c r="AF528" s="134">
        <f t="shared" si="171"/>
        <v>0</v>
      </c>
      <c r="AG528" s="134">
        <f t="shared" si="171"/>
        <v>0.98745809563683939</v>
      </c>
      <c r="AH528" s="134">
        <f t="shared" si="171"/>
        <v>0.98745809563683939</v>
      </c>
      <c r="AI528" s="134">
        <f t="shared" si="171"/>
        <v>0</v>
      </c>
      <c r="AJ528" s="134">
        <f t="shared" si="171"/>
        <v>0</v>
      </c>
      <c r="AK528" s="134">
        <f t="shared" si="171"/>
        <v>0.98745809563683939</v>
      </c>
      <c r="AL528" s="134">
        <f t="shared" si="171"/>
        <v>0.98745809563683939</v>
      </c>
      <c r="AM528" s="134">
        <f t="shared" si="171"/>
        <v>0</v>
      </c>
      <c r="AN528" s="134">
        <f t="shared" si="171"/>
        <v>0</v>
      </c>
      <c r="AO528" s="134">
        <f t="shared" si="171"/>
        <v>0.98745809563683939</v>
      </c>
      <c r="AP528" s="134">
        <f t="shared" si="171"/>
        <v>0.98745809563683939</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195</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228</v>
      </c>
      <c r="G531" s="64" t="s">
        <v>343</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v>
      </c>
      <c r="T531" s="104">
        <f t="shared" si="172"/>
        <v>0</v>
      </c>
      <c r="U531" s="104">
        <f t="shared" si="172"/>
        <v>0</v>
      </c>
      <c r="V531" s="104">
        <f t="shared" si="172"/>
        <v>0</v>
      </c>
      <c r="W531" s="104">
        <f t="shared" si="172"/>
        <v>0</v>
      </c>
      <c r="X531" s="104">
        <f t="shared" si="172"/>
        <v>0</v>
      </c>
      <c r="Y531" s="104">
        <f t="shared" si="172"/>
        <v>0</v>
      </c>
      <c r="Z531" s="104">
        <f t="shared" si="172"/>
        <v>0</v>
      </c>
      <c r="AA531" s="104">
        <f t="shared" si="172"/>
        <v>0</v>
      </c>
      <c r="AB531" s="104">
        <f t="shared" si="172"/>
        <v>0</v>
      </c>
      <c r="AC531" s="104">
        <f t="shared" si="172"/>
        <v>0</v>
      </c>
      <c r="AD531" s="104">
        <f t="shared" si="172"/>
        <v>0</v>
      </c>
      <c r="AE531" s="104">
        <f t="shared" si="172"/>
        <v>0</v>
      </c>
      <c r="AF531" s="104">
        <f t="shared" si="172"/>
        <v>0</v>
      </c>
      <c r="AG531" s="104">
        <f t="shared" si="172"/>
        <v>0</v>
      </c>
      <c r="AH531" s="104">
        <f t="shared" si="172"/>
        <v>0</v>
      </c>
      <c r="AI531" s="104">
        <f t="shared" si="172"/>
        <v>0</v>
      </c>
      <c r="AJ531" s="104">
        <f t="shared" si="172"/>
        <v>0</v>
      </c>
      <c r="AK531" s="104">
        <f t="shared" si="172"/>
        <v>0</v>
      </c>
      <c r="AL531" s="104">
        <f t="shared" si="172"/>
        <v>0</v>
      </c>
      <c r="AM531" s="104">
        <f t="shared" si="172"/>
        <v>0</v>
      </c>
      <c r="AN531" s="104">
        <f t="shared" si="172"/>
        <v>0</v>
      </c>
      <c r="AO531" s="104">
        <f t="shared" si="172"/>
        <v>0</v>
      </c>
      <c r="AP531" s="104">
        <f t="shared" si="172"/>
        <v>0</v>
      </c>
    </row>
    <row r="532" spans="2:44" x14ac:dyDescent="0.25">
      <c r="F532" s="28" t="s">
        <v>229</v>
      </c>
      <c r="G532" s="28" t="s">
        <v>343</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3.7233628813073828E-2</v>
      </c>
      <c r="T532" s="124">
        <f t="shared" si="173"/>
        <v>3.4623260880024327E-2</v>
      </c>
      <c r="U532" s="124">
        <f t="shared" si="173"/>
        <v>2.8952601066176555E-2</v>
      </c>
      <c r="V532" s="124">
        <f t="shared" si="173"/>
        <v>2.8366785366106956E-2</v>
      </c>
      <c r="W532" s="124">
        <f t="shared" si="173"/>
        <v>2.5492312130674114E-2</v>
      </c>
      <c r="X532" s="124">
        <f t="shared" si="173"/>
        <v>0</v>
      </c>
      <c r="Y532" s="124">
        <f t="shared" si="173"/>
        <v>0</v>
      </c>
      <c r="Z532" s="124">
        <f t="shared" si="173"/>
        <v>0</v>
      </c>
      <c r="AA532" s="124">
        <f t="shared" si="173"/>
        <v>0</v>
      </c>
      <c r="AB532" s="124">
        <f t="shared" si="173"/>
        <v>2.9385033625973882E-2</v>
      </c>
      <c r="AC532" s="124">
        <f t="shared" si="173"/>
        <v>0</v>
      </c>
      <c r="AD532" s="124">
        <f t="shared" si="173"/>
        <v>0</v>
      </c>
      <c r="AE532" s="124">
        <f t="shared" si="173"/>
        <v>0</v>
      </c>
      <c r="AF532" s="124">
        <f t="shared" si="173"/>
        <v>0</v>
      </c>
      <c r="AG532" s="124">
        <f t="shared" si="173"/>
        <v>2.4487189487901666E-2</v>
      </c>
      <c r="AH532" s="124">
        <f t="shared" si="173"/>
        <v>2.4487189487901666E-2</v>
      </c>
      <c r="AI532" s="124">
        <f t="shared" si="173"/>
        <v>0</v>
      </c>
      <c r="AJ532" s="124">
        <f t="shared" si="173"/>
        <v>0</v>
      </c>
      <c r="AK532" s="124">
        <f t="shared" si="173"/>
        <v>2.4487189487901666E-2</v>
      </c>
      <c r="AL532" s="124">
        <f t="shared" si="173"/>
        <v>2.4487189487901666E-2</v>
      </c>
      <c r="AM532" s="124">
        <f t="shared" si="173"/>
        <v>0</v>
      </c>
      <c r="AN532" s="124">
        <f t="shared" si="173"/>
        <v>0</v>
      </c>
      <c r="AO532" s="124">
        <f t="shared" si="173"/>
        <v>2.4487189487901666E-2</v>
      </c>
      <c r="AP532" s="124">
        <f t="shared" si="173"/>
        <v>2.4487189487901666E-2</v>
      </c>
    </row>
    <row r="533" spans="2:44" x14ac:dyDescent="0.25">
      <c r="F533" s="28" t="s">
        <v>230</v>
      </c>
      <c r="G533" s="28" t="s">
        <v>343</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3.7233628813073828E-2</v>
      </c>
      <c r="T533" s="124">
        <f t="shared" si="174"/>
        <v>3.4623260880024327E-2</v>
      </c>
      <c r="U533" s="124">
        <f t="shared" si="174"/>
        <v>2.8952601066176555E-2</v>
      </c>
      <c r="V533" s="124">
        <f t="shared" si="174"/>
        <v>2.8366785366106956E-2</v>
      </c>
      <c r="W533" s="124">
        <f t="shared" si="174"/>
        <v>2.5492312130674114E-2</v>
      </c>
      <c r="X533" s="124">
        <f t="shared" si="174"/>
        <v>0</v>
      </c>
      <c r="Y533" s="124">
        <f t="shared" si="174"/>
        <v>0</v>
      </c>
      <c r="Z533" s="124">
        <f t="shared" si="174"/>
        <v>0</v>
      </c>
      <c r="AA533" s="124">
        <f t="shared" si="174"/>
        <v>0</v>
      </c>
      <c r="AB533" s="124">
        <f t="shared" si="174"/>
        <v>2.9385033625973882E-2</v>
      </c>
      <c r="AC533" s="124">
        <f t="shared" si="174"/>
        <v>0</v>
      </c>
      <c r="AD533" s="124">
        <f t="shared" si="174"/>
        <v>0</v>
      </c>
      <c r="AE533" s="124">
        <f t="shared" si="174"/>
        <v>0</v>
      </c>
      <c r="AF533" s="124">
        <f t="shared" si="174"/>
        <v>0</v>
      </c>
      <c r="AG533" s="124">
        <f t="shared" si="174"/>
        <v>2.4487189487901666E-2</v>
      </c>
      <c r="AH533" s="124">
        <f t="shared" si="174"/>
        <v>2.4487189487901666E-2</v>
      </c>
      <c r="AI533" s="124">
        <f t="shared" si="174"/>
        <v>0</v>
      </c>
      <c r="AJ533" s="124">
        <f t="shared" si="174"/>
        <v>0</v>
      </c>
      <c r="AK533" s="124">
        <f t="shared" si="174"/>
        <v>2.4487189487901666E-2</v>
      </c>
      <c r="AL533" s="124">
        <f t="shared" si="174"/>
        <v>2.4487189487901666E-2</v>
      </c>
      <c r="AM533" s="124">
        <f t="shared" si="174"/>
        <v>0</v>
      </c>
      <c r="AN533" s="124">
        <f t="shared" si="174"/>
        <v>0</v>
      </c>
      <c r="AO533" s="124">
        <f t="shared" si="174"/>
        <v>2.4487189487901666E-2</v>
      </c>
      <c r="AP533" s="124">
        <f t="shared" si="174"/>
        <v>2.4487189487901666E-2</v>
      </c>
    </row>
    <row r="534" spans="2:44" x14ac:dyDescent="0.25">
      <c r="F534" s="28" t="s">
        <v>231</v>
      </c>
      <c r="G534" s="28" t="s">
        <v>343</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0.10472743091525347</v>
      </c>
      <c r="T534" s="124">
        <f t="shared" si="175"/>
        <v>9.7372341659800646E-2</v>
      </c>
      <c r="U534" s="124">
        <f t="shared" si="175"/>
        <v>8.1429143539480206E-2</v>
      </c>
      <c r="V534" s="124">
        <f t="shared" si="175"/>
        <v>7.9781537833187519E-2</v>
      </c>
      <c r="W534" s="124">
        <f t="shared" si="175"/>
        <v>7.1697086520731895E-2</v>
      </c>
      <c r="X534" s="124">
        <f t="shared" si="175"/>
        <v>0</v>
      </c>
      <c r="Y534" s="124">
        <f t="shared" si="175"/>
        <v>0</v>
      </c>
      <c r="Z534" s="124">
        <f t="shared" si="175"/>
        <v>0</v>
      </c>
      <c r="AA534" s="124">
        <f t="shared" si="175"/>
        <v>0</v>
      </c>
      <c r="AB534" s="124">
        <f t="shared" si="175"/>
        <v>8.264535941253412E-2</v>
      </c>
      <c r="AC534" s="124">
        <f t="shared" si="175"/>
        <v>0</v>
      </c>
      <c r="AD534" s="124">
        <f t="shared" si="175"/>
        <v>0</v>
      </c>
      <c r="AE534" s="124">
        <f t="shared" si="175"/>
        <v>0</v>
      </c>
      <c r="AF534" s="124">
        <f t="shared" si="175"/>
        <v>0</v>
      </c>
      <c r="AG534" s="124">
        <f t="shared" si="175"/>
        <v>6.8870180718174662E-2</v>
      </c>
      <c r="AH534" s="124">
        <f t="shared" si="175"/>
        <v>6.8870180718174662E-2</v>
      </c>
      <c r="AI534" s="124">
        <f t="shared" si="175"/>
        <v>0</v>
      </c>
      <c r="AJ534" s="124">
        <f t="shared" si="175"/>
        <v>0</v>
      </c>
      <c r="AK534" s="124">
        <f t="shared" si="175"/>
        <v>6.8870180718174662E-2</v>
      </c>
      <c r="AL534" s="124">
        <f t="shared" si="175"/>
        <v>6.8870180718174662E-2</v>
      </c>
      <c r="AM534" s="124">
        <f t="shared" si="175"/>
        <v>0</v>
      </c>
      <c r="AN534" s="124">
        <f t="shared" si="175"/>
        <v>0</v>
      </c>
      <c r="AO534" s="124">
        <f t="shared" si="175"/>
        <v>6.8870180718174662E-2</v>
      </c>
      <c r="AP534" s="124">
        <f t="shared" si="175"/>
        <v>6.8870180718174662E-2</v>
      </c>
    </row>
    <row r="535" spans="2:44" x14ac:dyDescent="0.25">
      <c r="F535" s="28" t="s">
        <v>232</v>
      </c>
      <c r="G535" s="28" t="s">
        <v>343</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0.10472743091525347</v>
      </c>
      <c r="T535" s="124">
        <f t="shared" si="176"/>
        <v>9.7372341659800646E-2</v>
      </c>
      <c r="U535" s="124">
        <f t="shared" si="176"/>
        <v>8.1429143539480206E-2</v>
      </c>
      <c r="V535" s="124">
        <f t="shared" si="176"/>
        <v>7.9781537833187519E-2</v>
      </c>
      <c r="W535" s="124">
        <f t="shared" si="176"/>
        <v>7.1697086520731895E-2</v>
      </c>
      <c r="X535" s="124">
        <f t="shared" si="176"/>
        <v>0</v>
      </c>
      <c r="Y535" s="124">
        <f t="shared" si="176"/>
        <v>0</v>
      </c>
      <c r="Z535" s="124">
        <f t="shared" si="176"/>
        <v>0</v>
      </c>
      <c r="AA535" s="124">
        <f t="shared" si="176"/>
        <v>0</v>
      </c>
      <c r="AB535" s="124">
        <f t="shared" si="176"/>
        <v>8.264535941253412E-2</v>
      </c>
      <c r="AC535" s="124">
        <f t="shared" si="176"/>
        <v>0</v>
      </c>
      <c r="AD535" s="124">
        <f t="shared" si="176"/>
        <v>0</v>
      </c>
      <c r="AE535" s="124">
        <f t="shared" si="176"/>
        <v>0</v>
      </c>
      <c r="AF535" s="124">
        <f t="shared" si="176"/>
        <v>0</v>
      </c>
      <c r="AG535" s="124">
        <f t="shared" si="176"/>
        <v>6.8870180718174662E-2</v>
      </c>
      <c r="AH535" s="124">
        <f t="shared" si="176"/>
        <v>6.8870180718174662E-2</v>
      </c>
      <c r="AI535" s="124">
        <f t="shared" si="176"/>
        <v>0</v>
      </c>
      <c r="AJ535" s="124">
        <f t="shared" si="176"/>
        <v>0</v>
      </c>
      <c r="AK535" s="124">
        <f t="shared" si="176"/>
        <v>6.8870180718174662E-2</v>
      </c>
      <c r="AL535" s="124">
        <f t="shared" si="176"/>
        <v>6.8870180718174662E-2</v>
      </c>
      <c r="AM535" s="124">
        <f t="shared" si="176"/>
        <v>0</v>
      </c>
      <c r="AN535" s="124">
        <f t="shared" si="176"/>
        <v>0</v>
      </c>
      <c r="AO535" s="124">
        <f t="shared" si="176"/>
        <v>6.8870180718174662E-2</v>
      </c>
      <c r="AP535" s="124">
        <f t="shared" si="176"/>
        <v>6.8870180718174662E-2</v>
      </c>
    </row>
    <row r="536" spans="2:44" x14ac:dyDescent="0.25">
      <c r="F536" s="28" t="s">
        <v>233</v>
      </c>
      <c r="G536" s="28" t="s">
        <v>343</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3.7233628813073828E-2</v>
      </c>
      <c r="T536" s="124">
        <f t="shared" si="177"/>
        <v>3.4623260880024327E-2</v>
      </c>
      <c r="U536" s="124">
        <f t="shared" si="177"/>
        <v>2.8952601066176555E-2</v>
      </c>
      <c r="V536" s="124">
        <f t="shared" si="177"/>
        <v>2.8366785366106956E-2</v>
      </c>
      <c r="W536" s="124">
        <f t="shared" si="177"/>
        <v>2.5492312130674114E-2</v>
      </c>
      <c r="X536" s="124">
        <f t="shared" si="177"/>
        <v>0</v>
      </c>
      <c r="Y536" s="124">
        <f t="shared" si="177"/>
        <v>0</v>
      </c>
      <c r="Z536" s="124">
        <f t="shared" si="177"/>
        <v>0</v>
      </c>
      <c r="AA536" s="124">
        <f t="shared" si="177"/>
        <v>0</v>
      </c>
      <c r="AB536" s="124">
        <f t="shared" si="177"/>
        <v>2.9385033625973882E-2</v>
      </c>
      <c r="AC536" s="124">
        <f t="shared" si="177"/>
        <v>0</v>
      </c>
      <c r="AD536" s="124">
        <f t="shared" si="177"/>
        <v>0</v>
      </c>
      <c r="AE536" s="124">
        <f t="shared" si="177"/>
        <v>0</v>
      </c>
      <c r="AF536" s="124">
        <f t="shared" si="177"/>
        <v>0</v>
      </c>
      <c r="AG536" s="124">
        <f t="shared" si="177"/>
        <v>2.4487189487901666E-2</v>
      </c>
      <c r="AH536" s="124">
        <f t="shared" si="177"/>
        <v>2.4487189487901666E-2</v>
      </c>
      <c r="AI536" s="124">
        <f t="shared" si="177"/>
        <v>0</v>
      </c>
      <c r="AJ536" s="124">
        <f t="shared" si="177"/>
        <v>0</v>
      </c>
      <c r="AK536" s="124">
        <f t="shared" si="177"/>
        <v>2.4487189487901666E-2</v>
      </c>
      <c r="AL536" s="124">
        <f t="shared" si="177"/>
        <v>2.4487189487901666E-2</v>
      </c>
      <c r="AM536" s="124">
        <f t="shared" si="177"/>
        <v>0</v>
      </c>
      <c r="AN536" s="124">
        <f t="shared" si="177"/>
        <v>0</v>
      </c>
      <c r="AO536" s="124">
        <f t="shared" si="177"/>
        <v>2.4487189487901666E-2</v>
      </c>
      <c r="AP536" s="124">
        <f t="shared" si="177"/>
        <v>2.4487189487901666E-2</v>
      </c>
    </row>
    <row r="537" spans="2:44" x14ac:dyDescent="0.25">
      <c r="F537" s="28" t="s">
        <v>234</v>
      </c>
      <c r="G537" s="28" t="s">
        <v>343</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0.10472743091525347</v>
      </c>
      <c r="T537" s="124">
        <f t="shared" si="178"/>
        <v>9.7372341659800646E-2</v>
      </c>
      <c r="U537" s="124">
        <f t="shared" si="178"/>
        <v>8.1429143539480206E-2</v>
      </c>
      <c r="V537" s="124">
        <f t="shared" si="178"/>
        <v>7.9781537833187519E-2</v>
      </c>
      <c r="W537" s="124">
        <f t="shared" si="178"/>
        <v>7.1697086520731895E-2</v>
      </c>
      <c r="X537" s="124">
        <f t="shared" si="178"/>
        <v>0</v>
      </c>
      <c r="Y537" s="124">
        <f t="shared" si="178"/>
        <v>0</v>
      </c>
      <c r="Z537" s="124">
        <f t="shared" si="178"/>
        <v>0</v>
      </c>
      <c r="AA537" s="124">
        <f t="shared" si="178"/>
        <v>0</v>
      </c>
      <c r="AB537" s="124">
        <f t="shared" si="178"/>
        <v>8.264535941253412E-2</v>
      </c>
      <c r="AC537" s="124">
        <f t="shared" si="178"/>
        <v>0</v>
      </c>
      <c r="AD537" s="124">
        <f t="shared" si="178"/>
        <v>0</v>
      </c>
      <c r="AE537" s="124">
        <f t="shared" si="178"/>
        <v>0</v>
      </c>
      <c r="AF537" s="124">
        <f t="shared" si="178"/>
        <v>0</v>
      </c>
      <c r="AG537" s="124">
        <f t="shared" si="178"/>
        <v>6.8870180718174662E-2</v>
      </c>
      <c r="AH537" s="124">
        <f t="shared" si="178"/>
        <v>6.8870180718174662E-2</v>
      </c>
      <c r="AI537" s="124">
        <f t="shared" si="178"/>
        <v>0</v>
      </c>
      <c r="AJ537" s="124">
        <f t="shared" si="178"/>
        <v>0</v>
      </c>
      <c r="AK537" s="124">
        <f t="shared" si="178"/>
        <v>6.8870180718174662E-2</v>
      </c>
      <c r="AL537" s="124">
        <f t="shared" si="178"/>
        <v>6.8870180718174662E-2</v>
      </c>
      <c r="AM537" s="124">
        <f t="shared" si="178"/>
        <v>0</v>
      </c>
      <c r="AN537" s="124">
        <f t="shared" si="178"/>
        <v>0</v>
      </c>
      <c r="AO537" s="124">
        <f t="shared" si="178"/>
        <v>6.8870180718174662E-2</v>
      </c>
      <c r="AP537" s="124">
        <f t="shared" si="178"/>
        <v>6.8870180718174662E-2</v>
      </c>
    </row>
    <row r="538" spans="2:44" x14ac:dyDescent="0.25">
      <c r="F538" s="28" t="s">
        <v>235</v>
      </c>
      <c r="G538" s="28" t="s">
        <v>343</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0.10472743091525347</v>
      </c>
      <c r="T538" s="124">
        <f t="shared" si="179"/>
        <v>9.7372341659800646E-2</v>
      </c>
      <c r="U538" s="124">
        <f t="shared" si="179"/>
        <v>8.1429143539480206E-2</v>
      </c>
      <c r="V538" s="124">
        <f t="shared" si="179"/>
        <v>7.9781537833187519E-2</v>
      </c>
      <c r="W538" s="124">
        <f t="shared" si="179"/>
        <v>7.1697086520731895E-2</v>
      </c>
      <c r="X538" s="124">
        <f t="shared" si="179"/>
        <v>0</v>
      </c>
      <c r="Y538" s="124">
        <f t="shared" si="179"/>
        <v>0</v>
      </c>
      <c r="Z538" s="124">
        <f t="shared" si="179"/>
        <v>0</v>
      </c>
      <c r="AA538" s="124">
        <f t="shared" si="179"/>
        <v>0</v>
      </c>
      <c r="AB538" s="124">
        <f t="shared" si="179"/>
        <v>8.264535941253412E-2</v>
      </c>
      <c r="AC538" s="124">
        <f t="shared" si="179"/>
        <v>0</v>
      </c>
      <c r="AD538" s="124">
        <f t="shared" si="179"/>
        <v>0</v>
      </c>
      <c r="AE538" s="124">
        <f t="shared" si="179"/>
        <v>0</v>
      </c>
      <c r="AF538" s="124">
        <f t="shared" si="179"/>
        <v>0</v>
      </c>
      <c r="AG538" s="124">
        <f t="shared" si="179"/>
        <v>6.8870180718174662E-2</v>
      </c>
      <c r="AH538" s="124">
        <f t="shared" si="179"/>
        <v>6.8870180718174662E-2</v>
      </c>
      <c r="AI538" s="124">
        <f t="shared" si="179"/>
        <v>0</v>
      </c>
      <c r="AJ538" s="124">
        <f t="shared" si="179"/>
        <v>0</v>
      </c>
      <c r="AK538" s="124">
        <f t="shared" si="179"/>
        <v>6.8870180718174662E-2</v>
      </c>
      <c r="AL538" s="124">
        <f t="shared" si="179"/>
        <v>6.8870180718174662E-2</v>
      </c>
      <c r="AM538" s="124">
        <f t="shared" si="179"/>
        <v>0</v>
      </c>
      <c r="AN538" s="124">
        <f t="shared" si="179"/>
        <v>0</v>
      </c>
      <c r="AO538" s="124">
        <f t="shared" si="179"/>
        <v>6.8870180718174662E-2</v>
      </c>
      <c r="AP538" s="124">
        <f t="shared" si="179"/>
        <v>6.8870180718174662E-2</v>
      </c>
    </row>
    <row r="539" spans="2:44" x14ac:dyDescent="0.25">
      <c r="F539" s="67" t="s">
        <v>236</v>
      </c>
      <c r="G539" s="67" t="s">
        <v>343</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0.10472743091525347</v>
      </c>
      <c r="T539" s="134">
        <f t="shared" si="180"/>
        <v>9.7372341659800646E-2</v>
      </c>
      <c r="U539" s="134">
        <f t="shared" si="180"/>
        <v>8.1429143539480206E-2</v>
      </c>
      <c r="V539" s="134">
        <f t="shared" si="180"/>
        <v>7.9781537833187519E-2</v>
      </c>
      <c r="W539" s="134">
        <f t="shared" si="180"/>
        <v>7.1697086520731895E-2</v>
      </c>
      <c r="X539" s="134">
        <f t="shared" si="180"/>
        <v>0</v>
      </c>
      <c r="Y539" s="134">
        <f t="shared" si="180"/>
        <v>0</v>
      </c>
      <c r="Z539" s="134">
        <f t="shared" si="180"/>
        <v>0</v>
      </c>
      <c r="AA539" s="134">
        <f t="shared" si="180"/>
        <v>0</v>
      </c>
      <c r="AB539" s="134">
        <f t="shared" si="180"/>
        <v>8.264535941253412E-2</v>
      </c>
      <c r="AC539" s="134">
        <f t="shared" si="180"/>
        <v>0</v>
      </c>
      <c r="AD539" s="134">
        <f t="shared" si="180"/>
        <v>0</v>
      </c>
      <c r="AE539" s="134">
        <f t="shared" si="180"/>
        <v>0</v>
      </c>
      <c r="AF539" s="134">
        <f t="shared" si="180"/>
        <v>0</v>
      </c>
      <c r="AG539" s="134">
        <f t="shared" si="180"/>
        <v>6.8870180718174662E-2</v>
      </c>
      <c r="AH539" s="134">
        <f t="shared" si="180"/>
        <v>6.8870180718174662E-2</v>
      </c>
      <c r="AI539" s="134">
        <f t="shared" si="180"/>
        <v>0</v>
      </c>
      <c r="AJ539" s="134">
        <f t="shared" si="180"/>
        <v>0</v>
      </c>
      <c r="AK539" s="134">
        <f t="shared" si="180"/>
        <v>6.8870180718174662E-2</v>
      </c>
      <c r="AL539" s="134">
        <f t="shared" si="180"/>
        <v>6.8870180718174662E-2</v>
      </c>
      <c r="AM539" s="134">
        <f t="shared" si="180"/>
        <v>0</v>
      </c>
      <c r="AN539" s="134">
        <f t="shared" si="180"/>
        <v>0</v>
      </c>
      <c r="AO539" s="134">
        <f t="shared" si="180"/>
        <v>6.8870180718174662E-2</v>
      </c>
      <c r="AP539" s="134">
        <f t="shared" si="180"/>
        <v>6.8870180718174662E-2</v>
      </c>
    </row>
    <row r="541" spans="2:44" x14ac:dyDescent="0.25">
      <c r="B541" s="30" t="s">
        <v>281</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282</v>
      </c>
      <c r="G543" s="6" t="s">
        <v>57</v>
      </c>
      <c r="H543" s="26">
        <f t="array" ref="H543">SUM(IF(ISERROR(H24:AP539), 1))</f>
        <v>0</v>
      </c>
    </row>
    <row r="545" spans="2:44" x14ac:dyDescent="0.25">
      <c r="B545" s="30" t="s">
        <v>108</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WPD EMEB - [enter data version name]</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603</v>
      </c>
      <c r="D9" s="29"/>
    </row>
    <row r="10" spans="1:60" x14ac:dyDescent="0.25">
      <c r="C10" s="29" t="s">
        <v>604</v>
      </c>
      <c r="D10" s="29"/>
    </row>
    <row r="11" spans="1:60" x14ac:dyDescent="0.25">
      <c r="C11" s="29" t="s">
        <v>605</v>
      </c>
      <c r="D11" s="29"/>
    </row>
    <row r="12" spans="1:60" x14ac:dyDescent="0.25">
      <c r="C12" s="29"/>
      <c r="D12" s="29" t="s">
        <v>606</v>
      </c>
    </row>
    <row r="13" spans="1:60" x14ac:dyDescent="0.25">
      <c r="C13" s="29"/>
      <c r="D13" s="29" t="s">
        <v>607</v>
      </c>
    </row>
    <row r="14" spans="1:60" x14ac:dyDescent="0.25">
      <c r="C14" s="29"/>
      <c r="D14" s="29" t="s">
        <v>608</v>
      </c>
    </row>
    <row r="16" spans="1:60" x14ac:dyDescent="0.25">
      <c r="B16" s="30" t="s">
        <v>609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610</v>
      </c>
      <c r="L20" s="63"/>
      <c r="M20" s="63"/>
      <c r="O20" s="63"/>
      <c r="BH20" s="3"/>
    </row>
    <row r="21" spans="3:60" x14ac:dyDescent="0.25">
      <c r="C21" s="32"/>
      <c r="L21" s="63"/>
      <c r="M21" s="63"/>
      <c r="O21" s="63"/>
      <c r="BH21" s="3"/>
    </row>
    <row r="22" spans="3:60" x14ac:dyDescent="0.25">
      <c r="E22" s="32" t="s">
        <v>439</v>
      </c>
      <c r="H22" s="14"/>
      <c r="J22" s="63"/>
      <c r="K22" s="63"/>
      <c r="L22" s="63"/>
      <c r="M22" s="63"/>
      <c r="N22" s="63"/>
      <c r="O22" s="63"/>
      <c r="P22" s="63"/>
      <c r="Q22" s="63"/>
      <c r="R22" s="63"/>
      <c r="S22" s="63"/>
      <c r="BH22" s="3"/>
    </row>
    <row r="23" spans="3:60" x14ac:dyDescent="0.25">
      <c r="E23" s="32"/>
      <c r="F23" s="23" t="s">
        <v>228</v>
      </c>
      <c r="G23" s="23" t="s">
        <v>204</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229</v>
      </c>
      <c r="G24" t="s">
        <v>204</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1.5008868542263909E-2</v>
      </c>
      <c r="S24" s="25">
        <f>'Standing charge factors'!S45</f>
        <v>0</v>
      </c>
      <c r="T24" s="25">
        <f>'Standing charge factors'!T45</f>
        <v>0</v>
      </c>
      <c r="U24" s="25">
        <f>'Standing charge factors'!U45</f>
        <v>0</v>
      </c>
      <c r="V24" s="25">
        <f>'Standing charge factors'!V45</f>
        <v>0</v>
      </c>
      <c r="W24" s="25">
        <f>'Standing charge factors'!W45</f>
        <v>1.5008868542263909E-2</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230</v>
      </c>
      <c r="G25" t="s">
        <v>204</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231</v>
      </c>
      <c r="G26" t="s">
        <v>204</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232</v>
      </c>
      <c r="G27" t="s">
        <v>204</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233</v>
      </c>
      <c r="G28" t="s">
        <v>204</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234</v>
      </c>
      <c r="G29" t="s">
        <v>204</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235</v>
      </c>
      <c r="G30" t="s">
        <v>204</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236</v>
      </c>
      <c r="G31" s="37" t="s">
        <v>204</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611</v>
      </c>
      <c r="I33" t="s">
        <v>191</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612</v>
      </c>
      <c r="BH33" s="3"/>
    </row>
    <row r="34" spans="5:60" x14ac:dyDescent="0.25">
      <c r="E34" s="32"/>
      <c r="F34" s="23" t="s">
        <v>228</v>
      </c>
      <c r="G34" s="23" t="s">
        <v>343</v>
      </c>
      <c r="H34" s="163"/>
      <c r="I34" s="163"/>
      <c r="J34" s="127">
        <f t="array" ref="J34">TRANSPOSE('Load &amp; loss characteristics'!K230:S262)</f>
        <v>1.0780000000000001</v>
      </c>
      <c r="K34" s="127">
        <f>'Load &amp; loss characteristics'!K231</f>
        <v>1.0780000000000001</v>
      </c>
      <c r="L34" s="127">
        <f>'Load &amp; loss characteristics'!K232</f>
        <v>1.0780000000000001</v>
      </c>
      <c r="M34" s="127">
        <f>'Load &amp; loss characteristics'!K233</f>
        <v>1.0780000000000001</v>
      </c>
      <c r="N34" s="127">
        <f>'Load &amp; loss characteristics'!K234</f>
        <v>1.0780000000000001</v>
      </c>
      <c r="O34" s="127">
        <f>'Load &amp; loss characteristics'!K235</f>
        <v>1.0780000000000001</v>
      </c>
      <c r="P34" s="127">
        <f>'Load &amp; loss characteristics'!K236</f>
        <v>1.0780000000000001</v>
      </c>
      <c r="Q34" s="127">
        <f>'Load &amp; loss characteristics'!K237</f>
        <v>1.0469999999999999</v>
      </c>
      <c r="R34" s="127">
        <f>'Load &amp; loss characteristics'!K238</f>
        <v>1.036</v>
      </c>
      <c r="S34" s="127">
        <f>'Load &amp; loss characteristics'!K239</f>
        <v>1.0780000000000001</v>
      </c>
      <c r="T34" s="127">
        <f>'Load &amp; loss characteristics'!K240</f>
        <v>1.0780000000000001</v>
      </c>
      <c r="U34" s="127">
        <f>'Load &amp; loss characteristics'!K241</f>
        <v>1.0780000000000001</v>
      </c>
      <c r="V34" s="127">
        <f>'Load &amp; loss characteristics'!K242</f>
        <v>1.0469999999999999</v>
      </c>
      <c r="W34" s="127">
        <f>'Load &amp; loss characteristics'!K243</f>
        <v>1.036</v>
      </c>
      <c r="X34" s="127">
        <f>'Load &amp; loss characteristics'!K244</f>
        <v>1.0780000000000001</v>
      </c>
      <c r="Y34" s="127">
        <f>'Load &amp; loss characteristics'!K245</f>
        <v>1.0780000000000001</v>
      </c>
      <c r="Z34" s="127">
        <f>'Load &amp; loss characteristics'!K246</f>
        <v>1.0780000000000001</v>
      </c>
      <c r="AA34" s="127">
        <f>'Load &amp; loss characteristics'!K247</f>
        <v>1.0780000000000001</v>
      </c>
      <c r="AB34" s="127">
        <f>'Load &amp; loss characteristics'!K248</f>
        <v>1.0780000000000001</v>
      </c>
      <c r="AC34" s="127">
        <f>'Load &amp; loss characteristics'!K249</f>
        <v>-1.0780000000000001</v>
      </c>
      <c r="AD34" s="127">
        <f>'Load &amp; loss characteristics'!K250</f>
        <v>-1.0469999999999999</v>
      </c>
      <c r="AE34" s="127">
        <f>'Load &amp; loss characteristics'!K251</f>
        <v>-1.0780000000000001</v>
      </c>
      <c r="AF34" s="127">
        <f>'Load &amp; loss characteristics'!K252</f>
        <v>-1.0780000000000001</v>
      </c>
      <c r="AG34" s="127">
        <f>'Load &amp; loss characteristics'!K253</f>
        <v>-1.0780000000000001</v>
      </c>
      <c r="AH34" s="127">
        <f>'Load &amp; loss characteristics'!K254</f>
        <v>-1.0780000000000001</v>
      </c>
      <c r="AI34" s="127">
        <f>'Load &amp; loss characteristics'!K255</f>
        <v>-1.0469999999999999</v>
      </c>
      <c r="AJ34" s="127">
        <f>'Load &amp; loss characteristics'!K256</f>
        <v>-1.0469999999999999</v>
      </c>
      <c r="AK34" s="127">
        <f>'Load &amp; loss characteristics'!K257</f>
        <v>-1.0469999999999999</v>
      </c>
      <c r="AL34" s="127">
        <f>'Load &amp; loss characteristics'!K258</f>
        <v>-1.0469999999999999</v>
      </c>
      <c r="AM34" s="127">
        <f>'Load &amp; loss characteristics'!K259</f>
        <v>-1.036</v>
      </c>
      <c r="AN34" s="127">
        <f>'Load &amp; loss characteristics'!K260</f>
        <v>-1.036</v>
      </c>
      <c r="AO34" s="127">
        <f>'Load &amp; loss characteristics'!K261</f>
        <v>-1.036</v>
      </c>
      <c r="AP34" s="127">
        <f>'Load &amp; loss characteristics'!K262</f>
        <v>-1.036</v>
      </c>
      <c r="BH34" s="3"/>
    </row>
    <row r="35" spans="5:60" x14ac:dyDescent="0.25">
      <c r="E35" s="32"/>
      <c r="F35" t="s">
        <v>229</v>
      </c>
      <c r="G35" t="s">
        <v>343</v>
      </c>
      <c r="H35" s="92"/>
      <c r="I35" s="92"/>
      <c r="J35" s="123">
        <f>'Load &amp; loss characteristics'!L230</f>
        <v>1.0780000000000001</v>
      </c>
      <c r="K35" s="123">
        <f>'Load &amp; loss characteristics'!L231</f>
        <v>1.0780000000000001</v>
      </c>
      <c r="L35" s="123">
        <f>'Load &amp; loss characteristics'!L232</f>
        <v>1.0780000000000001</v>
      </c>
      <c r="M35" s="123">
        <f>'Load &amp; loss characteristics'!L233</f>
        <v>1.0780000000000001</v>
      </c>
      <c r="N35" s="123">
        <f>'Load &amp; loss characteristics'!L234</f>
        <v>1.0780000000000001</v>
      </c>
      <c r="O35" s="123">
        <f>'Load &amp; loss characteristics'!L235</f>
        <v>1.0780000000000001</v>
      </c>
      <c r="P35" s="123">
        <f>'Load &amp; loss characteristics'!L236</f>
        <v>1.0780000000000001</v>
      </c>
      <c r="Q35" s="123">
        <f>'Load &amp; loss characteristics'!L237</f>
        <v>1.0469999999999999</v>
      </c>
      <c r="R35" s="123">
        <f>'Load &amp; loss characteristics'!L238</f>
        <v>1.036</v>
      </c>
      <c r="S35" s="123">
        <f>'Load &amp; loss characteristics'!L239</f>
        <v>1.0780000000000001</v>
      </c>
      <c r="T35" s="123">
        <f>'Load &amp; loss characteristics'!L240</f>
        <v>1.0780000000000001</v>
      </c>
      <c r="U35" s="123">
        <f>'Load &amp; loss characteristics'!L241</f>
        <v>1.0780000000000001</v>
      </c>
      <c r="V35" s="123">
        <f>'Load &amp; loss characteristics'!L242</f>
        <v>1.0469999999999999</v>
      </c>
      <c r="W35" s="123">
        <f>'Load &amp; loss characteristics'!L243</f>
        <v>1.036</v>
      </c>
      <c r="X35" s="123">
        <f>'Load &amp; loss characteristics'!L244</f>
        <v>1.0780000000000001</v>
      </c>
      <c r="Y35" s="123">
        <f>'Load &amp; loss characteristics'!L245</f>
        <v>1.0780000000000001</v>
      </c>
      <c r="Z35" s="123">
        <f>'Load &amp; loss characteristics'!L246</f>
        <v>1.0780000000000001</v>
      </c>
      <c r="AA35" s="123">
        <f>'Load &amp; loss characteristics'!L247</f>
        <v>1.0780000000000001</v>
      </c>
      <c r="AB35" s="123">
        <f>'Load &amp; loss characteristics'!L248</f>
        <v>1.0780000000000001</v>
      </c>
      <c r="AC35" s="123">
        <f>'Load &amp; loss characteristics'!L249</f>
        <v>-1.0780000000000001</v>
      </c>
      <c r="AD35" s="123">
        <f>'Load &amp; loss characteristics'!L250</f>
        <v>-1.0469999999999999</v>
      </c>
      <c r="AE35" s="123">
        <f>'Load &amp; loss characteristics'!L251</f>
        <v>-1.0780000000000001</v>
      </c>
      <c r="AF35" s="123">
        <f>'Load &amp; loss characteristics'!L252</f>
        <v>-1.0780000000000001</v>
      </c>
      <c r="AG35" s="123">
        <f>'Load &amp; loss characteristics'!L253</f>
        <v>-1.0780000000000001</v>
      </c>
      <c r="AH35" s="123">
        <f>'Load &amp; loss characteristics'!L254</f>
        <v>-1.0780000000000001</v>
      </c>
      <c r="AI35" s="123">
        <f>'Load &amp; loss characteristics'!L255</f>
        <v>-1.0469999999999999</v>
      </c>
      <c r="AJ35" s="123">
        <f>'Load &amp; loss characteristics'!L256</f>
        <v>-1.0469999999999999</v>
      </c>
      <c r="AK35" s="123">
        <f>'Load &amp; loss characteristics'!L257</f>
        <v>-1.0469999999999999</v>
      </c>
      <c r="AL35" s="123">
        <f>'Load &amp; loss characteristics'!L258</f>
        <v>-1.0469999999999999</v>
      </c>
      <c r="AM35" s="123">
        <f>'Load &amp; loss characteristics'!L259</f>
        <v>-1.036</v>
      </c>
      <c r="AN35" s="123">
        <f>'Load &amp; loss characteristics'!L260</f>
        <v>-1.036</v>
      </c>
      <c r="AO35" s="123">
        <f>'Load &amp; loss characteristics'!L261</f>
        <v>-1.036</v>
      </c>
      <c r="AP35" s="123">
        <f>'Load &amp; loss characteristics'!L262</f>
        <v>-1.036</v>
      </c>
      <c r="BH35" s="3"/>
    </row>
    <row r="36" spans="5:60" x14ac:dyDescent="0.25">
      <c r="E36" s="32"/>
      <c r="F36" t="s">
        <v>230</v>
      </c>
      <c r="G36" t="s">
        <v>343</v>
      </c>
      <c r="H36" s="92"/>
      <c r="I36" s="92"/>
      <c r="J36" s="123">
        <f>'Load &amp; loss characteristics'!M230</f>
        <v>0.99710219855719762</v>
      </c>
      <c r="K36" s="123">
        <f>'Load &amp; loss characteristics'!M231</f>
        <v>0.99710219855719762</v>
      </c>
      <c r="L36" s="123">
        <f>'Load &amp; loss characteristics'!M232</f>
        <v>0.99710219855719762</v>
      </c>
      <c r="M36" s="123">
        <f>'Load &amp; loss characteristics'!M233</f>
        <v>0.99710219855719762</v>
      </c>
      <c r="N36" s="123">
        <f>'Load &amp; loss characteristics'!M234</f>
        <v>0.99710219855719762</v>
      </c>
      <c r="O36" s="123">
        <f>'Load &amp; loss characteristics'!M235</f>
        <v>0.99710219855719762</v>
      </c>
      <c r="P36" s="123">
        <f>'Load &amp; loss characteristics'!M236</f>
        <v>0.99710219855719762</v>
      </c>
      <c r="Q36" s="123">
        <f>'Load &amp; loss characteristics'!M237</f>
        <v>0.96842857318124842</v>
      </c>
      <c r="R36" s="123">
        <f>'Load &amp; loss characteristics'!M238</f>
        <v>0.95825406095107302</v>
      </c>
      <c r="S36" s="123">
        <f>'Load &amp; loss characteristics'!M239</f>
        <v>0.99710219855719762</v>
      </c>
      <c r="T36" s="123">
        <f>'Load &amp; loss characteristics'!M240</f>
        <v>0.99710219855719762</v>
      </c>
      <c r="U36" s="123">
        <f>'Load &amp; loss characteristics'!M241</f>
        <v>0.99710219855719762</v>
      </c>
      <c r="V36" s="123">
        <f>'Load &amp; loss characteristics'!M242</f>
        <v>0.96842857318124842</v>
      </c>
      <c r="W36" s="123">
        <f>'Load &amp; loss characteristics'!M243</f>
        <v>0.95825406095107302</v>
      </c>
      <c r="X36" s="123">
        <f>'Load &amp; loss characteristics'!M244</f>
        <v>0.99710219855719762</v>
      </c>
      <c r="Y36" s="123">
        <f>'Load &amp; loss characteristics'!M245</f>
        <v>0.99710219855719762</v>
      </c>
      <c r="Z36" s="123">
        <f>'Load &amp; loss characteristics'!M246</f>
        <v>0.99710219855719762</v>
      </c>
      <c r="AA36" s="123">
        <f>'Load &amp; loss characteristics'!M247</f>
        <v>0.99710219855719762</v>
      </c>
      <c r="AB36" s="123">
        <f>'Load &amp; loss characteristics'!M248</f>
        <v>0.99710219855719762</v>
      </c>
      <c r="AC36" s="123">
        <f>'Load &amp; loss characteristics'!M249</f>
        <v>-0.99710219855719762</v>
      </c>
      <c r="AD36" s="123">
        <f>'Load &amp; loss characteristics'!M250</f>
        <v>-0.96842857318124842</v>
      </c>
      <c r="AE36" s="123">
        <f>'Load &amp; loss characteristics'!M251</f>
        <v>-0.99710219855719762</v>
      </c>
      <c r="AF36" s="123">
        <f>'Load &amp; loss characteristics'!M252</f>
        <v>-0.99710219855719762</v>
      </c>
      <c r="AG36" s="123">
        <f>'Load &amp; loss characteristics'!M253</f>
        <v>-0.99710219855719762</v>
      </c>
      <c r="AH36" s="123">
        <f>'Load &amp; loss characteristics'!M254</f>
        <v>-0.99710219855719762</v>
      </c>
      <c r="AI36" s="123">
        <f>'Load &amp; loss characteristics'!M255</f>
        <v>-0.96842857318124842</v>
      </c>
      <c r="AJ36" s="123">
        <f>'Load &amp; loss characteristics'!M256</f>
        <v>-0.96842857318124842</v>
      </c>
      <c r="AK36" s="123">
        <f>'Load &amp; loss characteristics'!M257</f>
        <v>-0.96842857318124842</v>
      </c>
      <c r="AL36" s="123">
        <f>'Load &amp; loss characteristics'!M258</f>
        <v>-0.96842857318124842</v>
      </c>
      <c r="AM36" s="123">
        <f>'Load &amp; loss characteristics'!M259</f>
        <v>-0.95825406095107302</v>
      </c>
      <c r="AN36" s="123">
        <f>'Load &amp; loss characteristics'!M260</f>
        <v>-0.95825406095107302</v>
      </c>
      <c r="AO36" s="123">
        <f>'Load &amp; loss characteristics'!M261</f>
        <v>-0.95825406095107302</v>
      </c>
      <c r="AP36" s="123">
        <f>'Load &amp; loss characteristics'!M262</f>
        <v>-0.95825406095107302</v>
      </c>
      <c r="BH36" s="3"/>
    </row>
    <row r="37" spans="5:60" x14ac:dyDescent="0.25">
      <c r="E37" s="32"/>
      <c r="F37" t="s">
        <v>231</v>
      </c>
      <c r="G37" t="s">
        <v>343</v>
      </c>
      <c r="H37" s="92"/>
      <c r="I37" s="92"/>
      <c r="J37" s="123">
        <f>'Load &amp; loss characteristics'!N230</f>
        <v>0.99710219855719762</v>
      </c>
      <c r="K37" s="123">
        <f>'Load &amp; loss characteristics'!N231</f>
        <v>0.99710219855719762</v>
      </c>
      <c r="L37" s="123">
        <f>'Load &amp; loss characteristics'!N232</f>
        <v>0.99710219855719762</v>
      </c>
      <c r="M37" s="123">
        <f>'Load &amp; loss characteristics'!N233</f>
        <v>0.99710219855719762</v>
      </c>
      <c r="N37" s="123">
        <f>'Load &amp; loss characteristics'!N234</f>
        <v>0.99710219855719762</v>
      </c>
      <c r="O37" s="123">
        <f>'Load &amp; loss characteristics'!N235</f>
        <v>0.99710219855719762</v>
      </c>
      <c r="P37" s="123">
        <f>'Load &amp; loss characteristics'!N236</f>
        <v>0.99710219855719762</v>
      </c>
      <c r="Q37" s="123">
        <f>'Load &amp; loss characteristics'!N237</f>
        <v>0.96842857318124842</v>
      </c>
      <c r="R37" s="123">
        <f>'Load &amp; loss characteristics'!N238</f>
        <v>0.95825406095107302</v>
      </c>
      <c r="S37" s="123">
        <f>'Load &amp; loss characteristics'!N239</f>
        <v>0.99710219855719762</v>
      </c>
      <c r="T37" s="123">
        <f>'Load &amp; loss characteristics'!N240</f>
        <v>0.99710219855719762</v>
      </c>
      <c r="U37" s="123">
        <f>'Load &amp; loss characteristics'!N241</f>
        <v>0.99710219855719762</v>
      </c>
      <c r="V37" s="123">
        <f>'Load &amp; loss characteristics'!N242</f>
        <v>0.96842857318124842</v>
      </c>
      <c r="W37" s="123">
        <f>'Load &amp; loss characteristics'!N243</f>
        <v>0.95825406095107302</v>
      </c>
      <c r="X37" s="123">
        <f>'Load &amp; loss characteristics'!N244</f>
        <v>0.99710219855719762</v>
      </c>
      <c r="Y37" s="123">
        <f>'Load &amp; loss characteristics'!N245</f>
        <v>0.99710219855719762</v>
      </c>
      <c r="Z37" s="123">
        <f>'Load &amp; loss characteristics'!N246</f>
        <v>0.99710219855719762</v>
      </c>
      <c r="AA37" s="123">
        <f>'Load &amp; loss characteristics'!N247</f>
        <v>0.99710219855719762</v>
      </c>
      <c r="AB37" s="123">
        <f>'Load &amp; loss characteristics'!N248</f>
        <v>0.99710219855719762</v>
      </c>
      <c r="AC37" s="123">
        <f>'Load &amp; loss characteristics'!N249</f>
        <v>-0.99710219855719762</v>
      </c>
      <c r="AD37" s="123">
        <f>'Load &amp; loss characteristics'!N250</f>
        <v>-0.96842857318124842</v>
      </c>
      <c r="AE37" s="123">
        <f>'Load &amp; loss characteristics'!N251</f>
        <v>-0.99710219855719762</v>
      </c>
      <c r="AF37" s="123">
        <f>'Load &amp; loss characteristics'!N252</f>
        <v>-0.99710219855719762</v>
      </c>
      <c r="AG37" s="123">
        <f>'Load &amp; loss characteristics'!N253</f>
        <v>-0.99710219855719762</v>
      </c>
      <c r="AH37" s="123">
        <f>'Load &amp; loss characteristics'!N254</f>
        <v>-0.99710219855719762</v>
      </c>
      <c r="AI37" s="123">
        <f>'Load &amp; loss characteristics'!N255</f>
        <v>-0.96842857318124842</v>
      </c>
      <c r="AJ37" s="123">
        <f>'Load &amp; loss characteristics'!N256</f>
        <v>-0.96842857318124842</v>
      </c>
      <c r="AK37" s="123">
        <f>'Load &amp; loss characteristics'!N257</f>
        <v>-0.96842857318124842</v>
      </c>
      <c r="AL37" s="123">
        <f>'Load &amp; loss characteristics'!N258</f>
        <v>-0.96842857318124842</v>
      </c>
      <c r="AM37" s="123">
        <f>'Load &amp; loss characteristics'!N259</f>
        <v>-0.95825406095107302</v>
      </c>
      <c r="AN37" s="123">
        <f>'Load &amp; loss characteristics'!N260</f>
        <v>-0.95825406095107302</v>
      </c>
      <c r="AO37" s="123">
        <f>'Load &amp; loss characteristics'!N261</f>
        <v>-0.95825406095107302</v>
      </c>
      <c r="AP37" s="123">
        <f>'Load &amp; loss characteristics'!N262</f>
        <v>-0.95825406095107302</v>
      </c>
      <c r="BH37" s="3"/>
    </row>
    <row r="38" spans="5:60" x14ac:dyDescent="0.25">
      <c r="E38" s="32"/>
      <c r="F38" t="s">
        <v>232</v>
      </c>
      <c r="G38" t="s">
        <v>343</v>
      </c>
      <c r="H38" s="92"/>
      <c r="I38" s="92"/>
      <c r="J38" s="123">
        <f>'Load &amp; loss characteristics'!O230</f>
        <v>0.99710219855719762</v>
      </c>
      <c r="K38" s="123">
        <f>'Load &amp; loss characteristics'!O231</f>
        <v>0.99710219855719762</v>
      </c>
      <c r="L38" s="123">
        <f>'Load &amp; loss characteristics'!O232</f>
        <v>0.99710219855719762</v>
      </c>
      <c r="M38" s="123">
        <f>'Load &amp; loss characteristics'!O233</f>
        <v>0.99710219855719762</v>
      </c>
      <c r="N38" s="123">
        <f>'Load &amp; loss characteristics'!O234</f>
        <v>0.99710219855719762</v>
      </c>
      <c r="O38" s="123">
        <f>'Load &amp; loss characteristics'!O235</f>
        <v>0.99710219855719762</v>
      </c>
      <c r="P38" s="123">
        <f>'Load &amp; loss characteristics'!O236</f>
        <v>0.99710219855719762</v>
      </c>
      <c r="Q38" s="123">
        <f>'Load &amp; loss characteristics'!O237</f>
        <v>0.96842857318124842</v>
      </c>
      <c r="R38" s="123">
        <f>'Load &amp; loss characteristics'!O238</f>
        <v>0.95825406095107302</v>
      </c>
      <c r="S38" s="123">
        <f>'Load &amp; loss characteristics'!O239</f>
        <v>0.99710219855719762</v>
      </c>
      <c r="T38" s="123">
        <f>'Load &amp; loss characteristics'!O240</f>
        <v>0.99710219855719762</v>
      </c>
      <c r="U38" s="123">
        <f>'Load &amp; loss characteristics'!O241</f>
        <v>0.99710219855719762</v>
      </c>
      <c r="V38" s="123">
        <f>'Load &amp; loss characteristics'!O242</f>
        <v>0.96842857318124842</v>
      </c>
      <c r="W38" s="123">
        <f>'Load &amp; loss characteristics'!O243</f>
        <v>0.95825406095107302</v>
      </c>
      <c r="X38" s="123">
        <f>'Load &amp; loss characteristics'!O244</f>
        <v>0.99710219855719762</v>
      </c>
      <c r="Y38" s="123">
        <f>'Load &amp; loss characteristics'!O245</f>
        <v>0.99710219855719762</v>
      </c>
      <c r="Z38" s="123">
        <f>'Load &amp; loss characteristics'!O246</f>
        <v>0.99710219855719762</v>
      </c>
      <c r="AA38" s="123">
        <f>'Load &amp; loss characteristics'!O247</f>
        <v>0.99710219855719762</v>
      </c>
      <c r="AB38" s="123">
        <f>'Load &amp; loss characteristics'!O248</f>
        <v>0.99710219855719762</v>
      </c>
      <c r="AC38" s="123">
        <f>'Load &amp; loss characteristics'!O249</f>
        <v>-0.99710219855719762</v>
      </c>
      <c r="AD38" s="123">
        <f>'Load &amp; loss characteristics'!O250</f>
        <v>-0.96842857318124842</v>
      </c>
      <c r="AE38" s="123">
        <f>'Load &amp; loss characteristics'!O251</f>
        <v>-0.99710219855719762</v>
      </c>
      <c r="AF38" s="123">
        <f>'Load &amp; loss characteristics'!O252</f>
        <v>-0.99710219855719762</v>
      </c>
      <c r="AG38" s="123">
        <f>'Load &amp; loss characteristics'!O253</f>
        <v>-0.99710219855719762</v>
      </c>
      <c r="AH38" s="123">
        <f>'Load &amp; loss characteristics'!O254</f>
        <v>-0.99710219855719762</v>
      </c>
      <c r="AI38" s="123">
        <f>'Load &amp; loss characteristics'!O255</f>
        <v>-0.96842857318124842</v>
      </c>
      <c r="AJ38" s="123">
        <f>'Load &amp; loss characteristics'!O256</f>
        <v>-0.96842857318124842</v>
      </c>
      <c r="AK38" s="123">
        <f>'Load &amp; loss characteristics'!O257</f>
        <v>-0.96842857318124842</v>
      </c>
      <c r="AL38" s="123">
        <f>'Load &amp; loss characteristics'!O258</f>
        <v>-0.96842857318124842</v>
      </c>
      <c r="AM38" s="123">
        <f>'Load &amp; loss characteristics'!O259</f>
        <v>-0.95825406095107302</v>
      </c>
      <c r="AN38" s="123">
        <f>'Load &amp; loss characteristics'!O260</f>
        <v>-0.95825406095107302</v>
      </c>
      <c r="AO38" s="123">
        <f>'Load &amp; loss characteristics'!O261</f>
        <v>-0.95825406095107302</v>
      </c>
      <c r="AP38" s="123">
        <f>'Load &amp; loss characteristics'!O262</f>
        <v>-0.95825406095107302</v>
      </c>
      <c r="BH38" s="3"/>
    </row>
    <row r="39" spans="5:60" x14ac:dyDescent="0.25">
      <c r="E39" s="32"/>
      <c r="F39" t="s">
        <v>233</v>
      </c>
      <c r="G39" t="s">
        <v>343</v>
      </c>
      <c r="H39" s="92"/>
      <c r="I39" s="92"/>
      <c r="J39" s="123">
        <f>'Load &amp; loss characteristics'!P230</f>
        <v>8.0897801442802481E-2</v>
      </c>
      <c r="K39" s="123">
        <f>'Load &amp; loss characteristics'!P231</f>
        <v>8.0897801442802481E-2</v>
      </c>
      <c r="L39" s="123">
        <f>'Load &amp; loss characteristics'!P232</f>
        <v>8.0897801442802481E-2</v>
      </c>
      <c r="M39" s="123">
        <f>'Load &amp; loss characteristics'!P233</f>
        <v>8.0897801442802481E-2</v>
      </c>
      <c r="N39" s="123">
        <f>'Load &amp; loss characteristics'!P234</f>
        <v>8.0897801442802481E-2</v>
      </c>
      <c r="O39" s="123">
        <f>'Load &amp; loss characteristics'!P235</f>
        <v>8.0897801442802481E-2</v>
      </c>
      <c r="P39" s="123">
        <f>'Load &amp; loss characteristics'!P236</f>
        <v>8.0897801442802481E-2</v>
      </c>
      <c r="Q39" s="123">
        <f>'Load &amp; loss characteristics'!P237</f>
        <v>7.8571426818751552E-2</v>
      </c>
      <c r="R39" s="123">
        <f>'Load &amp; loss characteristics'!P238</f>
        <v>7.7745939048927057E-2</v>
      </c>
      <c r="S39" s="123">
        <f>'Load &amp; loss characteristics'!P239</f>
        <v>8.0897801442802481E-2</v>
      </c>
      <c r="T39" s="123">
        <f>'Load &amp; loss characteristics'!P240</f>
        <v>8.0897801442802481E-2</v>
      </c>
      <c r="U39" s="123">
        <f>'Load &amp; loss characteristics'!P241</f>
        <v>8.0897801442802481E-2</v>
      </c>
      <c r="V39" s="123">
        <f>'Load &amp; loss characteristics'!P242</f>
        <v>7.8571426818751552E-2</v>
      </c>
      <c r="W39" s="123">
        <f>'Load &amp; loss characteristics'!P243</f>
        <v>7.7745939048927057E-2</v>
      </c>
      <c r="X39" s="123">
        <f>'Load &amp; loss characteristics'!P244</f>
        <v>8.0897801442802481E-2</v>
      </c>
      <c r="Y39" s="123">
        <f>'Load &amp; loss characteristics'!P245</f>
        <v>8.0897801442802481E-2</v>
      </c>
      <c r="Z39" s="123">
        <f>'Load &amp; loss characteristics'!P246</f>
        <v>8.0897801442802481E-2</v>
      </c>
      <c r="AA39" s="123">
        <f>'Load &amp; loss characteristics'!P247</f>
        <v>8.0897801442802481E-2</v>
      </c>
      <c r="AB39" s="123">
        <f>'Load &amp; loss characteristics'!P248</f>
        <v>8.0897801442802481E-2</v>
      </c>
      <c r="AC39" s="123">
        <f>'Load &amp; loss characteristics'!P249</f>
        <v>-8.0897801442802481E-2</v>
      </c>
      <c r="AD39" s="123">
        <f>'Load &amp; loss characteristics'!P250</f>
        <v>-7.8571426818751552E-2</v>
      </c>
      <c r="AE39" s="123">
        <f>'Load &amp; loss characteristics'!P251</f>
        <v>-8.0897801442802481E-2</v>
      </c>
      <c r="AF39" s="123">
        <f>'Load &amp; loss characteristics'!P252</f>
        <v>-8.0897801442802481E-2</v>
      </c>
      <c r="AG39" s="123">
        <f>'Load &amp; loss characteristics'!P253</f>
        <v>-8.0897801442802481E-2</v>
      </c>
      <c r="AH39" s="123">
        <f>'Load &amp; loss characteristics'!P254</f>
        <v>-8.0897801442802481E-2</v>
      </c>
      <c r="AI39" s="123">
        <f>'Load &amp; loss characteristics'!P255</f>
        <v>-7.8571426818751552E-2</v>
      </c>
      <c r="AJ39" s="123">
        <f>'Load &amp; loss characteristics'!P256</f>
        <v>-7.8571426818751552E-2</v>
      </c>
      <c r="AK39" s="123">
        <f>'Load &amp; loss characteristics'!P257</f>
        <v>-7.8571426818751552E-2</v>
      </c>
      <c r="AL39" s="123">
        <f>'Load &amp; loss characteristics'!P258</f>
        <v>-7.8571426818751552E-2</v>
      </c>
      <c r="AM39" s="123">
        <f>'Load &amp; loss characteristics'!P259</f>
        <v>-7.7745939048927057E-2</v>
      </c>
      <c r="AN39" s="123">
        <f>'Load &amp; loss characteristics'!P260</f>
        <v>-7.7745939048927057E-2</v>
      </c>
      <c r="AO39" s="123">
        <f>'Load &amp; loss characteristics'!P261</f>
        <v>-7.7745939048927057E-2</v>
      </c>
      <c r="AP39" s="123">
        <f>'Load &amp; loss characteristics'!P262</f>
        <v>-7.7745939048927057E-2</v>
      </c>
      <c r="BH39" s="3"/>
    </row>
    <row r="40" spans="5:60" x14ac:dyDescent="0.25">
      <c r="E40" s="32"/>
      <c r="F40" t="s">
        <v>234</v>
      </c>
      <c r="G40" t="s">
        <v>343</v>
      </c>
      <c r="H40" s="92"/>
      <c r="I40" s="92"/>
      <c r="J40" s="123">
        <f>'Load &amp; loss characteristics'!Q230</f>
        <v>1.0780000000000001</v>
      </c>
      <c r="K40" s="123">
        <f>'Load &amp; loss characteristics'!Q231</f>
        <v>1.0780000000000001</v>
      </c>
      <c r="L40" s="123">
        <f>'Load &amp; loss characteristics'!Q232</f>
        <v>1.0780000000000001</v>
      </c>
      <c r="M40" s="123">
        <f>'Load &amp; loss characteristics'!Q233</f>
        <v>1.0780000000000001</v>
      </c>
      <c r="N40" s="123">
        <f>'Load &amp; loss characteristics'!Q234</f>
        <v>1.0780000000000001</v>
      </c>
      <c r="O40" s="123">
        <f>'Load &amp; loss characteristics'!Q235</f>
        <v>1.0780000000000001</v>
      </c>
      <c r="P40" s="123">
        <f>'Load &amp; loss characteristics'!Q236</f>
        <v>1.0780000000000001</v>
      </c>
      <c r="Q40" s="123">
        <f>'Load &amp; loss characteristics'!Q237</f>
        <v>1.0469999999999999</v>
      </c>
      <c r="R40" s="123">
        <f>'Load &amp; loss characteristics'!Q238</f>
        <v>1.036</v>
      </c>
      <c r="S40" s="123">
        <f>'Load &amp; loss characteristics'!Q239</f>
        <v>1.0780000000000001</v>
      </c>
      <c r="T40" s="123">
        <f>'Load &amp; loss characteristics'!Q240</f>
        <v>1.0780000000000001</v>
      </c>
      <c r="U40" s="123">
        <f>'Load &amp; loss characteristics'!Q241</f>
        <v>1.0780000000000001</v>
      </c>
      <c r="V40" s="123">
        <f>'Load &amp; loss characteristics'!Q242</f>
        <v>1.0469999999999999</v>
      </c>
      <c r="W40" s="123">
        <f>'Load &amp; loss characteristics'!Q243</f>
        <v>1.036</v>
      </c>
      <c r="X40" s="123">
        <f>'Load &amp; loss characteristics'!Q244</f>
        <v>1.0780000000000001</v>
      </c>
      <c r="Y40" s="123">
        <f>'Load &amp; loss characteristics'!Q245</f>
        <v>1.0780000000000001</v>
      </c>
      <c r="Z40" s="123">
        <f>'Load &amp; loss characteristics'!Q246</f>
        <v>1.0780000000000001</v>
      </c>
      <c r="AA40" s="123">
        <f>'Load &amp; loss characteristics'!Q247</f>
        <v>1.0780000000000001</v>
      </c>
      <c r="AB40" s="123">
        <f>'Load &amp; loss characteristics'!Q248</f>
        <v>1.0780000000000001</v>
      </c>
      <c r="AC40" s="123">
        <f>'Load &amp; loss characteristics'!Q249</f>
        <v>-1.0780000000000001</v>
      </c>
      <c r="AD40" s="123">
        <f>'Load &amp; loss characteristics'!Q250</f>
        <v>-1.0469999999999999</v>
      </c>
      <c r="AE40" s="123">
        <f>'Load &amp; loss characteristics'!Q251</f>
        <v>-1.0780000000000001</v>
      </c>
      <c r="AF40" s="123">
        <f>'Load &amp; loss characteristics'!Q252</f>
        <v>-1.0780000000000001</v>
      </c>
      <c r="AG40" s="123">
        <f>'Load &amp; loss characteristics'!Q253</f>
        <v>-1.0780000000000001</v>
      </c>
      <c r="AH40" s="123">
        <f>'Load &amp; loss characteristics'!Q254</f>
        <v>-1.0780000000000001</v>
      </c>
      <c r="AI40" s="123">
        <f>'Load &amp; loss characteristics'!Q255</f>
        <v>-1.0469999999999999</v>
      </c>
      <c r="AJ40" s="123">
        <f>'Load &amp; loss characteristics'!Q256</f>
        <v>-1.0469999999999999</v>
      </c>
      <c r="AK40" s="123">
        <f>'Load &amp; loss characteristics'!Q257</f>
        <v>-1.0469999999999999</v>
      </c>
      <c r="AL40" s="123">
        <f>'Load &amp; loss characteristics'!Q258</f>
        <v>-1.0469999999999999</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235</v>
      </c>
      <c r="G41" t="s">
        <v>343</v>
      </c>
      <c r="H41" s="92"/>
      <c r="I41" s="92"/>
      <c r="J41" s="123">
        <f>'Load &amp; loss characteristics'!R230</f>
        <v>1.0780000000000001</v>
      </c>
      <c r="K41" s="123">
        <f>'Load &amp; loss characteristics'!R231</f>
        <v>1.0780000000000001</v>
      </c>
      <c r="L41" s="123">
        <f>'Load &amp; loss characteristics'!R232</f>
        <v>1.0780000000000001</v>
      </c>
      <c r="M41" s="123">
        <f>'Load &amp; loss characteristics'!R233</f>
        <v>1.0780000000000001</v>
      </c>
      <c r="N41" s="123">
        <f>'Load &amp; loss characteristics'!R234</f>
        <v>1.0780000000000001</v>
      </c>
      <c r="O41" s="123">
        <f>'Load &amp; loss characteristics'!R235</f>
        <v>1.0780000000000001</v>
      </c>
      <c r="P41" s="123">
        <f>'Load &amp; loss characteristics'!R236</f>
        <v>1.0780000000000001</v>
      </c>
      <c r="Q41" s="123">
        <f>'Load &amp; loss characteristics'!R237</f>
        <v>1.0469999999999999</v>
      </c>
      <c r="R41" s="123">
        <f>'Load &amp; loss characteristics'!R238</f>
        <v>0</v>
      </c>
      <c r="S41" s="123">
        <f>'Load &amp; loss characteristics'!R239</f>
        <v>1.0780000000000001</v>
      </c>
      <c r="T41" s="123">
        <f>'Load &amp; loss characteristics'!R240</f>
        <v>1.0780000000000001</v>
      </c>
      <c r="U41" s="123">
        <f>'Load &amp; loss characteristics'!R241</f>
        <v>1.0780000000000001</v>
      </c>
      <c r="V41" s="123">
        <f>'Load &amp; loss characteristics'!R242</f>
        <v>1.0469999999999999</v>
      </c>
      <c r="W41" s="123">
        <f>'Load &amp; loss characteristics'!R243</f>
        <v>0</v>
      </c>
      <c r="X41" s="123">
        <f>'Load &amp; loss characteristics'!R244</f>
        <v>1.0780000000000001</v>
      </c>
      <c r="Y41" s="123">
        <f>'Load &amp; loss characteristics'!R245</f>
        <v>1.0780000000000001</v>
      </c>
      <c r="Z41" s="123">
        <f>'Load &amp; loss characteristics'!R246</f>
        <v>1.0780000000000001</v>
      </c>
      <c r="AA41" s="123">
        <f>'Load &amp; loss characteristics'!R247</f>
        <v>1.0780000000000001</v>
      </c>
      <c r="AB41" s="123">
        <f>'Load &amp; loss characteristics'!R248</f>
        <v>1.0780000000000001</v>
      </c>
      <c r="AC41" s="123">
        <f>'Load &amp; loss characteristics'!R249</f>
        <v>-1.0780000000000001</v>
      </c>
      <c r="AD41" s="123">
        <f>'Load &amp; loss characteristics'!R250</f>
        <v>0</v>
      </c>
      <c r="AE41" s="123">
        <f>'Load &amp; loss characteristics'!R251</f>
        <v>-1.0780000000000001</v>
      </c>
      <c r="AF41" s="123">
        <f>'Load &amp; loss characteristics'!R252</f>
        <v>-1.0780000000000001</v>
      </c>
      <c r="AG41" s="123">
        <f>'Load &amp; loss characteristics'!R253</f>
        <v>-1.0780000000000001</v>
      </c>
      <c r="AH41" s="123">
        <f>'Load &amp; loss characteristics'!R254</f>
        <v>-1.0780000000000001</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236</v>
      </c>
      <c r="G42" s="37" t="s">
        <v>343</v>
      </c>
      <c r="H42" s="82"/>
      <c r="I42" s="82"/>
      <c r="J42" s="128">
        <f>'Load &amp; loss characteristics'!S230</f>
        <v>1.0780000000000001</v>
      </c>
      <c r="K42" s="128">
        <f>'Load &amp; loss characteristics'!S231</f>
        <v>1.0780000000000001</v>
      </c>
      <c r="L42" s="128">
        <f>'Load &amp; loss characteristics'!S232</f>
        <v>1.0780000000000001</v>
      </c>
      <c r="M42" s="128">
        <f>'Load &amp; loss characteristics'!S233</f>
        <v>1.0780000000000001</v>
      </c>
      <c r="N42" s="128">
        <f>'Load &amp; loss characteristics'!S234</f>
        <v>1.0780000000000001</v>
      </c>
      <c r="O42" s="128">
        <f>'Load &amp; loss characteristics'!S235</f>
        <v>1.0780000000000001</v>
      </c>
      <c r="P42" s="128">
        <f>'Load &amp; loss characteristics'!S236</f>
        <v>1.0780000000000001</v>
      </c>
      <c r="Q42" s="128">
        <f>'Load &amp; loss characteristics'!S237</f>
        <v>0</v>
      </c>
      <c r="R42" s="128">
        <f>'Load &amp; loss characteristics'!S238</f>
        <v>0</v>
      </c>
      <c r="S42" s="128">
        <f>'Load &amp; loss characteristics'!S239</f>
        <v>1.0780000000000001</v>
      </c>
      <c r="T42" s="128">
        <f>'Load &amp; loss characteristics'!S240</f>
        <v>1.0780000000000001</v>
      </c>
      <c r="U42" s="128">
        <f>'Load &amp; loss characteristics'!S241</f>
        <v>1.0780000000000001</v>
      </c>
      <c r="V42" s="128">
        <f>'Load &amp; loss characteristics'!S242</f>
        <v>0</v>
      </c>
      <c r="W42" s="128">
        <f>'Load &amp; loss characteristics'!S243</f>
        <v>0</v>
      </c>
      <c r="X42" s="128">
        <f>'Load &amp; loss characteristics'!S244</f>
        <v>1.0780000000000001</v>
      </c>
      <c r="Y42" s="128">
        <f>'Load &amp; loss characteristics'!S245</f>
        <v>1.0780000000000001</v>
      </c>
      <c r="Z42" s="128">
        <f>'Load &amp; loss characteristics'!S246</f>
        <v>1.0780000000000001</v>
      </c>
      <c r="AA42" s="128">
        <f>'Load &amp; loss characteristics'!S247</f>
        <v>1.0780000000000001</v>
      </c>
      <c r="AB42" s="128">
        <f>'Load &amp; loss characteristics'!S248</f>
        <v>1.0780000000000001</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613</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228</v>
      </c>
      <c r="G45" s="23" t="s">
        <v>343</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229</v>
      </c>
      <c r="G46" t="s">
        <v>343</v>
      </c>
      <c r="H46" s="123">
        <f>'Load &amp; loss characteristics'!L29</f>
        <v>1.0029999999999999</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230</v>
      </c>
      <c r="G47" t="s">
        <v>343</v>
      </c>
      <c r="H47" s="123">
        <f>'Load &amp; loss characteristics'!M29</f>
        <v>1.006</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231</v>
      </c>
      <c r="G48" t="s">
        <v>343</v>
      </c>
      <c r="H48" s="123">
        <f>'Load &amp; loss characteristics'!N29</f>
        <v>1.014</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232</v>
      </c>
      <c r="G49" t="s">
        <v>343</v>
      </c>
      <c r="H49" s="123">
        <f>'Load &amp; loss characteristics'!O29</f>
        <v>1.02</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233</v>
      </c>
      <c r="G50" t="s">
        <v>343</v>
      </c>
      <c r="H50" s="123">
        <f>'Load &amp; loss characteristics'!P29</f>
        <v>1.02</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234</v>
      </c>
      <c r="G51" t="s">
        <v>343</v>
      </c>
      <c r="H51" s="123">
        <f>'Load &amp; loss characteristics'!Q29</f>
        <v>1.036</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235</v>
      </c>
      <c r="G52" t="s">
        <v>343</v>
      </c>
      <c r="H52" s="123">
        <f>'Load &amp; loss characteristics'!R29</f>
        <v>1.0469999999999999</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236</v>
      </c>
      <c r="G53" s="37" t="s">
        <v>343</v>
      </c>
      <c r="H53" s="128">
        <f>'Load &amp; loss characteristics'!S29</f>
        <v>1.0780000000000001</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614</v>
      </c>
      <c r="H55" s="92"/>
      <c r="I55" s="92" t="s">
        <v>191</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615</v>
      </c>
    </row>
    <row r="56" spans="2:60" x14ac:dyDescent="0.25">
      <c r="E56" s="32"/>
      <c r="F56" s="23" t="s">
        <v>193</v>
      </c>
      <c r="G56" s="23" t="s">
        <v>244</v>
      </c>
      <c r="H56" s="163"/>
      <c r="I56" s="163"/>
      <c r="J56" s="127">
        <f>'Volume adjustments'!J66</f>
        <v>5883290.5674295351</v>
      </c>
      <c r="K56" s="127">
        <f>'Volume adjustments'!K66</f>
        <v>2253198.645069303</v>
      </c>
      <c r="L56" s="127">
        <f>'Volume adjustments'!L66</f>
        <v>23777.812108679751</v>
      </c>
      <c r="M56" s="127">
        <f>'Volume adjustments'!M66</f>
        <v>1161806.4742133119</v>
      </c>
      <c r="N56" s="127">
        <f>'Volume adjustments'!N66</f>
        <v>1502232.6626114759</v>
      </c>
      <c r="O56" s="127">
        <f>'Volume adjustments'!O66</f>
        <v>2608.5296353034564</v>
      </c>
      <c r="P56" s="127">
        <f>'Volume adjustments'!P66</f>
        <v>15312.991488043248</v>
      </c>
      <c r="Q56" s="127">
        <f>'Volume adjustments'!Q66</f>
        <v>0.43263699199999994</v>
      </c>
      <c r="R56" s="127">
        <f>'Volume adjustments'!R66</f>
        <v>2548.6086671293438</v>
      </c>
      <c r="S56" s="127">
        <f>'Volume adjustments'!S66</f>
        <v>2665.4131654318253</v>
      </c>
      <c r="T56" s="127">
        <f>'Volume adjustments'!T66</f>
        <v>19695.068082327467</v>
      </c>
      <c r="U56" s="127">
        <f>'Volume adjustments'!U66</f>
        <v>383446.71347459609</v>
      </c>
      <c r="V56" s="127">
        <f>'Volume adjustments'!V66</f>
        <v>31160.24243589109</v>
      </c>
      <c r="W56" s="127">
        <f>'Volume adjustments'!W66</f>
        <v>744455.58470461331</v>
      </c>
      <c r="X56" s="127">
        <f>'Volume adjustments'!X66</f>
        <v>29141.030527383642</v>
      </c>
      <c r="Y56" s="127">
        <f>'Volume adjustments'!Y66</f>
        <v>22896.214955475487</v>
      </c>
      <c r="Z56" s="127">
        <f>'Volume adjustments'!Z66</f>
        <v>395.39698261741404</v>
      </c>
      <c r="AA56" s="127">
        <f>'Volume adjustments'!AA66</f>
        <v>7682.0746191750686</v>
      </c>
      <c r="AB56" s="127">
        <f>'Volume adjustments'!AB66</f>
        <v>10625.864662770657</v>
      </c>
      <c r="AC56" s="127">
        <f>'Volume adjustments'!AC66</f>
        <v>1460.8327019999997</v>
      </c>
      <c r="AD56" s="127">
        <f>'Volume adjustments'!AD66</f>
        <v>0</v>
      </c>
      <c r="AE56" s="127">
        <f>'Volume adjustments'!AE66</f>
        <v>31099.870007600002</v>
      </c>
      <c r="AF56" s="127">
        <f>'Volume adjustments'!AF66</f>
        <v>0</v>
      </c>
      <c r="AG56" s="127">
        <f>'Volume adjustments'!AG66</f>
        <v>1530.0617253920277</v>
      </c>
      <c r="AH56" s="127">
        <f>'Volume adjustments'!AH66</f>
        <v>0</v>
      </c>
      <c r="AI56" s="127">
        <f>'Volume adjustments'!AI66</f>
        <v>3603.9466430000011</v>
      </c>
      <c r="AJ56" s="127">
        <f>'Volume adjustments'!AJ66</f>
        <v>0</v>
      </c>
      <c r="AK56" s="127">
        <f>'Volume adjustments'!AK66</f>
        <v>423.59616493048139</v>
      </c>
      <c r="AL56" s="127">
        <f>'Volume adjustments'!AL66</f>
        <v>0</v>
      </c>
      <c r="AM56" s="127">
        <f>'Volume adjustments'!AM66</f>
        <v>460937.71201500011</v>
      </c>
      <c r="AN56" s="127">
        <f>'Volume adjustments'!AN66</f>
        <v>0</v>
      </c>
      <c r="AO56" s="127">
        <f>'Volume adjustments'!AO66</f>
        <v>90502.303315318844</v>
      </c>
      <c r="AP56" s="127">
        <f>'Volume adjustments'!AP66</f>
        <v>0</v>
      </c>
      <c r="BH56" s="3"/>
    </row>
    <row r="57" spans="2:60" x14ac:dyDescent="0.25">
      <c r="E57" s="32"/>
      <c r="F57" t="s">
        <v>194</v>
      </c>
      <c r="G57" t="s">
        <v>244</v>
      </c>
      <c r="H57" s="92"/>
      <c r="I57" s="92"/>
      <c r="J57" s="123">
        <f>'Volume adjustments'!J77</f>
        <v>0</v>
      </c>
      <c r="K57" s="123">
        <f>'Volume adjustments'!K77</f>
        <v>1019036.5249223392</v>
      </c>
      <c r="L57" s="123">
        <f>'Volume adjustments'!L77</f>
        <v>0</v>
      </c>
      <c r="M57" s="123">
        <f>'Volume adjustments'!M77</f>
        <v>0</v>
      </c>
      <c r="N57" s="123">
        <f>'Volume adjustments'!N77</f>
        <v>451482.07597799349</v>
      </c>
      <c r="O57" s="123">
        <f>'Volume adjustments'!O77</f>
        <v>0</v>
      </c>
      <c r="P57" s="123">
        <f>'Volume adjustments'!P77</f>
        <v>4514.3531474235097</v>
      </c>
      <c r="Q57" s="123">
        <f>'Volume adjustments'!Q77</f>
        <v>0</v>
      </c>
      <c r="R57" s="123">
        <f>'Volume adjustments'!R77</f>
        <v>842.84934146739215</v>
      </c>
      <c r="S57" s="123">
        <f>'Volume adjustments'!S77</f>
        <v>8212.1579615585051</v>
      </c>
      <c r="T57" s="123">
        <f>'Volume adjustments'!T77</f>
        <v>78004.79777326365</v>
      </c>
      <c r="U57" s="123">
        <f>'Volume adjustments'!U77</f>
        <v>1531300.292687048</v>
      </c>
      <c r="V57" s="123">
        <f>'Volume adjustments'!V77</f>
        <v>120244.74578240186</v>
      </c>
      <c r="W57" s="123">
        <f>'Volume adjustments'!W77</f>
        <v>2837353.6691905577</v>
      </c>
      <c r="X57" s="123">
        <f>'Volume adjustments'!X77</f>
        <v>0</v>
      </c>
      <c r="Y57" s="123">
        <f>'Volume adjustments'!Y77</f>
        <v>0</v>
      </c>
      <c r="Z57" s="123">
        <f>'Volume adjustments'!Z77</f>
        <v>0</v>
      </c>
      <c r="AA57" s="123">
        <f>'Volume adjustments'!AA77</f>
        <v>0</v>
      </c>
      <c r="AB57" s="123">
        <f>'Volume adjustments'!AB77</f>
        <v>33031.440290376238</v>
      </c>
      <c r="AC57" s="123">
        <f>'Volume adjustments'!AC77</f>
        <v>0</v>
      </c>
      <c r="AD57" s="123">
        <f>'Volume adjustments'!AD77</f>
        <v>0</v>
      </c>
      <c r="AE57" s="123">
        <f>'Volume adjustments'!AE77</f>
        <v>0</v>
      </c>
      <c r="AF57" s="123">
        <f>'Volume adjustments'!AF77</f>
        <v>0</v>
      </c>
      <c r="AG57" s="123">
        <f>'Volume adjustments'!AG77</f>
        <v>6003.5671991277068</v>
      </c>
      <c r="AH57" s="123">
        <f>'Volume adjustments'!AH77</f>
        <v>0</v>
      </c>
      <c r="AI57" s="123">
        <f>'Volume adjustments'!AI77</f>
        <v>0</v>
      </c>
      <c r="AJ57" s="123">
        <f>'Volume adjustments'!AJ77</f>
        <v>0</v>
      </c>
      <c r="AK57" s="123">
        <f>'Volume adjustments'!AK77</f>
        <v>1386.3166215887916</v>
      </c>
      <c r="AL57" s="123">
        <f>'Volume adjustments'!AL77</f>
        <v>0</v>
      </c>
      <c r="AM57" s="123">
        <f>'Volume adjustments'!AM77</f>
        <v>0</v>
      </c>
      <c r="AN57" s="123">
        <f>'Volume adjustments'!AN77</f>
        <v>0</v>
      </c>
      <c r="AO57" s="123">
        <f>'Volume adjustments'!AO77</f>
        <v>234395.58417537581</v>
      </c>
      <c r="AP57" s="123">
        <f>'Volume adjustments'!AP77</f>
        <v>0</v>
      </c>
      <c r="BH57" s="3"/>
    </row>
    <row r="58" spans="2:60" x14ac:dyDescent="0.25">
      <c r="E58" s="32"/>
      <c r="F58" s="37" t="s">
        <v>195</v>
      </c>
      <c r="G58" s="37" t="s">
        <v>244</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13794.537224726715</v>
      </c>
      <c r="T58" s="128">
        <f>'Volume adjustments'!T88</f>
        <v>84563.498185875345</v>
      </c>
      <c r="U58" s="128">
        <f>'Volume adjustments'!U88</f>
        <v>1665693.0604758498</v>
      </c>
      <c r="V58" s="128">
        <f>'Volume adjustments'!V88</f>
        <v>141436.21101046051</v>
      </c>
      <c r="W58" s="128">
        <f>'Volume adjustments'!W88</f>
        <v>4088471.1518656551</v>
      </c>
      <c r="X58" s="128">
        <f>'Volume adjustments'!X88</f>
        <v>0</v>
      </c>
      <c r="Y58" s="128">
        <f>'Volume adjustments'!Y88</f>
        <v>0</v>
      </c>
      <c r="Z58" s="128">
        <f>'Volume adjustments'!Z88</f>
        <v>0</v>
      </c>
      <c r="AA58" s="128">
        <f>'Volume adjustments'!AA88</f>
        <v>0</v>
      </c>
      <c r="AB58" s="128">
        <f>'Volume adjustments'!AB88</f>
        <v>166291.0895487376</v>
      </c>
      <c r="AC58" s="128">
        <f>'Volume adjustments'!AC88</f>
        <v>0</v>
      </c>
      <c r="AD58" s="128">
        <f>'Volume adjustments'!AD88</f>
        <v>0</v>
      </c>
      <c r="AE58" s="128">
        <f>'Volume adjustments'!AE88</f>
        <v>0</v>
      </c>
      <c r="AF58" s="128">
        <f>'Volume adjustments'!AF88</f>
        <v>0</v>
      </c>
      <c r="AG58" s="128">
        <f>'Volume adjustments'!AG88</f>
        <v>8927.0882180837252</v>
      </c>
      <c r="AH58" s="128">
        <f>'Volume adjustments'!AH88</f>
        <v>0</v>
      </c>
      <c r="AI58" s="128">
        <f>'Volume adjustments'!AI88</f>
        <v>0</v>
      </c>
      <c r="AJ58" s="128">
        <f>'Volume adjustments'!AJ88</f>
        <v>0</v>
      </c>
      <c r="AK58" s="128">
        <f>'Volume adjustments'!AK88</f>
        <v>3100.3150081195781</v>
      </c>
      <c r="AL58" s="128">
        <f>'Volume adjustments'!AL88</f>
        <v>0</v>
      </c>
      <c r="AM58" s="128">
        <f>'Volume adjustments'!AM88</f>
        <v>0</v>
      </c>
      <c r="AN58" s="128">
        <f>'Volume adjustments'!AN88</f>
        <v>0</v>
      </c>
      <c r="AO58" s="128">
        <f>'Volume adjustments'!AO88</f>
        <v>405234.32478734496</v>
      </c>
      <c r="AP58" s="128">
        <f>'Volume adjustments'!AP88</f>
        <v>0</v>
      </c>
      <c r="BH58" s="3"/>
    </row>
    <row r="59" spans="2:60" x14ac:dyDescent="0.25">
      <c r="E59" s="32"/>
      <c r="F59" s="111" t="s">
        <v>616</v>
      </c>
      <c r="G59" s="111" t="s">
        <v>244</v>
      </c>
      <c r="H59" s="184"/>
      <c r="I59" s="184"/>
      <c r="J59" s="184">
        <f t="shared" ref="J59:AP59" si="0">SUM(J56:J58)</f>
        <v>5883290.5674295351</v>
      </c>
      <c r="K59" s="184">
        <f t="shared" si="0"/>
        <v>3272235.1699916422</v>
      </c>
      <c r="L59" s="184">
        <f t="shared" si="0"/>
        <v>23777.812108679751</v>
      </c>
      <c r="M59" s="184">
        <f t="shared" si="0"/>
        <v>1161806.4742133119</v>
      </c>
      <c r="N59" s="184">
        <f t="shared" si="0"/>
        <v>1953714.7385894693</v>
      </c>
      <c r="O59" s="184">
        <f t="shared" si="0"/>
        <v>2608.5296353034564</v>
      </c>
      <c r="P59" s="184">
        <f t="shared" si="0"/>
        <v>19827.344635466758</v>
      </c>
      <c r="Q59" s="184">
        <f t="shared" si="0"/>
        <v>0.43263699199999994</v>
      </c>
      <c r="R59" s="184">
        <f t="shared" si="0"/>
        <v>3391.4580085967359</v>
      </c>
      <c r="S59" s="184">
        <f t="shared" si="0"/>
        <v>24672.108351717045</v>
      </c>
      <c r="T59" s="184">
        <f t="shared" si="0"/>
        <v>182263.36404146644</v>
      </c>
      <c r="U59" s="184">
        <f t="shared" si="0"/>
        <v>3580440.0666374937</v>
      </c>
      <c r="V59" s="184">
        <f t="shared" si="0"/>
        <v>292841.19922875345</v>
      </c>
      <c r="W59" s="184">
        <f t="shared" si="0"/>
        <v>7670280.4057608265</v>
      </c>
      <c r="X59" s="184">
        <f t="shared" si="0"/>
        <v>29141.030527383642</v>
      </c>
      <c r="Y59" s="184">
        <f t="shared" si="0"/>
        <v>22896.214955475487</v>
      </c>
      <c r="Z59" s="184">
        <f t="shared" si="0"/>
        <v>395.39698261741404</v>
      </c>
      <c r="AA59" s="184">
        <f t="shared" si="0"/>
        <v>7682.0746191750686</v>
      </c>
      <c r="AB59" s="184">
        <f t="shared" si="0"/>
        <v>209948.3945018845</v>
      </c>
      <c r="AC59" s="184">
        <f t="shared" si="0"/>
        <v>1460.8327019999997</v>
      </c>
      <c r="AD59" s="184">
        <f t="shared" si="0"/>
        <v>0</v>
      </c>
      <c r="AE59" s="184">
        <f t="shared" si="0"/>
        <v>31099.870007600002</v>
      </c>
      <c r="AF59" s="184">
        <f t="shared" si="0"/>
        <v>0</v>
      </c>
      <c r="AG59" s="184">
        <f t="shared" si="0"/>
        <v>16460.717142603462</v>
      </c>
      <c r="AH59" s="184">
        <f t="shared" si="0"/>
        <v>0</v>
      </c>
      <c r="AI59" s="184">
        <f t="shared" si="0"/>
        <v>3603.9466430000011</v>
      </c>
      <c r="AJ59" s="184">
        <f t="shared" si="0"/>
        <v>0</v>
      </c>
      <c r="AK59" s="184">
        <f t="shared" si="0"/>
        <v>4910.2277946388513</v>
      </c>
      <c r="AL59" s="184">
        <f t="shared" si="0"/>
        <v>0</v>
      </c>
      <c r="AM59" s="184">
        <f t="shared" si="0"/>
        <v>460937.71201500011</v>
      </c>
      <c r="AN59" s="184">
        <f t="shared" si="0"/>
        <v>0</v>
      </c>
      <c r="AO59" s="184">
        <f t="shared" si="0"/>
        <v>730132.21227803966</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292</v>
      </c>
      <c r="F61" s="28"/>
      <c r="G61" s="28" t="s">
        <v>204</v>
      </c>
      <c r="I61" t="s">
        <v>191</v>
      </c>
      <c r="J61" s="25">
        <f>'Inputs by customer type'!J15</f>
        <v>0.41407872498730502</v>
      </c>
      <c r="K61" s="25">
        <f>'Inputs by customer type'!K15</f>
        <v>0.49248975388733579</v>
      </c>
      <c r="L61" s="25">
        <f>'Inputs by customer type'!L15</f>
        <v>0.14305577157852312</v>
      </c>
      <c r="M61" s="25">
        <f>'Inputs by customer type'!M15</f>
        <v>0.34609457148438277</v>
      </c>
      <c r="N61" s="25">
        <f>'Inputs by customer type'!N15</f>
        <v>0.49545703656924811</v>
      </c>
      <c r="O61" s="25">
        <f>'Inputs by customer type'!O15</f>
        <v>0.24100502718886166</v>
      </c>
      <c r="P61" s="25">
        <f>'Inputs by customer type'!P15</f>
        <v>0.49840423475127543</v>
      </c>
      <c r="Q61" s="25">
        <f>'Inputs by customer type'!Q15</f>
        <v>0.49840423475127543</v>
      </c>
      <c r="R61" s="25">
        <f>'Inputs by customer type'!R15</f>
        <v>0.45245269166658703</v>
      </c>
      <c r="S61" s="25">
        <f>'Inputs by customer type'!S15</f>
        <v>0.43865363928278661</v>
      </c>
      <c r="T61" s="25">
        <f>'Inputs by customer type'!T15</f>
        <v>0.43823771268620382</v>
      </c>
      <c r="U61" s="25">
        <f>'Inputs by customer type'!U15</f>
        <v>0.54894368430984619</v>
      </c>
      <c r="V61" s="25">
        <f>'Inputs by customer type'!V15</f>
        <v>0.5869018049531709</v>
      </c>
      <c r="W61" s="25">
        <f>'Inputs by customer type'!W15</f>
        <v>0.71829507571907503</v>
      </c>
      <c r="X61" s="25">
        <f>'Inputs by customer type'!X15</f>
        <v>0.99999999999989286</v>
      </c>
      <c r="Y61" s="25">
        <f>'Inputs by customer type'!Y15</f>
        <v>0.47339376284943491</v>
      </c>
      <c r="Z61" s="25">
        <f>'Inputs by customer type'!Z15</f>
        <v>0.26105460677253245</v>
      </c>
      <c r="AA61" s="25">
        <f>'Inputs by customer type'!AA15</f>
        <v>0.51369285328412573</v>
      </c>
      <c r="AB61" s="25">
        <f>'Inputs by customer type'!AB15</f>
        <v>0.44099130198956971</v>
      </c>
      <c r="AC61" s="70"/>
      <c r="AD61" s="70"/>
      <c r="AE61" s="70"/>
      <c r="AF61" s="70"/>
      <c r="AG61" s="70"/>
      <c r="AH61" s="70"/>
      <c r="AI61" s="70"/>
      <c r="AJ61" s="70"/>
      <c r="AK61" s="70"/>
      <c r="AL61" s="70"/>
      <c r="AM61" s="70"/>
      <c r="AN61" s="70"/>
      <c r="AO61" s="70"/>
      <c r="AP61" s="70"/>
      <c r="AR61" t="s">
        <v>617</v>
      </c>
      <c r="BH61" s="3"/>
    </row>
    <row r="63" spans="2:60" x14ac:dyDescent="0.25">
      <c r="B63" s="30" t="s">
        <v>618</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619</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620</v>
      </c>
      <c r="J69" s="63"/>
      <c r="K69" s="63"/>
      <c r="L69" s="63"/>
      <c r="M69" s="63"/>
      <c r="N69" s="63"/>
      <c r="O69" s="63"/>
      <c r="P69" s="63"/>
      <c r="Q69" s="63"/>
      <c r="R69" s="63"/>
      <c r="S69" s="63"/>
      <c r="BH69" s="3"/>
    </row>
    <row r="70" spans="3:60" x14ac:dyDescent="0.25">
      <c r="E70" s="32"/>
      <c r="F70" s="23" t="s">
        <v>228</v>
      </c>
      <c r="G70" s="23" t="s">
        <v>343</v>
      </c>
      <c r="H70" s="23"/>
      <c r="I70" s="23"/>
      <c r="J70" s="127">
        <f>'Pseudo-load coefficients'!J509</f>
        <v>2.1807908807880709</v>
      </c>
      <c r="K70" s="127">
        <f>'Pseudo-load coefficients'!K509</f>
        <v>2.6171163772064023</v>
      </c>
      <c r="L70" s="127">
        <f>'Pseudo-load coefficients'!L509</f>
        <v>0.56734062438250188</v>
      </c>
      <c r="M70" s="127">
        <f>'Pseudo-load coefficients'!M509</f>
        <v>1.8305981160733231</v>
      </c>
      <c r="N70" s="127">
        <f>'Pseudo-load coefficients'!N509</f>
        <v>2.1189847740834802</v>
      </c>
      <c r="O70" s="127">
        <f>'Pseudo-load coefficients'!O509</f>
        <v>0.22310860654072326</v>
      </c>
      <c r="P70" s="127">
        <f>'Pseudo-load coefficients'!P509</f>
        <v>2.0212381171457885</v>
      </c>
      <c r="Q70" s="127">
        <f>'Pseudo-load coefficients'!Q509</f>
        <v>1.5617677718572813</v>
      </c>
      <c r="R70" s="127">
        <f>'Pseudo-load coefficients'!R509</f>
        <v>2.1321313712203991</v>
      </c>
      <c r="S70" s="127">
        <f>'Pseudo-load coefficients'!S509</f>
        <v>15.12702328718407</v>
      </c>
      <c r="T70" s="127">
        <f>'Pseudo-load coefficients'!T509</f>
        <v>14.06832045999138</v>
      </c>
      <c r="U70" s="127">
        <f>'Pseudo-load coefficients'!U509</f>
        <v>11.76292315998421</v>
      </c>
      <c r="V70" s="127">
        <f>'Pseudo-load coefficients'!V509</f>
        <v>11.524916735273678</v>
      </c>
      <c r="W70" s="127">
        <f>'Pseudo-load coefficients'!W509</f>
        <v>10.357069752664287</v>
      </c>
      <c r="X70" s="127">
        <f>'Pseudo-load coefficients'!X509</f>
        <v>1.2095736174987421</v>
      </c>
      <c r="Y70" s="127">
        <f>'Pseudo-load coefficients'!Y509</f>
        <v>1.6780027160525404</v>
      </c>
      <c r="Z70" s="127">
        <f>'Pseudo-load coefficients'!Z509</f>
        <v>3.1130261035743256</v>
      </c>
      <c r="AA70" s="127">
        <f>'Pseudo-load coefficients'!AA509</f>
        <v>0.74408439611735222</v>
      </c>
      <c r="AB70" s="127">
        <f>'Pseudo-load coefficients'!AB509</f>
        <v>31.859749087532848</v>
      </c>
      <c r="AC70" s="127">
        <f>'Pseudo-load coefficients'!AC509</f>
        <v>1</v>
      </c>
      <c r="AD70" s="127">
        <f>'Pseudo-load coefficients'!AD509</f>
        <v>1</v>
      </c>
      <c r="AE70" s="127">
        <f>'Pseudo-load coefficients'!AE509</f>
        <v>1</v>
      </c>
      <c r="AF70" s="127">
        <f>'Pseudo-load coefficients'!AF509</f>
        <v>1</v>
      </c>
      <c r="AG70" s="127">
        <f>'Pseudo-load coefficients'!AG509</f>
        <v>9.9487064285446856</v>
      </c>
      <c r="AH70" s="127">
        <f>'Pseudo-load coefficients'!AH509</f>
        <v>9.9487064285446856</v>
      </c>
      <c r="AI70" s="127">
        <f>'Pseudo-load coefficients'!AI509</f>
        <v>1</v>
      </c>
      <c r="AJ70" s="127">
        <f>'Pseudo-load coefficients'!AJ509</f>
        <v>1</v>
      </c>
      <c r="AK70" s="127">
        <f>'Pseudo-load coefficients'!AK509</f>
        <v>9.9487064285446856</v>
      </c>
      <c r="AL70" s="127">
        <f>'Pseudo-load coefficients'!AL509</f>
        <v>9.9487064285446856</v>
      </c>
      <c r="AM70" s="127">
        <f>'Pseudo-load coefficients'!AM509</f>
        <v>1</v>
      </c>
      <c r="AN70" s="127">
        <f>'Pseudo-load coefficients'!AN509</f>
        <v>1</v>
      </c>
      <c r="AO70" s="127">
        <f>'Pseudo-load coefficients'!AO509</f>
        <v>9.9487064285446856</v>
      </c>
      <c r="AP70" s="127">
        <f>'Pseudo-load coefficients'!AP509</f>
        <v>9.9487064285446856</v>
      </c>
      <c r="BH70" s="3"/>
    </row>
    <row r="71" spans="3:60" x14ac:dyDescent="0.25">
      <c r="E71" s="32"/>
      <c r="F71" t="s">
        <v>229</v>
      </c>
      <c r="G71" t="s">
        <v>343</v>
      </c>
      <c r="J71" s="123">
        <f>'Pseudo-load coefficients'!J510</f>
        <v>2.1199373449906784</v>
      </c>
      <c r="K71" s="123">
        <f>'Pseudo-load coefficients'!K510</f>
        <v>2.5398556248087099</v>
      </c>
      <c r="L71" s="123">
        <f>'Pseudo-load coefficients'!L510</f>
        <v>0.62986921817159047</v>
      </c>
      <c r="M71" s="123">
        <f>'Pseudo-load coefficients'!M510</f>
        <v>1.8634983769316782</v>
      </c>
      <c r="N71" s="123">
        <f>'Pseudo-load coefficients'!N510</f>
        <v>2.1299899451884969</v>
      </c>
      <c r="O71" s="123">
        <f>'Pseudo-load coefficients'!O510</f>
        <v>0.28155421309377499</v>
      </c>
      <c r="P71" s="123">
        <f>'Pseudo-load coefficients'!P510</f>
        <v>2.025478572211715</v>
      </c>
      <c r="Q71" s="123">
        <f>'Pseudo-load coefficients'!Q510</f>
        <v>1.5658802339295605</v>
      </c>
      <c r="R71" s="123">
        <f>'Pseudo-load coefficients'!R510</f>
        <v>2.1482935142613062</v>
      </c>
      <c r="S71" s="123">
        <f>'Pseudo-load coefficients'!S510</f>
        <v>13.156969672521958</v>
      </c>
      <c r="T71" s="123">
        <f>'Pseudo-load coefficients'!T510</f>
        <v>12.234563427842506</v>
      </c>
      <c r="U71" s="123">
        <f>'Pseudo-load coefficients'!U510</f>
        <v>10.230764669237841</v>
      </c>
      <c r="V71" s="123">
        <f>'Pseudo-load coefficients'!V510</f>
        <v>10.023759345147685</v>
      </c>
      <c r="W71" s="123">
        <f>'Pseudo-load coefficients'!W510</f>
        <v>9.0080281798365434</v>
      </c>
      <c r="X71" s="123">
        <f>'Pseudo-load coefficients'!X510</f>
        <v>1.2091816158103814</v>
      </c>
      <c r="Y71" s="123">
        <f>'Pseudo-load coefficients'!Y510</f>
        <v>1.6476207301726158</v>
      </c>
      <c r="Z71" s="123">
        <f>'Pseudo-load coefficients'!Z510</f>
        <v>3.0315940766510652</v>
      </c>
      <c r="AA71" s="123">
        <f>'Pseudo-load coefficients'!AA510</f>
        <v>0.77268628544056728</v>
      </c>
      <c r="AB71" s="123">
        <f>'Pseudo-load coefficients'!AB510</f>
        <v>30.680807090232229</v>
      </c>
      <c r="AC71" s="123">
        <f>'Pseudo-load coefficients'!AC510</f>
        <v>1</v>
      </c>
      <c r="AD71" s="123">
        <f>'Pseudo-load coefficients'!AD510</f>
        <v>1</v>
      </c>
      <c r="AE71" s="123">
        <f>'Pseudo-load coefficients'!AE510</f>
        <v>1</v>
      </c>
      <c r="AF71" s="123">
        <f>'Pseudo-load coefficients'!AF510</f>
        <v>1</v>
      </c>
      <c r="AG71" s="123">
        <f>'Pseudo-load coefficients'!AG510</f>
        <v>8.6528554891887079</v>
      </c>
      <c r="AH71" s="123">
        <f>'Pseudo-load coefficients'!AH510</f>
        <v>8.6528554891887079</v>
      </c>
      <c r="AI71" s="123">
        <f>'Pseudo-load coefficients'!AI510</f>
        <v>1</v>
      </c>
      <c r="AJ71" s="123">
        <f>'Pseudo-load coefficients'!AJ510</f>
        <v>1</v>
      </c>
      <c r="AK71" s="123">
        <f>'Pseudo-load coefficients'!AK510</f>
        <v>8.6528554891887079</v>
      </c>
      <c r="AL71" s="123">
        <f>'Pseudo-load coefficients'!AL510</f>
        <v>8.6528554891887079</v>
      </c>
      <c r="AM71" s="123">
        <f>'Pseudo-load coefficients'!AM510</f>
        <v>1</v>
      </c>
      <c r="AN71" s="123">
        <f>'Pseudo-load coefficients'!AN510</f>
        <v>1</v>
      </c>
      <c r="AO71" s="123">
        <f>'Pseudo-load coefficients'!AO510</f>
        <v>8.6528554891887079</v>
      </c>
      <c r="AP71" s="123">
        <f>'Pseudo-load coefficients'!AP510</f>
        <v>8.6528554891887079</v>
      </c>
      <c r="BH71" s="3"/>
    </row>
    <row r="72" spans="3:60" x14ac:dyDescent="0.25">
      <c r="E72" s="32"/>
      <c r="F72" t="s">
        <v>230</v>
      </c>
      <c r="G72" t="s">
        <v>343</v>
      </c>
      <c r="J72" s="123">
        <f>'Pseudo-load coefficients'!J511</f>
        <v>2.1199373449906784</v>
      </c>
      <c r="K72" s="123">
        <f>'Pseudo-load coefficients'!K511</f>
        <v>2.5398556248087099</v>
      </c>
      <c r="L72" s="123">
        <f>'Pseudo-load coefficients'!L511</f>
        <v>0.62986921817159047</v>
      </c>
      <c r="M72" s="123">
        <f>'Pseudo-load coefficients'!M511</f>
        <v>1.8634983769316782</v>
      </c>
      <c r="N72" s="123">
        <f>'Pseudo-load coefficients'!N511</f>
        <v>2.1299899451884969</v>
      </c>
      <c r="O72" s="123">
        <f>'Pseudo-load coefficients'!O511</f>
        <v>0.28155421309377499</v>
      </c>
      <c r="P72" s="123">
        <f>'Pseudo-load coefficients'!P511</f>
        <v>2.025478572211715</v>
      </c>
      <c r="Q72" s="123">
        <f>'Pseudo-load coefficients'!Q511</f>
        <v>1.5658802339295605</v>
      </c>
      <c r="R72" s="123">
        <f>'Pseudo-load coefficients'!R511</f>
        <v>2.1482935142613062</v>
      </c>
      <c r="S72" s="123">
        <f>'Pseudo-load coefficients'!S511</f>
        <v>13.156969672521958</v>
      </c>
      <c r="T72" s="123">
        <f>'Pseudo-load coefficients'!T511</f>
        <v>12.234563427842506</v>
      </c>
      <c r="U72" s="123">
        <f>'Pseudo-load coefficients'!U511</f>
        <v>10.230764669237841</v>
      </c>
      <c r="V72" s="123">
        <f>'Pseudo-load coefficients'!V511</f>
        <v>10.023759345147685</v>
      </c>
      <c r="W72" s="123">
        <f>'Pseudo-load coefficients'!W511</f>
        <v>9.0080281798365434</v>
      </c>
      <c r="X72" s="123">
        <f>'Pseudo-load coefficients'!X511</f>
        <v>1.2091816158103814</v>
      </c>
      <c r="Y72" s="123">
        <f>'Pseudo-load coefficients'!Y511</f>
        <v>1.6476207301726158</v>
      </c>
      <c r="Z72" s="123">
        <f>'Pseudo-load coefficients'!Z511</f>
        <v>3.0315940766510652</v>
      </c>
      <c r="AA72" s="123">
        <f>'Pseudo-load coefficients'!AA511</f>
        <v>0.77268628544056728</v>
      </c>
      <c r="AB72" s="123">
        <f>'Pseudo-load coefficients'!AB511</f>
        <v>30.680807090232229</v>
      </c>
      <c r="AC72" s="123">
        <f>'Pseudo-load coefficients'!AC511</f>
        <v>1</v>
      </c>
      <c r="AD72" s="123">
        <f>'Pseudo-load coefficients'!AD511</f>
        <v>1</v>
      </c>
      <c r="AE72" s="123">
        <f>'Pseudo-load coefficients'!AE511</f>
        <v>1</v>
      </c>
      <c r="AF72" s="123">
        <f>'Pseudo-load coefficients'!AF511</f>
        <v>1</v>
      </c>
      <c r="AG72" s="123">
        <f>'Pseudo-load coefficients'!AG511</f>
        <v>8.6528554891887079</v>
      </c>
      <c r="AH72" s="123">
        <f>'Pseudo-load coefficients'!AH511</f>
        <v>8.6528554891887079</v>
      </c>
      <c r="AI72" s="123">
        <f>'Pseudo-load coefficients'!AI511</f>
        <v>1</v>
      </c>
      <c r="AJ72" s="123">
        <f>'Pseudo-load coefficients'!AJ511</f>
        <v>1</v>
      </c>
      <c r="AK72" s="123">
        <f>'Pseudo-load coefficients'!AK511</f>
        <v>8.6528554891887079</v>
      </c>
      <c r="AL72" s="123">
        <f>'Pseudo-load coefficients'!AL511</f>
        <v>8.6528554891887079</v>
      </c>
      <c r="AM72" s="123">
        <f>'Pseudo-load coefficients'!AM511</f>
        <v>1</v>
      </c>
      <c r="AN72" s="123">
        <f>'Pseudo-load coefficients'!AN511</f>
        <v>1</v>
      </c>
      <c r="AO72" s="123">
        <f>'Pseudo-load coefficients'!AO511</f>
        <v>8.6528554891887079</v>
      </c>
      <c r="AP72" s="123">
        <f>'Pseudo-load coefficients'!AP511</f>
        <v>8.6528554891887079</v>
      </c>
      <c r="BH72" s="3"/>
    </row>
    <row r="73" spans="3:60" x14ac:dyDescent="0.25">
      <c r="E73" s="32"/>
      <c r="F73" t="s">
        <v>231</v>
      </c>
      <c r="G73" t="s">
        <v>343</v>
      </c>
      <c r="J73" s="123">
        <f>'Pseudo-load coefficients'!J512</f>
        <v>2.0491339325646636</v>
      </c>
      <c r="K73" s="123">
        <f>'Pseudo-load coefficients'!K512</f>
        <v>2.446604752565642</v>
      </c>
      <c r="L73" s="123">
        <f>'Pseudo-load coefficients'!L512</f>
        <v>0.69657248934358806</v>
      </c>
      <c r="M73" s="123">
        <f>'Pseudo-load coefficients'!M512</f>
        <v>1.883334100485887</v>
      </c>
      <c r="N73" s="123">
        <f>'Pseudo-load coefficients'!N512</f>
        <v>2.1253232903477883</v>
      </c>
      <c r="O73" s="123">
        <f>'Pseudo-load coefficients'!O512</f>
        <v>0.35205062707632079</v>
      </c>
      <c r="P73" s="123">
        <f>'Pseudo-load coefficients'!P512</f>
        <v>2.0138469291147127</v>
      </c>
      <c r="Q73" s="123">
        <f>'Pseudo-load coefficients'!Q512</f>
        <v>1.5578439321096642</v>
      </c>
      <c r="R73" s="123">
        <f>'Pseudo-load coefficients'!R512</f>
        <v>2.1470067563918569</v>
      </c>
      <c r="S73" s="123">
        <f>'Pseudo-load coefficients'!S512</f>
        <v>11.05672165212744</v>
      </c>
      <c r="T73" s="123">
        <f>'Pseudo-load coefficients'!T512</f>
        <v>10.280199456238735</v>
      </c>
      <c r="U73" s="123">
        <f>'Pseudo-load coefficients'!U512</f>
        <v>8.5969775694748787</v>
      </c>
      <c r="V73" s="123">
        <f>'Pseudo-load coefficients'!V512</f>
        <v>8.4230296598610472</v>
      </c>
      <c r="W73" s="123">
        <f>'Pseudo-load coefficients'!W512</f>
        <v>7.569504207257026</v>
      </c>
      <c r="X73" s="123">
        <f>'Pseudo-load coefficients'!X512</f>
        <v>1.2075246920838687</v>
      </c>
      <c r="Y73" s="123">
        <f>'Pseudo-load coefficients'!Y512</f>
        <v>1.4806590276438236</v>
      </c>
      <c r="Z73" s="123">
        <f>'Pseudo-load coefficients'!Z512</f>
        <v>2.6767872117120697</v>
      </c>
      <c r="AA73" s="123">
        <f>'Pseudo-load coefficients'!AA512</f>
        <v>0.92899252566537083</v>
      </c>
      <c r="AB73" s="123">
        <f>'Pseudo-load coefficients'!AB512</f>
        <v>25.978852580500728</v>
      </c>
      <c r="AC73" s="123">
        <f>'Pseudo-load coefficients'!AC512</f>
        <v>0.99999999999999989</v>
      </c>
      <c r="AD73" s="123">
        <f>'Pseudo-load coefficients'!AD512</f>
        <v>0.99999999999999989</v>
      </c>
      <c r="AE73" s="123">
        <f>'Pseudo-load coefficients'!AE512</f>
        <v>0.99999999999999989</v>
      </c>
      <c r="AF73" s="123">
        <f>'Pseudo-load coefficients'!AF512</f>
        <v>0.99999999999999989</v>
      </c>
      <c r="AG73" s="123">
        <f>'Pseudo-load coefficients'!AG512</f>
        <v>7.2710503034182867</v>
      </c>
      <c r="AH73" s="123">
        <f>'Pseudo-load coefficients'!AH512</f>
        <v>7.2710503034182867</v>
      </c>
      <c r="AI73" s="123">
        <f>'Pseudo-load coefficients'!AI512</f>
        <v>0.99999999999999989</v>
      </c>
      <c r="AJ73" s="123">
        <f>'Pseudo-load coefficients'!AJ512</f>
        <v>0.99999999999999989</v>
      </c>
      <c r="AK73" s="123">
        <f>'Pseudo-load coefficients'!AK512</f>
        <v>7.2710503034182867</v>
      </c>
      <c r="AL73" s="123">
        <f>'Pseudo-load coefficients'!AL512</f>
        <v>7.2710503034182867</v>
      </c>
      <c r="AM73" s="123">
        <f>'Pseudo-load coefficients'!AM512</f>
        <v>0.99999999999999989</v>
      </c>
      <c r="AN73" s="123">
        <f>'Pseudo-load coefficients'!AN512</f>
        <v>0.99999999999999989</v>
      </c>
      <c r="AO73" s="123">
        <f>'Pseudo-load coefficients'!AO512</f>
        <v>7.2710503034182867</v>
      </c>
      <c r="AP73" s="123">
        <f>'Pseudo-load coefficients'!AP512</f>
        <v>7.2710503034182867</v>
      </c>
      <c r="BH73" s="3"/>
    </row>
    <row r="74" spans="3:60" x14ac:dyDescent="0.25">
      <c r="E74" s="32"/>
      <c r="F74" t="s">
        <v>232</v>
      </c>
      <c r="G74" t="s">
        <v>343</v>
      </c>
      <c r="J74" s="123">
        <f>'Pseudo-load coefficients'!J513</f>
        <v>2.0491339325646636</v>
      </c>
      <c r="K74" s="123">
        <f>'Pseudo-load coefficients'!K513</f>
        <v>2.446604752565642</v>
      </c>
      <c r="L74" s="123">
        <f>'Pseudo-load coefficients'!L513</f>
        <v>0.69657248934358806</v>
      </c>
      <c r="M74" s="123">
        <f>'Pseudo-load coefficients'!M513</f>
        <v>1.883334100485887</v>
      </c>
      <c r="N74" s="123">
        <f>'Pseudo-load coefficients'!N513</f>
        <v>2.1253232903477883</v>
      </c>
      <c r="O74" s="123">
        <f>'Pseudo-load coefficients'!O513</f>
        <v>0.35205062707632079</v>
      </c>
      <c r="P74" s="123">
        <f>'Pseudo-load coefficients'!P513</f>
        <v>2.0138469291147127</v>
      </c>
      <c r="Q74" s="123">
        <f>'Pseudo-load coefficients'!Q513</f>
        <v>1.5578439321096642</v>
      </c>
      <c r="R74" s="123">
        <f>'Pseudo-load coefficients'!R513</f>
        <v>2.1470067563918569</v>
      </c>
      <c r="S74" s="123">
        <f>'Pseudo-load coefficients'!S513</f>
        <v>11.05672165212744</v>
      </c>
      <c r="T74" s="123">
        <f>'Pseudo-load coefficients'!T513</f>
        <v>10.280199456238735</v>
      </c>
      <c r="U74" s="123">
        <f>'Pseudo-load coefficients'!U513</f>
        <v>8.5969775694748787</v>
      </c>
      <c r="V74" s="123">
        <f>'Pseudo-load coefficients'!V513</f>
        <v>8.4230296598610472</v>
      </c>
      <c r="W74" s="123">
        <f>'Pseudo-load coefficients'!W513</f>
        <v>7.569504207257026</v>
      </c>
      <c r="X74" s="123">
        <f>'Pseudo-load coefficients'!X513</f>
        <v>1.2075246920838687</v>
      </c>
      <c r="Y74" s="123">
        <f>'Pseudo-load coefficients'!Y513</f>
        <v>1.4806590276438236</v>
      </c>
      <c r="Z74" s="123">
        <f>'Pseudo-load coefficients'!Z513</f>
        <v>2.6767872117120697</v>
      </c>
      <c r="AA74" s="123">
        <f>'Pseudo-load coefficients'!AA513</f>
        <v>0.92899252566537083</v>
      </c>
      <c r="AB74" s="123">
        <f>'Pseudo-load coefficients'!AB513</f>
        <v>25.978852580500728</v>
      </c>
      <c r="AC74" s="123">
        <f>'Pseudo-load coefficients'!AC513</f>
        <v>0.99999999999999989</v>
      </c>
      <c r="AD74" s="123">
        <f>'Pseudo-load coefficients'!AD513</f>
        <v>0.99999999999999989</v>
      </c>
      <c r="AE74" s="123">
        <f>'Pseudo-load coefficients'!AE513</f>
        <v>0.99999999999999989</v>
      </c>
      <c r="AF74" s="123">
        <f>'Pseudo-load coefficients'!AF513</f>
        <v>0.99999999999999989</v>
      </c>
      <c r="AG74" s="123">
        <f>'Pseudo-load coefficients'!AG513</f>
        <v>7.2710503034182867</v>
      </c>
      <c r="AH74" s="123">
        <f>'Pseudo-load coefficients'!AH513</f>
        <v>7.2710503034182867</v>
      </c>
      <c r="AI74" s="123">
        <f>'Pseudo-load coefficients'!AI513</f>
        <v>0.99999999999999989</v>
      </c>
      <c r="AJ74" s="123">
        <f>'Pseudo-load coefficients'!AJ513</f>
        <v>0.99999999999999989</v>
      </c>
      <c r="AK74" s="123">
        <f>'Pseudo-load coefficients'!AK513</f>
        <v>7.2710503034182867</v>
      </c>
      <c r="AL74" s="123">
        <f>'Pseudo-load coefficients'!AL513</f>
        <v>7.2710503034182867</v>
      </c>
      <c r="AM74" s="123">
        <f>'Pseudo-load coefficients'!AM513</f>
        <v>0.99999999999999989</v>
      </c>
      <c r="AN74" s="123">
        <f>'Pseudo-load coefficients'!AN513</f>
        <v>0.99999999999999989</v>
      </c>
      <c r="AO74" s="123">
        <f>'Pseudo-load coefficients'!AO513</f>
        <v>7.2710503034182867</v>
      </c>
      <c r="AP74" s="123">
        <f>'Pseudo-load coefficients'!AP513</f>
        <v>7.2710503034182867</v>
      </c>
      <c r="BH74" s="3"/>
    </row>
    <row r="75" spans="3:60" x14ac:dyDescent="0.25">
      <c r="E75" s="32"/>
      <c r="F75" t="s">
        <v>233</v>
      </c>
      <c r="G75" t="s">
        <v>343</v>
      </c>
      <c r="J75" s="123">
        <f>'Pseudo-load coefficients'!J514</f>
        <v>2.1199373449906784</v>
      </c>
      <c r="K75" s="123">
        <f>'Pseudo-load coefficients'!K514</f>
        <v>2.5398556248087099</v>
      </c>
      <c r="L75" s="123">
        <f>'Pseudo-load coefficients'!L514</f>
        <v>0.62986921817159047</v>
      </c>
      <c r="M75" s="123">
        <f>'Pseudo-load coefficients'!M514</f>
        <v>1.8634983769316782</v>
      </c>
      <c r="N75" s="123">
        <f>'Pseudo-load coefficients'!N514</f>
        <v>2.1299899451884969</v>
      </c>
      <c r="O75" s="123">
        <f>'Pseudo-load coefficients'!O514</f>
        <v>0.28155421309377499</v>
      </c>
      <c r="P75" s="123">
        <f>'Pseudo-load coefficients'!P514</f>
        <v>2.025478572211715</v>
      </c>
      <c r="Q75" s="123">
        <f>'Pseudo-load coefficients'!Q514</f>
        <v>1.5658802339295605</v>
      </c>
      <c r="R75" s="123">
        <f>'Pseudo-load coefficients'!R514</f>
        <v>2.1482935142613062</v>
      </c>
      <c r="S75" s="123">
        <f>'Pseudo-load coefficients'!S514</f>
        <v>13.156969672521958</v>
      </c>
      <c r="T75" s="123">
        <f>'Pseudo-load coefficients'!T514</f>
        <v>12.234563427842506</v>
      </c>
      <c r="U75" s="123">
        <f>'Pseudo-load coefficients'!U514</f>
        <v>10.230764669237841</v>
      </c>
      <c r="V75" s="123">
        <f>'Pseudo-load coefficients'!V514</f>
        <v>10.023759345147685</v>
      </c>
      <c r="W75" s="123">
        <f>'Pseudo-load coefficients'!W514</f>
        <v>9.0080281798365434</v>
      </c>
      <c r="X75" s="123">
        <f>'Pseudo-load coefficients'!X514</f>
        <v>1.2091816158103814</v>
      </c>
      <c r="Y75" s="123">
        <f>'Pseudo-load coefficients'!Y514</f>
        <v>1.6476207301726158</v>
      </c>
      <c r="Z75" s="123">
        <f>'Pseudo-load coefficients'!Z514</f>
        <v>3.0315940766510652</v>
      </c>
      <c r="AA75" s="123">
        <f>'Pseudo-load coefficients'!AA514</f>
        <v>0.77268628544056728</v>
      </c>
      <c r="AB75" s="123">
        <f>'Pseudo-load coefficients'!AB514</f>
        <v>30.680807090232229</v>
      </c>
      <c r="AC75" s="123">
        <f>'Pseudo-load coefficients'!AC514</f>
        <v>1</v>
      </c>
      <c r="AD75" s="123">
        <f>'Pseudo-load coefficients'!AD514</f>
        <v>1</v>
      </c>
      <c r="AE75" s="123">
        <f>'Pseudo-load coefficients'!AE514</f>
        <v>1</v>
      </c>
      <c r="AF75" s="123">
        <f>'Pseudo-load coefficients'!AF514</f>
        <v>1</v>
      </c>
      <c r="AG75" s="123">
        <f>'Pseudo-load coefficients'!AG514</f>
        <v>8.6528554891887079</v>
      </c>
      <c r="AH75" s="123">
        <f>'Pseudo-load coefficients'!AH514</f>
        <v>8.6528554891887079</v>
      </c>
      <c r="AI75" s="123">
        <f>'Pseudo-load coefficients'!AI514</f>
        <v>1</v>
      </c>
      <c r="AJ75" s="123">
        <f>'Pseudo-load coefficients'!AJ514</f>
        <v>1</v>
      </c>
      <c r="AK75" s="123">
        <f>'Pseudo-load coefficients'!AK514</f>
        <v>8.6528554891887079</v>
      </c>
      <c r="AL75" s="123">
        <f>'Pseudo-load coefficients'!AL514</f>
        <v>8.6528554891887079</v>
      </c>
      <c r="AM75" s="123">
        <f>'Pseudo-load coefficients'!AM514</f>
        <v>1</v>
      </c>
      <c r="AN75" s="123">
        <f>'Pseudo-load coefficients'!AN514</f>
        <v>1</v>
      </c>
      <c r="AO75" s="123">
        <f>'Pseudo-load coefficients'!AO514</f>
        <v>8.6528554891887079</v>
      </c>
      <c r="AP75" s="123">
        <f>'Pseudo-load coefficients'!AP514</f>
        <v>8.6528554891887079</v>
      </c>
      <c r="BH75" s="3"/>
    </row>
    <row r="76" spans="3:60" x14ac:dyDescent="0.25">
      <c r="E76" s="32"/>
      <c r="F76" t="s">
        <v>234</v>
      </c>
      <c r="G76" t="s">
        <v>343</v>
      </c>
      <c r="J76" s="123">
        <f>'Pseudo-load coefficients'!J515</f>
        <v>2.0491339325646636</v>
      </c>
      <c r="K76" s="123">
        <f>'Pseudo-load coefficients'!K515</f>
        <v>2.446604752565642</v>
      </c>
      <c r="L76" s="123">
        <f>'Pseudo-load coefficients'!L515</f>
        <v>0.69657248934358806</v>
      </c>
      <c r="M76" s="123">
        <f>'Pseudo-load coefficients'!M515</f>
        <v>1.883334100485887</v>
      </c>
      <c r="N76" s="123">
        <f>'Pseudo-load coefficients'!N515</f>
        <v>2.1253232903477883</v>
      </c>
      <c r="O76" s="123">
        <f>'Pseudo-load coefficients'!O515</f>
        <v>0.35205062707632079</v>
      </c>
      <c r="P76" s="123">
        <f>'Pseudo-load coefficients'!P515</f>
        <v>2.0138469291147127</v>
      </c>
      <c r="Q76" s="123">
        <f>'Pseudo-load coefficients'!Q515</f>
        <v>1.5578439321096642</v>
      </c>
      <c r="R76" s="123">
        <f>'Pseudo-load coefficients'!R515</f>
        <v>2.1470067563918569</v>
      </c>
      <c r="S76" s="123">
        <f>'Pseudo-load coefficients'!S515</f>
        <v>11.05672165212744</v>
      </c>
      <c r="T76" s="123">
        <f>'Pseudo-load coefficients'!T515</f>
        <v>10.280199456238735</v>
      </c>
      <c r="U76" s="123">
        <f>'Pseudo-load coefficients'!U515</f>
        <v>8.5969775694748787</v>
      </c>
      <c r="V76" s="123">
        <f>'Pseudo-load coefficients'!V515</f>
        <v>8.4230296598610472</v>
      </c>
      <c r="W76" s="123">
        <f>'Pseudo-load coefficients'!W515</f>
        <v>7.569504207257026</v>
      </c>
      <c r="X76" s="123">
        <f>'Pseudo-load coefficients'!X515</f>
        <v>1.2075246920838687</v>
      </c>
      <c r="Y76" s="123">
        <f>'Pseudo-load coefficients'!Y515</f>
        <v>1.4806590276438236</v>
      </c>
      <c r="Z76" s="123">
        <f>'Pseudo-load coefficients'!Z515</f>
        <v>2.6767872117120697</v>
      </c>
      <c r="AA76" s="123">
        <f>'Pseudo-load coefficients'!AA515</f>
        <v>0.92899252566537083</v>
      </c>
      <c r="AB76" s="123">
        <f>'Pseudo-load coefficients'!AB515</f>
        <v>25.978852580500728</v>
      </c>
      <c r="AC76" s="123">
        <f>'Pseudo-load coefficients'!AC515</f>
        <v>0.99999999999999989</v>
      </c>
      <c r="AD76" s="123">
        <f>'Pseudo-load coefficients'!AD515</f>
        <v>0.99999999999999989</v>
      </c>
      <c r="AE76" s="123">
        <f>'Pseudo-load coefficients'!AE515</f>
        <v>0.99999999999999989</v>
      </c>
      <c r="AF76" s="123">
        <f>'Pseudo-load coefficients'!AF515</f>
        <v>0.99999999999999989</v>
      </c>
      <c r="AG76" s="123">
        <f>'Pseudo-load coefficients'!AG515</f>
        <v>7.2710503034182867</v>
      </c>
      <c r="AH76" s="123">
        <f>'Pseudo-load coefficients'!AH515</f>
        <v>7.2710503034182867</v>
      </c>
      <c r="AI76" s="123">
        <f>'Pseudo-load coefficients'!AI515</f>
        <v>0.99999999999999989</v>
      </c>
      <c r="AJ76" s="123">
        <f>'Pseudo-load coefficients'!AJ515</f>
        <v>0.99999999999999989</v>
      </c>
      <c r="AK76" s="123">
        <f>'Pseudo-load coefficients'!AK515</f>
        <v>7.2710503034182867</v>
      </c>
      <c r="AL76" s="123">
        <f>'Pseudo-load coefficients'!AL515</f>
        <v>7.2710503034182867</v>
      </c>
      <c r="AM76" s="123">
        <f>'Pseudo-load coefficients'!AM515</f>
        <v>0.99999999999999989</v>
      </c>
      <c r="AN76" s="123">
        <f>'Pseudo-load coefficients'!AN515</f>
        <v>0.99999999999999989</v>
      </c>
      <c r="AO76" s="123">
        <f>'Pseudo-load coefficients'!AO515</f>
        <v>7.2710503034182867</v>
      </c>
      <c r="AP76" s="123">
        <f>'Pseudo-load coefficients'!AP515</f>
        <v>7.2710503034182867</v>
      </c>
      <c r="BH76" s="3"/>
    </row>
    <row r="77" spans="3:60" x14ac:dyDescent="0.25">
      <c r="E77" s="32"/>
      <c r="F77" t="s">
        <v>235</v>
      </c>
      <c r="G77" t="s">
        <v>343</v>
      </c>
      <c r="J77" s="123">
        <f>'Pseudo-load coefficients'!J516</f>
        <v>2.0491339325646636</v>
      </c>
      <c r="K77" s="123">
        <f>'Pseudo-load coefficients'!K516</f>
        <v>2.446604752565642</v>
      </c>
      <c r="L77" s="123">
        <f>'Pseudo-load coefficients'!L516</f>
        <v>0.69657248934358806</v>
      </c>
      <c r="M77" s="123">
        <f>'Pseudo-load coefficients'!M516</f>
        <v>1.883334100485887</v>
      </c>
      <c r="N77" s="123">
        <f>'Pseudo-load coefficients'!N516</f>
        <v>2.1253232903477883</v>
      </c>
      <c r="O77" s="123">
        <f>'Pseudo-load coefficients'!O516</f>
        <v>0.35205062707632079</v>
      </c>
      <c r="P77" s="123">
        <f>'Pseudo-load coefficients'!P516</f>
        <v>2.0138469291147127</v>
      </c>
      <c r="Q77" s="123">
        <f>'Pseudo-load coefficients'!Q516</f>
        <v>1.5578439321096642</v>
      </c>
      <c r="R77" s="123">
        <f>'Pseudo-load coefficients'!R516</f>
        <v>2.1470067563918569</v>
      </c>
      <c r="S77" s="123">
        <f>'Pseudo-load coefficients'!S516</f>
        <v>11.05672165212744</v>
      </c>
      <c r="T77" s="123">
        <f>'Pseudo-load coefficients'!T516</f>
        <v>10.280199456238735</v>
      </c>
      <c r="U77" s="123">
        <f>'Pseudo-load coefficients'!U516</f>
        <v>8.5969775694748787</v>
      </c>
      <c r="V77" s="123">
        <f>'Pseudo-load coefficients'!V516</f>
        <v>8.4230296598610472</v>
      </c>
      <c r="W77" s="123">
        <f>'Pseudo-load coefficients'!W516</f>
        <v>7.569504207257026</v>
      </c>
      <c r="X77" s="123">
        <f>'Pseudo-load coefficients'!X516</f>
        <v>1.2075246920838687</v>
      </c>
      <c r="Y77" s="123">
        <f>'Pseudo-load coefficients'!Y516</f>
        <v>1.4806590276438236</v>
      </c>
      <c r="Z77" s="123">
        <f>'Pseudo-load coefficients'!Z516</f>
        <v>2.6767872117120697</v>
      </c>
      <c r="AA77" s="123">
        <f>'Pseudo-load coefficients'!AA516</f>
        <v>0.92899252566537083</v>
      </c>
      <c r="AB77" s="123">
        <f>'Pseudo-load coefficients'!AB516</f>
        <v>25.978852580500728</v>
      </c>
      <c r="AC77" s="123">
        <f>'Pseudo-load coefficients'!AC516</f>
        <v>0.99999999999999989</v>
      </c>
      <c r="AD77" s="123">
        <f>'Pseudo-load coefficients'!AD516</f>
        <v>0.99999999999999989</v>
      </c>
      <c r="AE77" s="123">
        <f>'Pseudo-load coefficients'!AE516</f>
        <v>0.99999999999999989</v>
      </c>
      <c r="AF77" s="123">
        <f>'Pseudo-load coefficients'!AF516</f>
        <v>0.99999999999999989</v>
      </c>
      <c r="AG77" s="123">
        <f>'Pseudo-load coefficients'!AG516</f>
        <v>7.2710503034182867</v>
      </c>
      <c r="AH77" s="123">
        <f>'Pseudo-load coefficients'!AH516</f>
        <v>7.2710503034182867</v>
      </c>
      <c r="AI77" s="123">
        <f>'Pseudo-load coefficients'!AI516</f>
        <v>0.99999999999999989</v>
      </c>
      <c r="AJ77" s="123">
        <f>'Pseudo-load coefficients'!AJ516</f>
        <v>0.99999999999999989</v>
      </c>
      <c r="AK77" s="123">
        <f>'Pseudo-load coefficients'!AK516</f>
        <v>7.2710503034182867</v>
      </c>
      <c r="AL77" s="123">
        <f>'Pseudo-load coefficients'!AL516</f>
        <v>7.2710503034182867</v>
      </c>
      <c r="AM77" s="123">
        <f>'Pseudo-load coefficients'!AM516</f>
        <v>0.99999999999999989</v>
      </c>
      <c r="AN77" s="123">
        <f>'Pseudo-load coefficients'!AN516</f>
        <v>0.99999999999999989</v>
      </c>
      <c r="AO77" s="123">
        <f>'Pseudo-load coefficients'!AO516</f>
        <v>7.2710503034182867</v>
      </c>
      <c r="AP77" s="123">
        <f>'Pseudo-load coefficients'!AP516</f>
        <v>7.2710503034182867</v>
      </c>
      <c r="BH77" s="3"/>
    </row>
    <row r="78" spans="3:60" x14ac:dyDescent="0.25">
      <c r="E78" s="32"/>
      <c r="F78" s="37" t="s">
        <v>236</v>
      </c>
      <c r="G78" s="37" t="s">
        <v>343</v>
      </c>
      <c r="H78" s="37"/>
      <c r="I78" s="37"/>
      <c r="J78" s="128">
        <f>'Pseudo-load coefficients'!J517</f>
        <v>2.0491339325646636</v>
      </c>
      <c r="K78" s="128">
        <f>'Pseudo-load coefficients'!K517</f>
        <v>2.446604752565642</v>
      </c>
      <c r="L78" s="128">
        <f>'Pseudo-load coefficients'!L517</f>
        <v>0.69657248934358806</v>
      </c>
      <c r="M78" s="128">
        <f>'Pseudo-load coefficients'!M517</f>
        <v>1.883334100485887</v>
      </c>
      <c r="N78" s="128">
        <f>'Pseudo-load coefficients'!N517</f>
        <v>2.1253232903477883</v>
      </c>
      <c r="O78" s="128">
        <f>'Pseudo-load coefficients'!O517</f>
        <v>0.35205062707632079</v>
      </c>
      <c r="P78" s="128">
        <f>'Pseudo-load coefficients'!P517</f>
        <v>2.0138469291147127</v>
      </c>
      <c r="Q78" s="128">
        <f>'Pseudo-load coefficients'!Q517</f>
        <v>1.5578439321096642</v>
      </c>
      <c r="R78" s="128">
        <f>'Pseudo-load coefficients'!R517</f>
        <v>2.1470067563918569</v>
      </c>
      <c r="S78" s="128">
        <f>'Pseudo-load coefficients'!S517</f>
        <v>11.05672165212744</v>
      </c>
      <c r="T78" s="128">
        <f>'Pseudo-load coefficients'!T517</f>
        <v>10.280199456238735</v>
      </c>
      <c r="U78" s="128">
        <f>'Pseudo-load coefficients'!U517</f>
        <v>8.5969775694748787</v>
      </c>
      <c r="V78" s="128">
        <f>'Pseudo-load coefficients'!V517</f>
        <v>8.4230296598610472</v>
      </c>
      <c r="W78" s="128">
        <f>'Pseudo-load coefficients'!W517</f>
        <v>7.569504207257026</v>
      </c>
      <c r="X78" s="128">
        <f>'Pseudo-load coefficients'!X517</f>
        <v>1.2075246920838687</v>
      </c>
      <c r="Y78" s="128">
        <f>'Pseudo-load coefficients'!Y517</f>
        <v>1.4806590276438236</v>
      </c>
      <c r="Z78" s="128">
        <f>'Pseudo-load coefficients'!Z517</f>
        <v>2.6767872117120697</v>
      </c>
      <c r="AA78" s="128">
        <f>'Pseudo-load coefficients'!AA517</f>
        <v>0.92899252566537083</v>
      </c>
      <c r="AB78" s="128">
        <f>'Pseudo-load coefficients'!AB517</f>
        <v>25.978852580500728</v>
      </c>
      <c r="AC78" s="128">
        <f>'Pseudo-load coefficients'!AC517</f>
        <v>0.99999999999999989</v>
      </c>
      <c r="AD78" s="128">
        <f>'Pseudo-load coefficients'!AD517</f>
        <v>0.99999999999999989</v>
      </c>
      <c r="AE78" s="128">
        <f>'Pseudo-load coefficients'!AE517</f>
        <v>0.99999999999999989</v>
      </c>
      <c r="AF78" s="128">
        <f>'Pseudo-load coefficients'!AF517</f>
        <v>0.99999999999999989</v>
      </c>
      <c r="AG78" s="128">
        <f>'Pseudo-load coefficients'!AG517</f>
        <v>7.2710503034182867</v>
      </c>
      <c r="AH78" s="128">
        <f>'Pseudo-load coefficients'!AH517</f>
        <v>7.2710503034182867</v>
      </c>
      <c r="AI78" s="128">
        <f>'Pseudo-load coefficients'!AI517</f>
        <v>0.99999999999999989</v>
      </c>
      <c r="AJ78" s="128">
        <f>'Pseudo-load coefficients'!AJ517</f>
        <v>0.99999999999999989</v>
      </c>
      <c r="AK78" s="128">
        <f>'Pseudo-load coefficients'!AK517</f>
        <v>7.2710503034182867</v>
      </c>
      <c r="AL78" s="128">
        <f>'Pseudo-load coefficients'!AL517</f>
        <v>7.2710503034182867</v>
      </c>
      <c r="AM78" s="128">
        <f>'Pseudo-load coefficients'!AM517</f>
        <v>0.99999999999999989</v>
      </c>
      <c r="AN78" s="128">
        <f>'Pseudo-load coefficients'!AN517</f>
        <v>0.99999999999999989</v>
      </c>
      <c r="AO78" s="128">
        <f>'Pseudo-load coefficients'!AO517</f>
        <v>7.2710503034182867</v>
      </c>
      <c r="AP78" s="128">
        <f>'Pseudo-load coefficients'!AP517</f>
        <v>7.2710503034182867</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621</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622</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228</v>
      </c>
      <c r="G82" s="23" t="s">
        <v>209</v>
      </c>
      <c r="H82" s="23"/>
      <c r="I82" s="23"/>
      <c r="J82" s="163">
        <f t="shared" ref="J82:AP82" si="1">J$56 * J34 * J70 / hours_in_year / $H45</f>
        <v>1578.8794610865295</v>
      </c>
      <c r="K82" s="163">
        <f t="shared" si="1"/>
        <v>725.66666152611197</v>
      </c>
      <c r="L82" s="163">
        <f t="shared" si="1"/>
        <v>1.6600853917930207</v>
      </c>
      <c r="M82" s="163">
        <f t="shared" si="1"/>
        <v>261.72273982713921</v>
      </c>
      <c r="N82" s="163">
        <f t="shared" si="1"/>
        <v>391.7235586829409</v>
      </c>
      <c r="O82" s="163">
        <f t="shared" si="1"/>
        <v>7.1618752761740706E-2</v>
      </c>
      <c r="P82" s="163">
        <f t="shared" si="1"/>
        <v>3.8088351421973354</v>
      </c>
      <c r="Q82" s="163">
        <f t="shared" si="1"/>
        <v>8.0757465871776662E-5</v>
      </c>
      <c r="R82" s="163">
        <f t="shared" si="1"/>
        <v>0.64264741528174718</v>
      </c>
      <c r="S82" s="163">
        <f t="shared" si="1"/>
        <v>4.9617247547127468</v>
      </c>
      <c r="T82" s="163">
        <f t="shared" si="1"/>
        <v>34.0968605646217</v>
      </c>
      <c r="U82" s="163">
        <f t="shared" si="1"/>
        <v>555.05361372386631</v>
      </c>
      <c r="V82" s="163">
        <f t="shared" si="1"/>
        <v>42.922123504822117</v>
      </c>
      <c r="W82" s="163">
        <f t="shared" si="1"/>
        <v>911.86667141710268</v>
      </c>
      <c r="X82" s="163">
        <f t="shared" si="1"/>
        <v>4.3376236308487801</v>
      </c>
      <c r="Y82" s="163">
        <f t="shared" si="1"/>
        <v>4.7279296725404443</v>
      </c>
      <c r="Z82" s="163">
        <f t="shared" si="1"/>
        <v>0.15147144476703325</v>
      </c>
      <c r="AA82" s="163">
        <f t="shared" si="1"/>
        <v>0.70342107061009485</v>
      </c>
      <c r="AB82" s="163">
        <f t="shared" si="1"/>
        <v>41.660193811584875</v>
      </c>
      <c r="AC82" s="163">
        <f t="shared" si="1"/>
        <v>-0.17976913844246573</v>
      </c>
      <c r="AD82" s="163">
        <f t="shared" si="1"/>
        <v>0</v>
      </c>
      <c r="AE82" s="163">
        <f t="shared" si="1"/>
        <v>-3.8271301219398182</v>
      </c>
      <c r="AF82" s="163">
        <f t="shared" si="1"/>
        <v>0</v>
      </c>
      <c r="AG82" s="163">
        <f t="shared" si="1"/>
        <v>-1.8732261926380265</v>
      </c>
      <c r="AH82" s="163">
        <f t="shared" si="1"/>
        <v>0</v>
      </c>
      <c r="AI82" s="163">
        <f t="shared" si="1"/>
        <v>-0.43074567753664394</v>
      </c>
      <c r="AJ82" s="163">
        <f t="shared" si="1"/>
        <v>0</v>
      </c>
      <c r="AK82" s="163">
        <f t="shared" si="1"/>
        <v>-0.50368754360055257</v>
      </c>
      <c r="AL82" s="163">
        <f t="shared" si="1"/>
        <v>0</v>
      </c>
      <c r="AM82" s="163">
        <f t="shared" si="1"/>
        <v>-54.512724845609604</v>
      </c>
      <c r="AN82" s="163">
        <f t="shared" si="1"/>
        <v>0</v>
      </c>
      <c r="AO82" s="163">
        <f t="shared" si="1"/>
        <v>-106.48339694928052</v>
      </c>
      <c r="AP82" s="163">
        <f t="shared" si="1"/>
        <v>0</v>
      </c>
      <c r="BH82" s="3"/>
    </row>
    <row r="83" spans="5:60" x14ac:dyDescent="0.25">
      <c r="E83" s="32"/>
      <c r="F83" t="s">
        <v>229</v>
      </c>
      <c r="G83" t="s">
        <v>209</v>
      </c>
      <c r="J83" s="92">
        <f t="shared" ref="J83:AP83" si="2">J$56 * J35 * J71 / hours_in_year / $H46</f>
        <v>1530.231174214872</v>
      </c>
      <c r="K83" s="92">
        <f t="shared" si="2"/>
        <v>702.13760478665631</v>
      </c>
      <c r="L83" s="92">
        <f t="shared" si="2"/>
        <v>1.837536597137543</v>
      </c>
      <c r="M83" s="92">
        <f t="shared" si="2"/>
        <v>265.62963943416668</v>
      </c>
      <c r="N83" s="92">
        <f t="shared" si="2"/>
        <v>392.5802755089174</v>
      </c>
      <c r="O83" s="92">
        <f t="shared" si="2"/>
        <v>9.0109696536649159E-2</v>
      </c>
      <c r="P83" s="92">
        <f t="shared" si="2"/>
        <v>3.8054096561981132</v>
      </c>
      <c r="Q83" s="92">
        <f t="shared" si="2"/>
        <v>8.0727933415370307E-5</v>
      </c>
      <c r="R83" s="92">
        <f t="shared" si="2"/>
        <v>0.64558211335212967</v>
      </c>
      <c r="S83" s="92">
        <f t="shared" si="2"/>
        <v>4.3026313157045779</v>
      </c>
      <c r="T83" s="92">
        <f t="shared" si="2"/>
        <v>29.563761150690283</v>
      </c>
      <c r="U83" s="92">
        <f t="shared" si="2"/>
        <v>481.31216278946971</v>
      </c>
      <c r="V83" s="92">
        <f t="shared" si="2"/>
        <v>37.219720014110727</v>
      </c>
      <c r="W83" s="92">
        <f t="shared" si="2"/>
        <v>790.7209482897722</v>
      </c>
      <c r="X83" s="92">
        <f t="shared" si="2"/>
        <v>4.3232481383567292</v>
      </c>
      <c r="Y83" s="92">
        <f t="shared" si="2"/>
        <v>4.6284402635215143</v>
      </c>
      <c r="Z83" s="92">
        <f t="shared" si="2"/>
        <v>0.14706797827545809</v>
      </c>
      <c r="AA83" s="92">
        <f t="shared" si="2"/>
        <v>0.72827507554062954</v>
      </c>
      <c r="AB83" s="92">
        <f t="shared" si="2"/>
        <v>39.998599178314585</v>
      </c>
      <c r="AC83" s="92">
        <f t="shared" si="2"/>
        <v>-0.17923144411013534</v>
      </c>
      <c r="AD83" s="92">
        <f t="shared" si="2"/>
        <v>0</v>
      </c>
      <c r="AE83" s="92">
        <f t="shared" si="2"/>
        <v>-3.8156830727216535</v>
      </c>
      <c r="AF83" s="92">
        <f t="shared" si="2"/>
        <v>0</v>
      </c>
      <c r="AG83" s="92">
        <f t="shared" si="2"/>
        <v>-1.6243593913813035</v>
      </c>
      <c r="AH83" s="92">
        <f t="shared" si="2"/>
        <v>0</v>
      </c>
      <c r="AI83" s="92">
        <f t="shared" si="2"/>
        <v>-0.42945730561978462</v>
      </c>
      <c r="AJ83" s="92">
        <f t="shared" si="2"/>
        <v>0</v>
      </c>
      <c r="AK83" s="92">
        <f t="shared" si="2"/>
        <v>-0.43677031368920038</v>
      </c>
      <c r="AL83" s="92">
        <f t="shared" si="2"/>
        <v>0</v>
      </c>
      <c r="AM83" s="92">
        <f t="shared" si="2"/>
        <v>-54.349675818155141</v>
      </c>
      <c r="AN83" s="92">
        <f t="shared" si="2"/>
        <v>0</v>
      </c>
      <c r="AO83" s="92">
        <f t="shared" si="2"/>
        <v>-92.336583024797818</v>
      </c>
      <c r="AP83" s="92">
        <f t="shared" si="2"/>
        <v>0</v>
      </c>
      <c r="BH83" s="3"/>
    </row>
    <row r="84" spans="5:60" x14ac:dyDescent="0.25">
      <c r="E84" s="32"/>
      <c r="F84" t="s">
        <v>230</v>
      </c>
      <c r="G84" t="s">
        <v>209</v>
      </c>
      <c r="J84" s="92">
        <f t="shared" ref="J84:AP84" si="3">J$56 * J36 * J72 / hours_in_year / $H47</f>
        <v>1411.1751187815053</v>
      </c>
      <c r="K84" s="92">
        <f t="shared" si="3"/>
        <v>647.50943160215604</v>
      </c>
      <c r="L84" s="92">
        <f t="shared" si="3"/>
        <v>1.6945713624357388</v>
      </c>
      <c r="M84" s="92">
        <f t="shared" si="3"/>
        <v>244.96294696958188</v>
      </c>
      <c r="N84" s="92">
        <f t="shared" si="3"/>
        <v>362.0364858968565</v>
      </c>
      <c r="O84" s="92">
        <f t="shared" si="3"/>
        <v>8.3098922474059922E-2</v>
      </c>
      <c r="P84" s="92">
        <f t="shared" si="3"/>
        <v>3.5093386633904791</v>
      </c>
      <c r="Q84" s="92">
        <f t="shared" si="3"/>
        <v>7.4447085477049674E-5</v>
      </c>
      <c r="R84" s="92">
        <f t="shared" si="3"/>
        <v>0.59535410782644416</v>
      </c>
      <c r="S84" s="92">
        <f t="shared" si="3"/>
        <v>3.9678751552867313</v>
      </c>
      <c r="T84" s="92">
        <f t="shared" si="3"/>
        <v>27.263621900043216</v>
      </c>
      <c r="U84" s="92">
        <f t="shared" si="3"/>
        <v>443.8647963396146</v>
      </c>
      <c r="V84" s="92">
        <f t="shared" si="3"/>
        <v>34.323926800717395</v>
      </c>
      <c r="W84" s="92">
        <f t="shared" si="3"/>
        <v>729.20075536845593</v>
      </c>
      <c r="X84" s="92">
        <f t="shared" si="3"/>
        <v>3.9868879343003178</v>
      </c>
      <c r="Y84" s="92">
        <f t="shared" si="3"/>
        <v>4.2683353003831375</v>
      </c>
      <c r="Z84" s="92">
        <f t="shared" si="3"/>
        <v>0.13562569839704711</v>
      </c>
      <c r="AA84" s="92">
        <f t="shared" si="3"/>
        <v>0.67161333761152797</v>
      </c>
      <c r="AB84" s="92">
        <f t="shared" si="3"/>
        <v>36.886601774736839</v>
      </c>
      <c r="AC84" s="92">
        <f t="shared" si="3"/>
        <v>-0.16528676104201859</v>
      </c>
      <c r="AD84" s="92">
        <f t="shared" si="3"/>
        <v>0</v>
      </c>
      <c r="AE84" s="92">
        <f t="shared" si="3"/>
        <v>-3.5188127807834508</v>
      </c>
      <c r="AF84" s="92">
        <f t="shared" si="3"/>
        <v>0</v>
      </c>
      <c r="AG84" s="92">
        <f t="shared" si="3"/>
        <v>-1.4979799102919671</v>
      </c>
      <c r="AH84" s="92">
        <f t="shared" si="3"/>
        <v>0</v>
      </c>
      <c r="AI84" s="92">
        <f t="shared" si="3"/>
        <v>-0.39604438498028283</v>
      </c>
      <c r="AJ84" s="92">
        <f t="shared" si="3"/>
        <v>0</v>
      </c>
      <c r="AK84" s="92">
        <f t="shared" si="3"/>
        <v>-0.40278842157089978</v>
      </c>
      <c r="AL84" s="92">
        <f t="shared" si="3"/>
        <v>0</v>
      </c>
      <c r="AM84" s="92">
        <f t="shared" si="3"/>
        <v>-50.121126481280129</v>
      </c>
      <c r="AN84" s="92">
        <f t="shared" si="3"/>
        <v>0</v>
      </c>
      <c r="AO84" s="92">
        <f t="shared" si="3"/>
        <v>-85.152551270400735</v>
      </c>
      <c r="AP84" s="92">
        <f t="shared" si="3"/>
        <v>0</v>
      </c>
      <c r="BH84" s="3"/>
    </row>
    <row r="85" spans="5:60" x14ac:dyDescent="0.25">
      <c r="E85" s="32"/>
      <c r="F85" t="s">
        <v>231</v>
      </c>
      <c r="G85" t="s">
        <v>209</v>
      </c>
      <c r="J85" s="92">
        <f t="shared" ref="J85:AP85" si="4">J$56 * J37 * J73 / hours_in_year / $H48</f>
        <v>1353.2818459283958</v>
      </c>
      <c r="K85" s="92">
        <f t="shared" si="4"/>
        <v>618.81510931079958</v>
      </c>
      <c r="L85" s="92">
        <f t="shared" si="4"/>
        <v>1.8592415738998402</v>
      </c>
      <c r="M85" s="92">
        <f t="shared" si="4"/>
        <v>245.61719932020881</v>
      </c>
      <c r="N85" s="92">
        <f t="shared" si="4"/>
        <v>358.39324430343174</v>
      </c>
      <c r="O85" s="92">
        <f t="shared" si="4"/>
        <v>0.10308572033027093</v>
      </c>
      <c r="P85" s="92">
        <f t="shared" si="4"/>
        <v>3.4616576178191969</v>
      </c>
      <c r="Q85" s="92">
        <f t="shared" si="4"/>
        <v>7.3480673958179745E-5</v>
      </c>
      <c r="R85" s="92">
        <f t="shared" si="4"/>
        <v>0.59030324966508529</v>
      </c>
      <c r="S85" s="92">
        <f t="shared" si="4"/>
        <v>3.3081753994258336</v>
      </c>
      <c r="T85" s="92">
        <f t="shared" si="4"/>
        <v>22.727760279483817</v>
      </c>
      <c r="U85" s="92">
        <f t="shared" si="4"/>
        <v>370.03979022350694</v>
      </c>
      <c r="V85" s="92">
        <f t="shared" si="4"/>
        <v>28.615062013763264</v>
      </c>
      <c r="W85" s="92">
        <f t="shared" si="4"/>
        <v>607.91776408622513</v>
      </c>
      <c r="X85" s="92">
        <f t="shared" si="4"/>
        <v>3.9500131253989568</v>
      </c>
      <c r="Y85" s="92">
        <f t="shared" si="4"/>
        <v>3.805540649365116</v>
      </c>
      <c r="Z85" s="92">
        <f t="shared" si="4"/>
        <v>0.11880776122385617</v>
      </c>
      <c r="AA85" s="92">
        <f t="shared" si="4"/>
        <v>0.80110299216226444</v>
      </c>
      <c r="AB85" s="92">
        <f t="shared" si="4"/>
        <v>30.987165975836479</v>
      </c>
      <c r="AC85" s="92">
        <f t="shared" si="4"/>
        <v>-0.16398272347955686</v>
      </c>
      <c r="AD85" s="92">
        <f t="shared" si="4"/>
        <v>0</v>
      </c>
      <c r="AE85" s="92">
        <f t="shared" si="4"/>
        <v>-3.4910509442486704</v>
      </c>
      <c r="AF85" s="92">
        <f t="shared" si="4"/>
        <v>0</v>
      </c>
      <c r="AG85" s="92">
        <f t="shared" si="4"/>
        <v>-1.2488311223027155</v>
      </c>
      <c r="AH85" s="92">
        <f t="shared" si="4"/>
        <v>0</v>
      </c>
      <c r="AI85" s="92">
        <f t="shared" si="4"/>
        <v>-0.39291977444789394</v>
      </c>
      <c r="AJ85" s="92">
        <f t="shared" si="4"/>
        <v>0</v>
      </c>
      <c r="AK85" s="92">
        <f t="shared" si="4"/>
        <v>-0.33579536888641248</v>
      </c>
      <c r="AL85" s="92">
        <f t="shared" si="4"/>
        <v>0</v>
      </c>
      <c r="AM85" s="92">
        <f t="shared" si="4"/>
        <v>-49.72569353073748</v>
      </c>
      <c r="AN85" s="92">
        <f t="shared" si="4"/>
        <v>0</v>
      </c>
      <c r="AO85" s="92">
        <f t="shared" si="4"/>
        <v>-70.989707832081308</v>
      </c>
      <c r="AP85" s="92">
        <f t="shared" si="4"/>
        <v>0</v>
      </c>
      <c r="BH85" s="3"/>
    </row>
    <row r="86" spans="5:60" x14ac:dyDescent="0.25">
      <c r="E86" s="32"/>
      <c r="F86" t="s">
        <v>232</v>
      </c>
      <c r="G86" t="s">
        <v>209</v>
      </c>
      <c r="J86" s="92">
        <f t="shared" ref="J86:AP86" si="5">J$56 * J38 * J74 / hours_in_year / $H49</f>
        <v>1345.3213644817583</v>
      </c>
      <c r="K86" s="92">
        <f t="shared" si="5"/>
        <v>615.17502043250079</v>
      </c>
      <c r="L86" s="92">
        <f t="shared" si="5"/>
        <v>1.848304858759253</v>
      </c>
      <c r="M86" s="92">
        <f t="shared" si="5"/>
        <v>244.17239226538405</v>
      </c>
      <c r="N86" s="92">
        <f t="shared" si="5"/>
        <v>356.28504874870566</v>
      </c>
      <c r="O86" s="92">
        <f t="shared" si="5"/>
        <v>0.10247933374009287</v>
      </c>
      <c r="P86" s="92">
        <f t="shared" si="5"/>
        <v>3.4412949259496726</v>
      </c>
      <c r="Q86" s="92">
        <f t="shared" si="5"/>
        <v>7.3048434699602211E-5</v>
      </c>
      <c r="R86" s="92">
        <f t="shared" si="5"/>
        <v>0.58683087760823194</v>
      </c>
      <c r="S86" s="92">
        <f t="shared" si="5"/>
        <v>3.2887155441350933</v>
      </c>
      <c r="T86" s="92">
        <f t="shared" si="5"/>
        <v>22.594067571957442</v>
      </c>
      <c r="U86" s="92">
        <f t="shared" si="5"/>
        <v>367.86308557513337</v>
      </c>
      <c r="V86" s="92">
        <f t="shared" si="5"/>
        <v>28.446738119564657</v>
      </c>
      <c r="W86" s="92">
        <f t="shared" si="5"/>
        <v>604.34177723865912</v>
      </c>
      <c r="X86" s="92">
        <f t="shared" si="5"/>
        <v>3.9267777540730804</v>
      </c>
      <c r="Y86" s="92">
        <f t="shared" si="5"/>
        <v>3.7831551161335564</v>
      </c>
      <c r="Z86" s="92">
        <f t="shared" si="5"/>
        <v>0.11810889204018643</v>
      </c>
      <c r="AA86" s="92">
        <f t="shared" si="5"/>
        <v>0.79639062162013341</v>
      </c>
      <c r="AB86" s="92">
        <f t="shared" si="5"/>
        <v>30.804888528919793</v>
      </c>
      <c r="AC86" s="92">
        <f t="shared" si="5"/>
        <v>-0.16301811922379478</v>
      </c>
      <c r="AD86" s="92">
        <f t="shared" si="5"/>
        <v>0</v>
      </c>
      <c r="AE86" s="92">
        <f t="shared" si="5"/>
        <v>-3.4705153504589723</v>
      </c>
      <c r="AF86" s="92">
        <f t="shared" si="5"/>
        <v>0</v>
      </c>
      <c r="AG86" s="92">
        <f t="shared" si="5"/>
        <v>-1.2414850568774054</v>
      </c>
      <c r="AH86" s="92">
        <f t="shared" si="5"/>
        <v>0</v>
      </c>
      <c r="AI86" s="92">
        <f t="shared" si="5"/>
        <v>-0.390608481657024</v>
      </c>
      <c r="AJ86" s="92">
        <f t="shared" si="5"/>
        <v>0</v>
      </c>
      <c r="AK86" s="92">
        <f t="shared" si="5"/>
        <v>-0.33382010201061008</v>
      </c>
      <c r="AL86" s="92">
        <f t="shared" si="5"/>
        <v>0</v>
      </c>
      <c r="AM86" s="92">
        <f t="shared" si="5"/>
        <v>-49.433189451144905</v>
      </c>
      <c r="AN86" s="92">
        <f t="shared" si="5"/>
        <v>0</v>
      </c>
      <c r="AO86" s="92">
        <f t="shared" si="5"/>
        <v>-70.57212131542201</v>
      </c>
      <c r="AP86" s="92">
        <f t="shared" si="5"/>
        <v>0</v>
      </c>
      <c r="BH86" s="3"/>
    </row>
    <row r="87" spans="5:60" x14ac:dyDescent="0.25">
      <c r="E87" s="32"/>
      <c r="F87" t="s">
        <v>233</v>
      </c>
      <c r="G87" t="s">
        <v>209</v>
      </c>
      <c r="J87" s="92">
        <f t="shared" ref="J87:AP87" si="6">J$56 * J39 * J75 / hours_in_year / $H50</f>
        <v>112.92127278757032</v>
      </c>
      <c r="K87" s="92">
        <f t="shared" si="6"/>
        <v>51.813264126712966</v>
      </c>
      <c r="L87" s="92">
        <f t="shared" si="6"/>
        <v>0.13559844737117868</v>
      </c>
      <c r="M87" s="92">
        <f t="shared" si="6"/>
        <v>19.601768334382147</v>
      </c>
      <c r="N87" s="92">
        <f t="shared" si="6"/>
        <v>28.969913258045519</v>
      </c>
      <c r="O87" s="92">
        <f t="shared" si="6"/>
        <v>6.6495192327008157E-3</v>
      </c>
      <c r="P87" s="92">
        <f t="shared" si="6"/>
        <v>0.28081489195675097</v>
      </c>
      <c r="Q87" s="92">
        <f t="shared" si="6"/>
        <v>5.9572051232396396E-6</v>
      </c>
      <c r="R87" s="92">
        <f t="shared" si="6"/>
        <v>4.7639830606650252E-2</v>
      </c>
      <c r="S87" s="92">
        <f t="shared" si="6"/>
        <v>0.31750667003258681</v>
      </c>
      <c r="T87" s="92">
        <f t="shared" si="6"/>
        <v>2.1816164732341963</v>
      </c>
      <c r="U87" s="92">
        <f t="shared" si="6"/>
        <v>35.517758980574399</v>
      </c>
      <c r="V87" s="92">
        <f t="shared" si="6"/>
        <v>2.7465772672856463</v>
      </c>
      <c r="W87" s="92">
        <f t="shared" si="6"/>
        <v>58.350148268602616</v>
      </c>
      <c r="X87" s="92">
        <f t="shared" si="6"/>
        <v>0.31902805967223458</v>
      </c>
      <c r="Y87" s="92">
        <f t="shared" si="6"/>
        <v>0.34154928639866899</v>
      </c>
      <c r="Z87" s="92">
        <f t="shared" si="6"/>
        <v>1.0852676100838302E-2</v>
      </c>
      <c r="AA87" s="92">
        <f t="shared" si="6"/>
        <v>5.3742042284366742E-2</v>
      </c>
      <c r="AB87" s="92">
        <f t="shared" si="6"/>
        <v>2.9516407749649751</v>
      </c>
      <c r="AC87" s="92">
        <f t="shared" si="6"/>
        <v>-1.3226134151171616E-2</v>
      </c>
      <c r="AD87" s="92">
        <f t="shared" si="6"/>
        <v>0</v>
      </c>
      <c r="AE87" s="92">
        <f t="shared" si="6"/>
        <v>-0.28157300438398614</v>
      </c>
      <c r="AF87" s="92">
        <f t="shared" si="6"/>
        <v>0</v>
      </c>
      <c r="AG87" s="92">
        <f t="shared" si="6"/>
        <v>-0.11986733313894948</v>
      </c>
      <c r="AH87" s="92">
        <f t="shared" si="6"/>
        <v>0</v>
      </c>
      <c r="AI87" s="92">
        <f t="shared" si="6"/>
        <v>-3.1691202202430824E-2</v>
      </c>
      <c r="AJ87" s="92">
        <f t="shared" si="6"/>
        <v>0</v>
      </c>
      <c r="AK87" s="92">
        <f t="shared" si="6"/>
        <v>-3.2230855421512508E-2</v>
      </c>
      <c r="AL87" s="92">
        <f t="shared" si="6"/>
        <v>0</v>
      </c>
      <c r="AM87" s="92">
        <f t="shared" si="6"/>
        <v>-4.0106584367076392</v>
      </c>
      <c r="AN87" s="92">
        <f t="shared" si="6"/>
        <v>0</v>
      </c>
      <c r="AO87" s="92">
        <f t="shared" si="6"/>
        <v>-6.81384921161672</v>
      </c>
      <c r="AP87" s="92">
        <f t="shared" si="6"/>
        <v>0</v>
      </c>
      <c r="BH87" s="3"/>
    </row>
    <row r="88" spans="5:60" x14ac:dyDescent="0.25">
      <c r="E88" s="32"/>
      <c r="F88" t="s">
        <v>234</v>
      </c>
      <c r="G88" t="s">
        <v>209</v>
      </c>
      <c r="J88" s="92">
        <f t="shared" ref="J88:AP88" si="7">J$56 * J40 * J76 / hours_in_year / $H51</f>
        <v>1432.008323981898</v>
      </c>
      <c r="K88" s="92">
        <f t="shared" si="7"/>
        <v>654.81436125444088</v>
      </c>
      <c r="L88" s="92">
        <f t="shared" si="7"/>
        <v>1.9674019999073054</v>
      </c>
      <c r="M88" s="92">
        <f t="shared" si="7"/>
        <v>259.90585405242348</v>
      </c>
      <c r="N88" s="92">
        <f t="shared" si="7"/>
        <v>379.2425876734531</v>
      </c>
      <c r="O88" s="92">
        <f t="shared" si="7"/>
        <v>0.10908267929608265</v>
      </c>
      <c r="P88" s="92">
        <f t="shared" si="7"/>
        <v>3.6630377762081694</v>
      </c>
      <c r="Q88" s="92">
        <f t="shared" si="7"/>
        <v>7.7755374518990531E-5</v>
      </c>
      <c r="R88" s="92">
        <f t="shared" si="7"/>
        <v>0.62464383878145491</v>
      </c>
      <c r="S88" s="92">
        <f t="shared" si="7"/>
        <v>3.5006268083940535</v>
      </c>
      <c r="T88" s="92">
        <f t="shared" si="7"/>
        <v>24.04993608952029</v>
      </c>
      <c r="U88" s="92">
        <f t="shared" si="7"/>
        <v>391.5666654354979</v>
      </c>
      <c r="V88" s="92">
        <f t="shared" si="7"/>
        <v>30.279728585921898</v>
      </c>
      <c r="W88" s="92">
        <f t="shared" si="7"/>
        <v>643.28306855451592</v>
      </c>
      <c r="X88" s="92">
        <f t="shared" si="7"/>
        <v>4.1798031152398609</v>
      </c>
      <c r="Y88" s="92">
        <f t="shared" si="7"/>
        <v>4.0269260269310285</v>
      </c>
      <c r="Z88" s="92">
        <f t="shared" si="7"/>
        <v>0.12571934186370354</v>
      </c>
      <c r="AA88" s="92">
        <f t="shared" si="7"/>
        <v>0.84770674829836368</v>
      </c>
      <c r="AB88" s="92">
        <f t="shared" si="7"/>
        <v>32.789828480677322</v>
      </c>
      <c r="AC88" s="92">
        <f t="shared" si="7"/>
        <v>-0.17352233440392442</v>
      </c>
      <c r="AD88" s="92">
        <f t="shared" si="7"/>
        <v>0</v>
      </c>
      <c r="AE88" s="92">
        <f t="shared" si="7"/>
        <v>-3.694141044343453</v>
      </c>
      <c r="AF88" s="92">
        <f t="shared" si="7"/>
        <v>0</v>
      </c>
      <c r="AG88" s="92">
        <f t="shared" si="7"/>
        <v>-1.3214812330230341</v>
      </c>
      <c r="AH88" s="92">
        <f t="shared" si="7"/>
        <v>0</v>
      </c>
      <c r="AI88" s="92">
        <f t="shared" si="7"/>
        <v>-0.41577768101992651</v>
      </c>
      <c r="AJ88" s="92">
        <f t="shared" si="7"/>
        <v>0</v>
      </c>
      <c r="AK88" s="92">
        <f t="shared" si="7"/>
        <v>-0.3553300924317267</v>
      </c>
      <c r="AL88" s="92">
        <f t="shared" si="7"/>
        <v>0</v>
      </c>
      <c r="AM88" s="92">
        <f t="shared" si="7"/>
        <v>0</v>
      </c>
      <c r="AN88" s="92">
        <f t="shared" si="7"/>
        <v>0</v>
      </c>
      <c r="AO88" s="92">
        <f t="shared" si="7"/>
        <v>0</v>
      </c>
      <c r="AP88" s="92">
        <f t="shared" si="7"/>
        <v>0</v>
      </c>
      <c r="BH88" s="3"/>
    </row>
    <row r="89" spans="5:60" x14ac:dyDescent="0.25">
      <c r="E89" s="32"/>
      <c r="F89" t="s">
        <v>235</v>
      </c>
      <c r="G89" t="s">
        <v>209</v>
      </c>
      <c r="J89" s="92">
        <f t="shared" ref="J89:AP89" si="8">J$56 * J41 * J77 / hours_in_year / $H52</f>
        <v>1416.9633463660425</v>
      </c>
      <c r="K89" s="92">
        <f t="shared" si="8"/>
        <v>647.93474523362067</v>
      </c>
      <c r="L89" s="92">
        <f t="shared" si="8"/>
        <v>1.9467320648557485</v>
      </c>
      <c r="M89" s="92">
        <f t="shared" si="8"/>
        <v>257.17522903372566</v>
      </c>
      <c r="N89" s="92">
        <f t="shared" si="8"/>
        <v>375.25818608376068</v>
      </c>
      <c r="O89" s="92">
        <f t="shared" si="8"/>
        <v>0.10793663395486307</v>
      </c>
      <c r="P89" s="92">
        <f t="shared" si="8"/>
        <v>3.6245531386357821</v>
      </c>
      <c r="Q89" s="92">
        <f t="shared" si="8"/>
        <v>7.6938460364540787E-5</v>
      </c>
      <c r="R89" s="92">
        <f t="shared" si="8"/>
        <v>0</v>
      </c>
      <c r="S89" s="92">
        <f t="shared" si="8"/>
        <v>3.4638484942657497</v>
      </c>
      <c r="T89" s="92">
        <f t="shared" si="8"/>
        <v>23.797262453431731</v>
      </c>
      <c r="U89" s="92">
        <f t="shared" si="8"/>
        <v>387.45278451879261</v>
      </c>
      <c r="V89" s="92">
        <f t="shared" si="8"/>
        <v>29.961603452736476</v>
      </c>
      <c r="W89" s="92">
        <f t="shared" si="8"/>
        <v>0</v>
      </c>
      <c r="X89" s="92">
        <f t="shared" si="8"/>
        <v>4.1358892334178572</v>
      </c>
      <c r="Y89" s="92">
        <f t="shared" si="8"/>
        <v>3.9846183036299387</v>
      </c>
      <c r="Z89" s="92">
        <f t="shared" si="8"/>
        <v>0.12439850828156339</v>
      </c>
      <c r="AA89" s="92">
        <f t="shared" si="8"/>
        <v>0.83880056469637521</v>
      </c>
      <c r="AB89" s="92">
        <f t="shared" si="8"/>
        <v>32.445331715359799</v>
      </c>
      <c r="AC89" s="92">
        <f t="shared" si="8"/>
        <v>-0.17169927262890708</v>
      </c>
      <c r="AD89" s="92">
        <f t="shared" si="8"/>
        <v>0</v>
      </c>
      <c r="AE89" s="92">
        <f t="shared" si="8"/>
        <v>-3.655329629359902</v>
      </c>
      <c r="AF89" s="92">
        <f t="shared" si="8"/>
        <v>0</v>
      </c>
      <c r="AG89" s="92">
        <f t="shared" si="8"/>
        <v>-1.307597476038074</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236</v>
      </c>
      <c r="G90" s="37" t="s">
        <v>209</v>
      </c>
      <c r="H90" s="37"/>
      <c r="I90" s="37"/>
      <c r="J90" s="82">
        <f t="shared" ref="J90:AP90" si="9">J$56 * J42 * J78 / hours_in_year / $H53</f>
        <v>1376.215791878707</v>
      </c>
      <c r="K90" s="82">
        <f t="shared" si="9"/>
        <v>629.30211341335871</v>
      </c>
      <c r="L90" s="82">
        <f t="shared" si="9"/>
        <v>1.8907499739368909</v>
      </c>
      <c r="M90" s="82">
        <f t="shared" si="9"/>
        <v>249.77965194648493</v>
      </c>
      <c r="N90" s="82">
        <f t="shared" si="9"/>
        <v>364.46690243942243</v>
      </c>
      <c r="O90" s="82">
        <f t="shared" si="9"/>
        <v>0.10483270477805344</v>
      </c>
      <c r="P90" s="82">
        <f t="shared" si="9"/>
        <v>3.5203220186935651</v>
      </c>
      <c r="Q90" s="82">
        <f t="shared" si="9"/>
        <v>0</v>
      </c>
      <c r="R90" s="82">
        <f t="shared" si="9"/>
        <v>0</v>
      </c>
      <c r="S90" s="82">
        <f t="shared" si="9"/>
        <v>3.3642387509241556</v>
      </c>
      <c r="T90" s="82">
        <f t="shared" si="9"/>
        <v>23.112925592525993</v>
      </c>
      <c r="U90" s="82">
        <f t="shared" si="9"/>
        <v>376.31082132762134</v>
      </c>
      <c r="V90" s="82">
        <f t="shared" si="9"/>
        <v>0</v>
      </c>
      <c r="W90" s="82">
        <f t="shared" si="9"/>
        <v>0</v>
      </c>
      <c r="X90" s="82">
        <f t="shared" si="9"/>
        <v>4.016953643217529</v>
      </c>
      <c r="Y90" s="82">
        <f t="shared" si="9"/>
        <v>3.8700328051025465</v>
      </c>
      <c r="Z90" s="82">
        <f t="shared" si="9"/>
        <v>0.1208211856871956</v>
      </c>
      <c r="AA90" s="82">
        <f t="shared" si="9"/>
        <v>0.81467921265037546</v>
      </c>
      <c r="AB90" s="82">
        <f t="shared" si="9"/>
        <v>31.512302695715867</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623</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228</v>
      </c>
      <c r="G93" s="23" t="s">
        <v>343</v>
      </c>
      <c r="H93" s="23"/>
      <c r="I93" s="23"/>
      <c r="J93" s="127">
        <f>'Pseudo-load coefficients'!J520</f>
        <v>0</v>
      </c>
      <c r="K93" s="127">
        <f>'Pseudo-load coefficients'!K520</f>
        <v>0</v>
      </c>
      <c r="L93" s="127">
        <f>'Pseudo-load coefficients'!L520</f>
        <v>0</v>
      </c>
      <c r="M93" s="127">
        <f>'Pseudo-load coefficients'!M520</f>
        <v>0</v>
      </c>
      <c r="N93" s="127">
        <f>'Pseudo-load coefficients'!N520</f>
        <v>0</v>
      </c>
      <c r="O93" s="127">
        <f>'Pseudo-load coefficients'!O520</f>
        <v>0</v>
      </c>
      <c r="P93" s="127">
        <f>'Pseudo-load coefficients'!P520</f>
        <v>0</v>
      </c>
      <c r="Q93" s="127">
        <f>'Pseudo-load coefficients'!Q520</f>
        <v>0</v>
      </c>
      <c r="R93" s="127">
        <f>'Pseudo-load coefficients'!R520</f>
        <v>0</v>
      </c>
      <c r="S93" s="127">
        <f>'Pseudo-load coefficients'!S520</f>
        <v>0.53827189090974181</v>
      </c>
      <c r="T93" s="127">
        <f>'Pseudo-load coefficients'!T520</f>
        <v>0.50059957680764722</v>
      </c>
      <c r="U93" s="127">
        <f>'Pseudo-load coefficients'!U520</f>
        <v>0.41856555462005562</v>
      </c>
      <c r="V93" s="127">
        <f>'Pseudo-load coefficients'!V520</f>
        <v>0.41009646153773416</v>
      </c>
      <c r="W93" s="127">
        <f>'Pseudo-load coefficients'!W520</f>
        <v>0.3685404202936533</v>
      </c>
      <c r="X93" s="127">
        <f>'Pseudo-load coefficients'!X520</f>
        <v>0</v>
      </c>
      <c r="Y93" s="127">
        <f>'Pseudo-load coefficients'!Y520</f>
        <v>0</v>
      </c>
      <c r="Z93" s="127">
        <f>'Pseudo-load coefficients'!Z520</f>
        <v>0</v>
      </c>
      <c r="AA93" s="127">
        <f>'Pseudo-load coefficients'!AA520</f>
        <v>0</v>
      </c>
      <c r="AB93" s="127">
        <f>'Pseudo-load coefficients'!AB520</f>
        <v>0.73058262517062489</v>
      </c>
      <c r="AC93" s="127">
        <f>'Pseudo-load coefficients'!AC520</f>
        <v>0</v>
      </c>
      <c r="AD93" s="127">
        <f>'Pseudo-load coefficients'!AD520</f>
        <v>0</v>
      </c>
      <c r="AE93" s="127">
        <f>'Pseudo-load coefficients'!AE520</f>
        <v>0</v>
      </c>
      <c r="AF93" s="127">
        <f>'Pseudo-load coefficients'!AF520</f>
        <v>0</v>
      </c>
      <c r="AG93" s="127">
        <f>'Pseudo-load coefficients'!AG520</f>
        <v>0.35400943858767064</v>
      </c>
      <c r="AH93" s="127">
        <f>'Pseudo-load coefficients'!AH520</f>
        <v>0.35400943858767064</v>
      </c>
      <c r="AI93" s="127">
        <f>'Pseudo-load coefficients'!AI520</f>
        <v>0</v>
      </c>
      <c r="AJ93" s="127">
        <f>'Pseudo-load coefficients'!AJ520</f>
        <v>0</v>
      </c>
      <c r="AK93" s="127">
        <f>'Pseudo-load coefficients'!AK520</f>
        <v>0.35400943858767064</v>
      </c>
      <c r="AL93" s="127">
        <f>'Pseudo-load coefficients'!AL520</f>
        <v>0.35400943858767064</v>
      </c>
      <c r="AM93" s="127">
        <f>'Pseudo-load coefficients'!AM520</f>
        <v>0</v>
      </c>
      <c r="AN93" s="127">
        <f>'Pseudo-load coefficients'!AN520</f>
        <v>0</v>
      </c>
      <c r="AO93" s="127">
        <f>'Pseudo-load coefficients'!AO520</f>
        <v>0.35400943858767064</v>
      </c>
      <c r="AP93" s="127">
        <f>'Pseudo-load coefficients'!AP520</f>
        <v>0.35400943858767064</v>
      </c>
      <c r="BH93" s="3"/>
    </row>
    <row r="94" spans="5:60" x14ac:dyDescent="0.25">
      <c r="E94" s="32"/>
      <c r="F94" t="s">
        <v>229</v>
      </c>
      <c r="G94" t="s">
        <v>343</v>
      </c>
      <c r="J94" s="123">
        <f>'Pseudo-load coefficients'!J521</f>
        <v>0</v>
      </c>
      <c r="K94" s="123">
        <f>'Pseudo-load coefficients'!K521</f>
        <v>3.8920510229037593E-2</v>
      </c>
      <c r="L94" s="123">
        <f>'Pseudo-load coefficients'!L521</f>
        <v>0</v>
      </c>
      <c r="M94" s="123">
        <f>'Pseudo-load coefficients'!M521</f>
        <v>0</v>
      </c>
      <c r="N94" s="123">
        <f>'Pseudo-load coefficients'!N521</f>
        <v>3.549016283596812E-2</v>
      </c>
      <c r="O94" s="123">
        <f>'Pseudo-load coefficients'!O521</f>
        <v>0</v>
      </c>
      <c r="P94" s="123">
        <f>'Pseudo-load coefficients'!P521</f>
        <v>3.22238237396857E-2</v>
      </c>
      <c r="Q94" s="123">
        <f>'Pseudo-load coefficients'!Q521</f>
        <v>2.5106637306638285E-2</v>
      </c>
      <c r="R94" s="123">
        <f>'Pseudo-load coefficients'!R521</f>
        <v>3.4318823607292083E-2</v>
      </c>
      <c r="S94" s="123">
        <f>'Pseudo-load coefficients'!S521</f>
        <v>1.0301060029333653</v>
      </c>
      <c r="T94" s="123">
        <f>'Pseudo-load coefficients'!T521</f>
        <v>0.95788753367809676</v>
      </c>
      <c r="U94" s="123">
        <f>'Pseudo-load coefficients'!U521</f>
        <v>0.80100299405496678</v>
      </c>
      <c r="V94" s="123">
        <f>'Pseudo-load coefficients'!V521</f>
        <v>0.78479581015989563</v>
      </c>
      <c r="W94" s="123">
        <f>'Pseudo-load coefficients'!W521</f>
        <v>0.70527060057164936</v>
      </c>
      <c r="X94" s="123">
        <f>'Pseudo-load coefficients'!X521</f>
        <v>0</v>
      </c>
      <c r="Y94" s="123">
        <f>'Pseudo-load coefficients'!Y521</f>
        <v>0</v>
      </c>
      <c r="Z94" s="123">
        <f>'Pseudo-load coefficients'!Z521</f>
        <v>0</v>
      </c>
      <c r="AA94" s="123">
        <f>'Pseudo-load coefficients'!AA521</f>
        <v>0</v>
      </c>
      <c r="AB94" s="123">
        <f>'Pseudo-load coefficients'!AB521</f>
        <v>0.77548257338211224</v>
      </c>
      <c r="AC94" s="123">
        <f>'Pseudo-load coefficients'!AC521</f>
        <v>0</v>
      </c>
      <c r="AD94" s="123">
        <f>'Pseudo-load coefficients'!AD521</f>
        <v>0</v>
      </c>
      <c r="AE94" s="123">
        <f>'Pseudo-load coefficients'!AE521</f>
        <v>0</v>
      </c>
      <c r="AF94" s="123">
        <f>'Pseudo-load coefficients'!AF521</f>
        <v>0</v>
      </c>
      <c r="AG94" s="123">
        <f>'Pseudo-load coefficients'!AG521</f>
        <v>0.6774628659776849</v>
      </c>
      <c r="AH94" s="123">
        <f>'Pseudo-load coefficients'!AH521</f>
        <v>0.6774628659776849</v>
      </c>
      <c r="AI94" s="123">
        <f>'Pseudo-load coefficients'!AI521</f>
        <v>0</v>
      </c>
      <c r="AJ94" s="123">
        <f>'Pseudo-load coefficients'!AJ521</f>
        <v>0</v>
      </c>
      <c r="AK94" s="123">
        <f>'Pseudo-load coefficients'!AK521</f>
        <v>0.6774628659776849</v>
      </c>
      <c r="AL94" s="123">
        <f>'Pseudo-load coefficients'!AL521</f>
        <v>0.6774628659776849</v>
      </c>
      <c r="AM94" s="123">
        <f>'Pseudo-load coefficients'!AM521</f>
        <v>0</v>
      </c>
      <c r="AN94" s="123">
        <f>'Pseudo-load coefficients'!AN521</f>
        <v>0</v>
      </c>
      <c r="AO94" s="123">
        <f>'Pseudo-load coefficients'!AO521</f>
        <v>0.6774628659776849</v>
      </c>
      <c r="AP94" s="123">
        <f>'Pseudo-load coefficients'!AP521</f>
        <v>0.6774628659776849</v>
      </c>
      <c r="BH94" s="3"/>
    </row>
    <row r="95" spans="5:60" x14ac:dyDescent="0.25">
      <c r="E95" s="32"/>
      <c r="F95" t="s">
        <v>230</v>
      </c>
      <c r="G95" t="s">
        <v>343</v>
      </c>
      <c r="J95" s="123">
        <f>'Pseudo-load coefficients'!J522</f>
        <v>0</v>
      </c>
      <c r="K95" s="123">
        <f>'Pseudo-load coefficients'!K522</f>
        <v>3.8920510229037593E-2</v>
      </c>
      <c r="L95" s="123">
        <f>'Pseudo-load coefficients'!L522</f>
        <v>0</v>
      </c>
      <c r="M95" s="123">
        <f>'Pseudo-load coefficients'!M522</f>
        <v>0</v>
      </c>
      <c r="N95" s="123">
        <f>'Pseudo-load coefficients'!N522</f>
        <v>3.549016283596812E-2</v>
      </c>
      <c r="O95" s="123">
        <f>'Pseudo-load coefficients'!O522</f>
        <v>0</v>
      </c>
      <c r="P95" s="123">
        <f>'Pseudo-load coefficients'!P522</f>
        <v>3.22238237396857E-2</v>
      </c>
      <c r="Q95" s="123">
        <f>'Pseudo-load coefficients'!Q522</f>
        <v>2.5106637306638285E-2</v>
      </c>
      <c r="R95" s="123">
        <f>'Pseudo-load coefficients'!R522</f>
        <v>3.4318823607292083E-2</v>
      </c>
      <c r="S95" s="123">
        <f>'Pseudo-load coefficients'!S522</f>
        <v>1.0301060029333653</v>
      </c>
      <c r="T95" s="123">
        <f>'Pseudo-load coefficients'!T522</f>
        <v>0.95788753367809676</v>
      </c>
      <c r="U95" s="123">
        <f>'Pseudo-load coefficients'!U522</f>
        <v>0.80100299405496678</v>
      </c>
      <c r="V95" s="123">
        <f>'Pseudo-load coefficients'!V522</f>
        <v>0.78479581015989563</v>
      </c>
      <c r="W95" s="123">
        <f>'Pseudo-load coefficients'!W522</f>
        <v>0.70527060057164936</v>
      </c>
      <c r="X95" s="123">
        <f>'Pseudo-load coefficients'!X522</f>
        <v>0</v>
      </c>
      <c r="Y95" s="123">
        <f>'Pseudo-load coefficients'!Y522</f>
        <v>0</v>
      </c>
      <c r="Z95" s="123">
        <f>'Pseudo-load coefficients'!Z522</f>
        <v>0</v>
      </c>
      <c r="AA95" s="123">
        <f>'Pseudo-load coefficients'!AA522</f>
        <v>0</v>
      </c>
      <c r="AB95" s="123">
        <f>'Pseudo-load coefficients'!AB522</f>
        <v>0.77548257338211224</v>
      </c>
      <c r="AC95" s="123">
        <f>'Pseudo-load coefficients'!AC522</f>
        <v>0</v>
      </c>
      <c r="AD95" s="123">
        <f>'Pseudo-load coefficients'!AD522</f>
        <v>0</v>
      </c>
      <c r="AE95" s="123">
        <f>'Pseudo-load coefficients'!AE522</f>
        <v>0</v>
      </c>
      <c r="AF95" s="123">
        <f>'Pseudo-load coefficients'!AF522</f>
        <v>0</v>
      </c>
      <c r="AG95" s="123">
        <f>'Pseudo-load coefficients'!AG522</f>
        <v>0.6774628659776849</v>
      </c>
      <c r="AH95" s="123">
        <f>'Pseudo-load coefficients'!AH522</f>
        <v>0.6774628659776849</v>
      </c>
      <c r="AI95" s="123">
        <f>'Pseudo-load coefficients'!AI522</f>
        <v>0</v>
      </c>
      <c r="AJ95" s="123">
        <f>'Pseudo-load coefficients'!AJ522</f>
        <v>0</v>
      </c>
      <c r="AK95" s="123">
        <f>'Pseudo-load coefficients'!AK522</f>
        <v>0.6774628659776849</v>
      </c>
      <c r="AL95" s="123">
        <f>'Pseudo-load coefficients'!AL522</f>
        <v>0.6774628659776849</v>
      </c>
      <c r="AM95" s="123">
        <f>'Pseudo-load coefficients'!AM522</f>
        <v>0</v>
      </c>
      <c r="AN95" s="123">
        <f>'Pseudo-load coefficients'!AN522</f>
        <v>0</v>
      </c>
      <c r="AO95" s="123">
        <f>'Pseudo-load coefficients'!AO522</f>
        <v>0.6774628659776849</v>
      </c>
      <c r="AP95" s="123">
        <f>'Pseudo-load coefficients'!AP522</f>
        <v>0.6774628659776849</v>
      </c>
      <c r="BH95" s="3"/>
    </row>
    <row r="96" spans="5:60" x14ac:dyDescent="0.25">
      <c r="E96" s="32"/>
      <c r="F96" t="s">
        <v>231</v>
      </c>
      <c r="G96" t="s">
        <v>343</v>
      </c>
      <c r="J96" s="123">
        <f>'Pseudo-load coefficients'!J523</f>
        <v>0</v>
      </c>
      <c r="K96" s="123">
        <f>'Pseudo-load coefficients'!K523</f>
        <v>0.10946431108897202</v>
      </c>
      <c r="L96" s="123">
        <f>'Pseudo-load coefficients'!L523</f>
        <v>0</v>
      </c>
      <c r="M96" s="123">
        <f>'Pseudo-load coefficients'!M523</f>
        <v>0</v>
      </c>
      <c r="N96" s="123">
        <f>'Pseudo-load coefficients'!N523</f>
        <v>9.9817191448904788E-2</v>
      </c>
      <c r="O96" s="123">
        <f>'Pseudo-load coefficients'!O523</f>
        <v>0</v>
      </c>
      <c r="P96" s="123">
        <f>'Pseudo-load coefficients'!P523</f>
        <v>9.0629452003024941E-2</v>
      </c>
      <c r="Q96" s="123">
        <f>'Pseudo-load coefficients'!Q523</f>
        <v>7.0612376703669349E-2</v>
      </c>
      <c r="R96" s="123">
        <f>'Pseudo-load coefficients'!R523</f>
        <v>9.6521635732721212E-2</v>
      </c>
      <c r="S96" s="123">
        <f>'Pseudo-load coefficients'!S523</f>
        <v>1.5015780184416474</v>
      </c>
      <c r="T96" s="123">
        <f>'Pseudo-load coefficients'!T523</f>
        <v>1.396121021615272</v>
      </c>
      <c r="U96" s="123">
        <f>'Pseudo-load coefficients'!U523</f>
        <v>1.1675280385552196</v>
      </c>
      <c r="V96" s="123">
        <f>'Pseudo-load coefficients'!V523</f>
        <v>1.1439047290745341</v>
      </c>
      <c r="W96" s="123">
        <f>'Pseudo-load coefficients'!W523</f>
        <v>1.0279901661385977</v>
      </c>
      <c r="X96" s="123">
        <f>'Pseudo-load coefficients'!X523</f>
        <v>0</v>
      </c>
      <c r="Y96" s="123">
        <f>'Pseudo-load coefficients'!Y523</f>
        <v>0</v>
      </c>
      <c r="Z96" s="123">
        <f>'Pseudo-load coefficients'!Z523</f>
        <v>0</v>
      </c>
      <c r="AA96" s="123">
        <f>'Pseudo-load coefficients'!AA523</f>
        <v>0</v>
      </c>
      <c r="AB96" s="123">
        <f>'Pseudo-load coefficients'!AB523</f>
        <v>1.0569880664217965</v>
      </c>
      <c r="AC96" s="123">
        <f>'Pseudo-load coefficients'!AC523</f>
        <v>0</v>
      </c>
      <c r="AD96" s="123">
        <f>'Pseudo-load coefficients'!AD523</f>
        <v>0</v>
      </c>
      <c r="AE96" s="123">
        <f>'Pseudo-load coefficients'!AE523</f>
        <v>0</v>
      </c>
      <c r="AF96" s="123">
        <f>'Pseudo-load coefficients'!AF523</f>
        <v>0</v>
      </c>
      <c r="AG96" s="123">
        <f>'Pseudo-load coefficients'!AG523</f>
        <v>0.98745809563683939</v>
      </c>
      <c r="AH96" s="123">
        <f>'Pseudo-load coefficients'!AH523</f>
        <v>0.98745809563683939</v>
      </c>
      <c r="AI96" s="123">
        <f>'Pseudo-load coefficients'!AI523</f>
        <v>0</v>
      </c>
      <c r="AJ96" s="123">
        <f>'Pseudo-load coefficients'!AJ523</f>
        <v>0</v>
      </c>
      <c r="AK96" s="123">
        <f>'Pseudo-load coefficients'!AK523</f>
        <v>0.98745809563683939</v>
      </c>
      <c r="AL96" s="123">
        <f>'Pseudo-load coefficients'!AL523</f>
        <v>0.98745809563683939</v>
      </c>
      <c r="AM96" s="123">
        <f>'Pseudo-load coefficients'!AM523</f>
        <v>0</v>
      </c>
      <c r="AN96" s="123">
        <f>'Pseudo-load coefficients'!AN523</f>
        <v>0</v>
      </c>
      <c r="AO96" s="123">
        <f>'Pseudo-load coefficients'!AO523</f>
        <v>0.98745809563683939</v>
      </c>
      <c r="AP96" s="123">
        <f>'Pseudo-load coefficients'!AP523</f>
        <v>0.98745809563683939</v>
      </c>
      <c r="BH96" s="3"/>
    </row>
    <row r="97" spans="5:60" x14ac:dyDescent="0.25">
      <c r="E97" s="32"/>
      <c r="F97" t="s">
        <v>232</v>
      </c>
      <c r="G97" t="s">
        <v>343</v>
      </c>
      <c r="J97" s="123">
        <f>'Pseudo-load coefficients'!J524</f>
        <v>0</v>
      </c>
      <c r="K97" s="123">
        <f>'Pseudo-load coefficients'!K524</f>
        <v>0.10946431108897202</v>
      </c>
      <c r="L97" s="123">
        <f>'Pseudo-load coefficients'!L524</f>
        <v>0</v>
      </c>
      <c r="M97" s="123">
        <f>'Pseudo-load coefficients'!M524</f>
        <v>0</v>
      </c>
      <c r="N97" s="123">
        <f>'Pseudo-load coefficients'!N524</f>
        <v>9.9817191448904788E-2</v>
      </c>
      <c r="O97" s="123">
        <f>'Pseudo-load coefficients'!O524</f>
        <v>0</v>
      </c>
      <c r="P97" s="123">
        <f>'Pseudo-load coefficients'!P524</f>
        <v>9.0629452003024941E-2</v>
      </c>
      <c r="Q97" s="123">
        <f>'Pseudo-load coefficients'!Q524</f>
        <v>7.0612376703669349E-2</v>
      </c>
      <c r="R97" s="123">
        <f>'Pseudo-load coefficients'!R524</f>
        <v>9.6521635732721212E-2</v>
      </c>
      <c r="S97" s="123">
        <f>'Pseudo-load coefficients'!S524</f>
        <v>1.5015780184416474</v>
      </c>
      <c r="T97" s="123">
        <f>'Pseudo-load coefficients'!T524</f>
        <v>1.396121021615272</v>
      </c>
      <c r="U97" s="123">
        <f>'Pseudo-load coefficients'!U524</f>
        <v>1.1675280385552196</v>
      </c>
      <c r="V97" s="123">
        <f>'Pseudo-load coefficients'!V524</f>
        <v>1.1439047290745341</v>
      </c>
      <c r="W97" s="123">
        <f>'Pseudo-load coefficients'!W524</f>
        <v>1.0279901661385977</v>
      </c>
      <c r="X97" s="123">
        <f>'Pseudo-load coefficients'!X524</f>
        <v>0</v>
      </c>
      <c r="Y97" s="123">
        <f>'Pseudo-load coefficients'!Y524</f>
        <v>0</v>
      </c>
      <c r="Z97" s="123">
        <f>'Pseudo-load coefficients'!Z524</f>
        <v>0</v>
      </c>
      <c r="AA97" s="123">
        <f>'Pseudo-load coefficients'!AA524</f>
        <v>0</v>
      </c>
      <c r="AB97" s="123">
        <f>'Pseudo-load coefficients'!AB524</f>
        <v>1.0569880664217965</v>
      </c>
      <c r="AC97" s="123">
        <f>'Pseudo-load coefficients'!AC524</f>
        <v>0</v>
      </c>
      <c r="AD97" s="123">
        <f>'Pseudo-load coefficients'!AD524</f>
        <v>0</v>
      </c>
      <c r="AE97" s="123">
        <f>'Pseudo-load coefficients'!AE524</f>
        <v>0</v>
      </c>
      <c r="AF97" s="123">
        <f>'Pseudo-load coefficients'!AF524</f>
        <v>0</v>
      </c>
      <c r="AG97" s="123">
        <f>'Pseudo-load coefficients'!AG524</f>
        <v>0.98745809563683939</v>
      </c>
      <c r="AH97" s="123">
        <f>'Pseudo-load coefficients'!AH524</f>
        <v>0.98745809563683939</v>
      </c>
      <c r="AI97" s="123">
        <f>'Pseudo-load coefficients'!AI524</f>
        <v>0</v>
      </c>
      <c r="AJ97" s="123">
        <f>'Pseudo-load coefficients'!AJ524</f>
        <v>0</v>
      </c>
      <c r="AK97" s="123">
        <f>'Pseudo-load coefficients'!AK524</f>
        <v>0.98745809563683939</v>
      </c>
      <c r="AL97" s="123">
        <f>'Pseudo-load coefficients'!AL524</f>
        <v>0.98745809563683939</v>
      </c>
      <c r="AM97" s="123">
        <f>'Pseudo-load coefficients'!AM524</f>
        <v>0</v>
      </c>
      <c r="AN97" s="123">
        <f>'Pseudo-load coefficients'!AN524</f>
        <v>0</v>
      </c>
      <c r="AO97" s="123">
        <f>'Pseudo-load coefficients'!AO524</f>
        <v>0.98745809563683939</v>
      </c>
      <c r="AP97" s="123">
        <f>'Pseudo-load coefficients'!AP524</f>
        <v>0.98745809563683939</v>
      </c>
      <c r="BH97" s="3"/>
    </row>
    <row r="98" spans="5:60" x14ac:dyDescent="0.25">
      <c r="E98" s="32"/>
      <c r="F98" t="s">
        <v>233</v>
      </c>
      <c r="G98" t="s">
        <v>343</v>
      </c>
      <c r="J98" s="123">
        <f>'Pseudo-load coefficients'!J525</f>
        <v>0</v>
      </c>
      <c r="K98" s="123">
        <f>'Pseudo-load coefficients'!K525</f>
        <v>3.8920510229037593E-2</v>
      </c>
      <c r="L98" s="123">
        <f>'Pseudo-load coefficients'!L525</f>
        <v>0</v>
      </c>
      <c r="M98" s="123">
        <f>'Pseudo-load coefficients'!M525</f>
        <v>0</v>
      </c>
      <c r="N98" s="123">
        <f>'Pseudo-load coefficients'!N525</f>
        <v>3.549016283596812E-2</v>
      </c>
      <c r="O98" s="123">
        <f>'Pseudo-load coefficients'!O525</f>
        <v>0</v>
      </c>
      <c r="P98" s="123">
        <f>'Pseudo-load coefficients'!P525</f>
        <v>3.22238237396857E-2</v>
      </c>
      <c r="Q98" s="123">
        <f>'Pseudo-load coefficients'!Q525</f>
        <v>2.5106637306638285E-2</v>
      </c>
      <c r="R98" s="123">
        <f>'Pseudo-load coefficients'!R525</f>
        <v>3.4318823607292083E-2</v>
      </c>
      <c r="S98" s="123">
        <f>'Pseudo-load coefficients'!S525</f>
        <v>1.0301060029333653</v>
      </c>
      <c r="T98" s="123">
        <f>'Pseudo-load coefficients'!T525</f>
        <v>0.95788753367809676</v>
      </c>
      <c r="U98" s="123">
        <f>'Pseudo-load coefficients'!U525</f>
        <v>0.80100299405496678</v>
      </c>
      <c r="V98" s="123">
        <f>'Pseudo-load coefficients'!V525</f>
        <v>0.78479581015989563</v>
      </c>
      <c r="W98" s="123">
        <f>'Pseudo-load coefficients'!W525</f>
        <v>0.70527060057164936</v>
      </c>
      <c r="X98" s="123">
        <f>'Pseudo-load coefficients'!X525</f>
        <v>0</v>
      </c>
      <c r="Y98" s="123">
        <f>'Pseudo-load coefficients'!Y525</f>
        <v>0</v>
      </c>
      <c r="Z98" s="123">
        <f>'Pseudo-load coefficients'!Z525</f>
        <v>0</v>
      </c>
      <c r="AA98" s="123">
        <f>'Pseudo-load coefficients'!AA525</f>
        <v>0</v>
      </c>
      <c r="AB98" s="123">
        <f>'Pseudo-load coefficients'!AB525</f>
        <v>0.77548257338211224</v>
      </c>
      <c r="AC98" s="123">
        <f>'Pseudo-load coefficients'!AC525</f>
        <v>0</v>
      </c>
      <c r="AD98" s="123">
        <f>'Pseudo-load coefficients'!AD525</f>
        <v>0</v>
      </c>
      <c r="AE98" s="123">
        <f>'Pseudo-load coefficients'!AE525</f>
        <v>0</v>
      </c>
      <c r="AF98" s="123">
        <f>'Pseudo-load coefficients'!AF525</f>
        <v>0</v>
      </c>
      <c r="AG98" s="123">
        <f>'Pseudo-load coefficients'!AG525</f>
        <v>0.6774628659776849</v>
      </c>
      <c r="AH98" s="123">
        <f>'Pseudo-load coefficients'!AH525</f>
        <v>0.6774628659776849</v>
      </c>
      <c r="AI98" s="123">
        <f>'Pseudo-load coefficients'!AI525</f>
        <v>0</v>
      </c>
      <c r="AJ98" s="123">
        <f>'Pseudo-load coefficients'!AJ525</f>
        <v>0</v>
      </c>
      <c r="AK98" s="123">
        <f>'Pseudo-load coefficients'!AK525</f>
        <v>0.6774628659776849</v>
      </c>
      <c r="AL98" s="123">
        <f>'Pseudo-load coefficients'!AL525</f>
        <v>0.6774628659776849</v>
      </c>
      <c r="AM98" s="123">
        <f>'Pseudo-load coefficients'!AM525</f>
        <v>0</v>
      </c>
      <c r="AN98" s="123">
        <f>'Pseudo-load coefficients'!AN525</f>
        <v>0</v>
      </c>
      <c r="AO98" s="123">
        <f>'Pseudo-load coefficients'!AO525</f>
        <v>0.6774628659776849</v>
      </c>
      <c r="AP98" s="123">
        <f>'Pseudo-load coefficients'!AP525</f>
        <v>0.6774628659776849</v>
      </c>
      <c r="BH98" s="3"/>
    </row>
    <row r="99" spans="5:60" x14ac:dyDescent="0.25">
      <c r="E99" s="32"/>
      <c r="F99" t="s">
        <v>234</v>
      </c>
      <c r="G99" t="s">
        <v>343</v>
      </c>
      <c r="J99" s="123">
        <f>'Pseudo-load coefficients'!J526</f>
        <v>0</v>
      </c>
      <c r="K99" s="123">
        <f>'Pseudo-load coefficients'!K526</f>
        <v>0.10946431108897202</v>
      </c>
      <c r="L99" s="123">
        <f>'Pseudo-load coefficients'!L526</f>
        <v>0</v>
      </c>
      <c r="M99" s="123">
        <f>'Pseudo-load coefficients'!M526</f>
        <v>0</v>
      </c>
      <c r="N99" s="123">
        <f>'Pseudo-load coefficients'!N526</f>
        <v>9.9817191448904788E-2</v>
      </c>
      <c r="O99" s="123">
        <f>'Pseudo-load coefficients'!O526</f>
        <v>0</v>
      </c>
      <c r="P99" s="123">
        <f>'Pseudo-load coefficients'!P526</f>
        <v>9.0629452003024941E-2</v>
      </c>
      <c r="Q99" s="123">
        <f>'Pseudo-load coefficients'!Q526</f>
        <v>7.0612376703669349E-2</v>
      </c>
      <c r="R99" s="123">
        <f>'Pseudo-load coefficients'!R526</f>
        <v>9.6521635732721212E-2</v>
      </c>
      <c r="S99" s="123">
        <f>'Pseudo-load coefficients'!S526</f>
        <v>1.5015780184416474</v>
      </c>
      <c r="T99" s="123">
        <f>'Pseudo-load coefficients'!T526</f>
        <v>1.396121021615272</v>
      </c>
      <c r="U99" s="123">
        <f>'Pseudo-load coefficients'!U526</f>
        <v>1.1675280385552196</v>
      </c>
      <c r="V99" s="123">
        <f>'Pseudo-load coefficients'!V526</f>
        <v>1.1439047290745341</v>
      </c>
      <c r="W99" s="123">
        <f>'Pseudo-load coefficients'!W526</f>
        <v>1.0279901661385977</v>
      </c>
      <c r="X99" s="123">
        <f>'Pseudo-load coefficients'!X526</f>
        <v>0</v>
      </c>
      <c r="Y99" s="123">
        <f>'Pseudo-load coefficients'!Y526</f>
        <v>0</v>
      </c>
      <c r="Z99" s="123">
        <f>'Pseudo-load coefficients'!Z526</f>
        <v>0</v>
      </c>
      <c r="AA99" s="123">
        <f>'Pseudo-load coefficients'!AA526</f>
        <v>0</v>
      </c>
      <c r="AB99" s="123">
        <f>'Pseudo-load coefficients'!AB526</f>
        <v>1.0569880664217965</v>
      </c>
      <c r="AC99" s="123">
        <f>'Pseudo-load coefficients'!AC526</f>
        <v>0</v>
      </c>
      <c r="AD99" s="123">
        <f>'Pseudo-load coefficients'!AD526</f>
        <v>0</v>
      </c>
      <c r="AE99" s="123">
        <f>'Pseudo-load coefficients'!AE526</f>
        <v>0</v>
      </c>
      <c r="AF99" s="123">
        <f>'Pseudo-load coefficients'!AF526</f>
        <v>0</v>
      </c>
      <c r="AG99" s="123">
        <f>'Pseudo-load coefficients'!AG526</f>
        <v>0.98745809563683939</v>
      </c>
      <c r="AH99" s="123">
        <f>'Pseudo-load coefficients'!AH526</f>
        <v>0.98745809563683939</v>
      </c>
      <c r="AI99" s="123">
        <f>'Pseudo-load coefficients'!AI526</f>
        <v>0</v>
      </c>
      <c r="AJ99" s="123">
        <f>'Pseudo-load coefficients'!AJ526</f>
        <v>0</v>
      </c>
      <c r="AK99" s="123">
        <f>'Pseudo-load coefficients'!AK526</f>
        <v>0.98745809563683939</v>
      </c>
      <c r="AL99" s="123">
        <f>'Pseudo-load coefficients'!AL526</f>
        <v>0.98745809563683939</v>
      </c>
      <c r="AM99" s="123">
        <f>'Pseudo-load coefficients'!AM526</f>
        <v>0</v>
      </c>
      <c r="AN99" s="123">
        <f>'Pseudo-load coefficients'!AN526</f>
        <v>0</v>
      </c>
      <c r="AO99" s="123">
        <f>'Pseudo-load coefficients'!AO526</f>
        <v>0.98745809563683939</v>
      </c>
      <c r="AP99" s="123">
        <f>'Pseudo-load coefficients'!AP526</f>
        <v>0.98745809563683939</v>
      </c>
      <c r="BH99" s="3"/>
    </row>
    <row r="100" spans="5:60" x14ac:dyDescent="0.25">
      <c r="E100" s="32"/>
      <c r="F100" t="s">
        <v>235</v>
      </c>
      <c r="G100" t="s">
        <v>343</v>
      </c>
      <c r="J100" s="123">
        <f>'Pseudo-load coefficients'!J527</f>
        <v>0</v>
      </c>
      <c r="K100" s="123">
        <f>'Pseudo-load coefficients'!K527</f>
        <v>0.10946431108897202</v>
      </c>
      <c r="L100" s="123">
        <f>'Pseudo-load coefficients'!L527</f>
        <v>0</v>
      </c>
      <c r="M100" s="123">
        <f>'Pseudo-load coefficients'!M527</f>
        <v>0</v>
      </c>
      <c r="N100" s="123">
        <f>'Pseudo-load coefficients'!N527</f>
        <v>9.9817191448904788E-2</v>
      </c>
      <c r="O100" s="123">
        <f>'Pseudo-load coefficients'!O527</f>
        <v>0</v>
      </c>
      <c r="P100" s="123">
        <f>'Pseudo-load coefficients'!P527</f>
        <v>9.0629452003024941E-2</v>
      </c>
      <c r="Q100" s="123">
        <f>'Pseudo-load coefficients'!Q527</f>
        <v>7.0612376703669349E-2</v>
      </c>
      <c r="R100" s="123">
        <f>'Pseudo-load coefficients'!R527</f>
        <v>9.6521635732721212E-2</v>
      </c>
      <c r="S100" s="123">
        <f>'Pseudo-load coefficients'!S527</f>
        <v>1.5015780184416474</v>
      </c>
      <c r="T100" s="123">
        <f>'Pseudo-load coefficients'!T527</f>
        <v>1.396121021615272</v>
      </c>
      <c r="U100" s="123">
        <f>'Pseudo-load coefficients'!U527</f>
        <v>1.1675280385552196</v>
      </c>
      <c r="V100" s="123">
        <f>'Pseudo-load coefficients'!V527</f>
        <v>1.1439047290745341</v>
      </c>
      <c r="W100" s="123">
        <f>'Pseudo-load coefficients'!W527</f>
        <v>1.0279901661385977</v>
      </c>
      <c r="X100" s="123">
        <f>'Pseudo-load coefficients'!X527</f>
        <v>0</v>
      </c>
      <c r="Y100" s="123">
        <f>'Pseudo-load coefficients'!Y527</f>
        <v>0</v>
      </c>
      <c r="Z100" s="123">
        <f>'Pseudo-load coefficients'!Z527</f>
        <v>0</v>
      </c>
      <c r="AA100" s="123">
        <f>'Pseudo-load coefficients'!AA527</f>
        <v>0</v>
      </c>
      <c r="AB100" s="123">
        <f>'Pseudo-load coefficients'!AB527</f>
        <v>1.0569880664217965</v>
      </c>
      <c r="AC100" s="123">
        <f>'Pseudo-load coefficients'!AC527</f>
        <v>0</v>
      </c>
      <c r="AD100" s="123">
        <f>'Pseudo-load coefficients'!AD527</f>
        <v>0</v>
      </c>
      <c r="AE100" s="123">
        <f>'Pseudo-load coefficients'!AE527</f>
        <v>0</v>
      </c>
      <c r="AF100" s="123">
        <f>'Pseudo-load coefficients'!AF527</f>
        <v>0</v>
      </c>
      <c r="AG100" s="123">
        <f>'Pseudo-load coefficients'!AG527</f>
        <v>0.98745809563683939</v>
      </c>
      <c r="AH100" s="123">
        <f>'Pseudo-load coefficients'!AH527</f>
        <v>0.98745809563683939</v>
      </c>
      <c r="AI100" s="123">
        <f>'Pseudo-load coefficients'!AI527</f>
        <v>0</v>
      </c>
      <c r="AJ100" s="123">
        <f>'Pseudo-load coefficients'!AJ527</f>
        <v>0</v>
      </c>
      <c r="AK100" s="123">
        <f>'Pseudo-load coefficients'!AK527</f>
        <v>0.98745809563683939</v>
      </c>
      <c r="AL100" s="123">
        <f>'Pseudo-load coefficients'!AL527</f>
        <v>0.98745809563683939</v>
      </c>
      <c r="AM100" s="123">
        <f>'Pseudo-load coefficients'!AM527</f>
        <v>0</v>
      </c>
      <c r="AN100" s="123">
        <f>'Pseudo-load coefficients'!AN527</f>
        <v>0</v>
      </c>
      <c r="AO100" s="123">
        <f>'Pseudo-load coefficients'!AO527</f>
        <v>0.98745809563683939</v>
      </c>
      <c r="AP100" s="123">
        <f>'Pseudo-load coefficients'!AP527</f>
        <v>0.98745809563683939</v>
      </c>
      <c r="BH100" s="3"/>
    </row>
    <row r="101" spans="5:60" x14ac:dyDescent="0.25">
      <c r="E101" s="32"/>
      <c r="F101" s="37" t="s">
        <v>236</v>
      </c>
      <c r="G101" s="37" t="s">
        <v>343</v>
      </c>
      <c r="H101" s="37"/>
      <c r="I101" s="37"/>
      <c r="J101" s="128">
        <f>'Pseudo-load coefficients'!J528</f>
        <v>0</v>
      </c>
      <c r="K101" s="128">
        <f>'Pseudo-load coefficients'!K528</f>
        <v>0.10946431108897202</v>
      </c>
      <c r="L101" s="128">
        <f>'Pseudo-load coefficients'!L528</f>
        <v>0</v>
      </c>
      <c r="M101" s="128">
        <f>'Pseudo-load coefficients'!M528</f>
        <v>0</v>
      </c>
      <c r="N101" s="128">
        <f>'Pseudo-load coefficients'!N528</f>
        <v>9.9817191448904788E-2</v>
      </c>
      <c r="O101" s="128">
        <f>'Pseudo-load coefficients'!O528</f>
        <v>0</v>
      </c>
      <c r="P101" s="128">
        <f>'Pseudo-load coefficients'!P528</f>
        <v>9.0629452003024941E-2</v>
      </c>
      <c r="Q101" s="128">
        <f>'Pseudo-load coefficients'!Q528</f>
        <v>7.0612376703669349E-2</v>
      </c>
      <c r="R101" s="128">
        <f>'Pseudo-load coefficients'!R528</f>
        <v>9.6521635732721212E-2</v>
      </c>
      <c r="S101" s="128">
        <f>'Pseudo-load coefficients'!S528</f>
        <v>1.5015780184416474</v>
      </c>
      <c r="T101" s="128">
        <f>'Pseudo-load coefficients'!T528</f>
        <v>1.396121021615272</v>
      </c>
      <c r="U101" s="128">
        <f>'Pseudo-load coefficients'!U528</f>
        <v>1.1675280385552196</v>
      </c>
      <c r="V101" s="128">
        <f>'Pseudo-load coefficients'!V528</f>
        <v>1.1439047290745341</v>
      </c>
      <c r="W101" s="128">
        <f>'Pseudo-load coefficients'!W528</f>
        <v>1.0279901661385977</v>
      </c>
      <c r="X101" s="128">
        <f>'Pseudo-load coefficients'!X528</f>
        <v>0</v>
      </c>
      <c r="Y101" s="128">
        <f>'Pseudo-load coefficients'!Y528</f>
        <v>0</v>
      </c>
      <c r="Z101" s="128">
        <f>'Pseudo-load coefficients'!Z528</f>
        <v>0</v>
      </c>
      <c r="AA101" s="128">
        <f>'Pseudo-load coefficients'!AA528</f>
        <v>0</v>
      </c>
      <c r="AB101" s="128">
        <f>'Pseudo-load coefficients'!AB528</f>
        <v>1.0569880664217965</v>
      </c>
      <c r="AC101" s="128">
        <f>'Pseudo-load coefficients'!AC528</f>
        <v>0</v>
      </c>
      <c r="AD101" s="128">
        <f>'Pseudo-load coefficients'!AD528</f>
        <v>0</v>
      </c>
      <c r="AE101" s="128">
        <f>'Pseudo-load coefficients'!AE528</f>
        <v>0</v>
      </c>
      <c r="AF101" s="128">
        <f>'Pseudo-load coefficients'!AF528</f>
        <v>0</v>
      </c>
      <c r="AG101" s="128">
        <f>'Pseudo-load coefficients'!AG528</f>
        <v>0.98745809563683939</v>
      </c>
      <c r="AH101" s="128">
        <f>'Pseudo-load coefficients'!AH528</f>
        <v>0.98745809563683939</v>
      </c>
      <c r="AI101" s="128">
        <f>'Pseudo-load coefficients'!AI528</f>
        <v>0</v>
      </c>
      <c r="AJ101" s="128">
        <f>'Pseudo-load coefficients'!AJ528</f>
        <v>0</v>
      </c>
      <c r="AK101" s="128">
        <f>'Pseudo-load coefficients'!AK528</f>
        <v>0.98745809563683939</v>
      </c>
      <c r="AL101" s="128">
        <f>'Pseudo-load coefficients'!AL528</f>
        <v>0.98745809563683939</v>
      </c>
      <c r="AM101" s="128">
        <f>'Pseudo-load coefficients'!AM528</f>
        <v>0</v>
      </c>
      <c r="AN101" s="128">
        <f>'Pseudo-load coefficients'!AN528</f>
        <v>0</v>
      </c>
      <c r="AO101" s="128">
        <f>'Pseudo-load coefficients'!AO528</f>
        <v>0.98745809563683939</v>
      </c>
      <c r="AP101" s="128">
        <f>'Pseudo-load coefficients'!AP528</f>
        <v>0.98745809563683939</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624</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625</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228</v>
      </c>
      <c r="G105" s="23" t="s">
        <v>209</v>
      </c>
      <c r="H105" s="23"/>
      <c r="I105" s="23"/>
      <c r="J105" s="163">
        <f t="shared" ref="J105:AP105" si="10">J$57 * J34 * J93 / hours_in_year / $H45</f>
        <v>0</v>
      </c>
      <c r="K105" s="163">
        <f t="shared" si="10"/>
        <v>0</v>
      </c>
      <c r="L105" s="163">
        <f t="shared" si="10"/>
        <v>0</v>
      </c>
      <c r="M105" s="163">
        <f t="shared" si="10"/>
        <v>0</v>
      </c>
      <c r="N105" s="163">
        <f t="shared" si="10"/>
        <v>0</v>
      </c>
      <c r="O105" s="163">
        <f t="shared" si="10"/>
        <v>0</v>
      </c>
      <c r="P105" s="163">
        <f t="shared" si="10"/>
        <v>0</v>
      </c>
      <c r="Q105" s="163">
        <f t="shared" si="10"/>
        <v>0</v>
      </c>
      <c r="R105" s="163">
        <f t="shared" si="10"/>
        <v>0</v>
      </c>
      <c r="S105" s="163">
        <f t="shared" si="10"/>
        <v>0.54396837333129677</v>
      </c>
      <c r="T105" s="163">
        <f t="shared" si="10"/>
        <v>4.8053657439605377</v>
      </c>
      <c r="U105" s="163">
        <f t="shared" si="10"/>
        <v>78.874842658639665</v>
      </c>
      <c r="V105" s="163">
        <f t="shared" si="10"/>
        <v>5.8937906584211355</v>
      </c>
      <c r="W105" s="163">
        <f t="shared" si="10"/>
        <v>123.66712057771412</v>
      </c>
      <c r="X105" s="163">
        <f t="shared" si="10"/>
        <v>0</v>
      </c>
      <c r="Y105" s="163">
        <f t="shared" si="10"/>
        <v>0</v>
      </c>
      <c r="Z105" s="163">
        <f t="shared" si="10"/>
        <v>0</v>
      </c>
      <c r="AA105" s="163">
        <f t="shared" si="10"/>
        <v>0</v>
      </c>
      <c r="AB105" s="163">
        <f t="shared" si="10"/>
        <v>2.9696926571494959</v>
      </c>
      <c r="AC105" s="163">
        <f t="shared" si="10"/>
        <v>0</v>
      </c>
      <c r="AD105" s="163">
        <f t="shared" si="10"/>
        <v>0</v>
      </c>
      <c r="AE105" s="163">
        <f t="shared" si="10"/>
        <v>0</v>
      </c>
      <c r="AF105" s="163">
        <f t="shared" si="10"/>
        <v>0</v>
      </c>
      <c r="AG105" s="163">
        <f t="shared" si="10"/>
        <v>-0.26154045331896181</v>
      </c>
      <c r="AH105" s="163">
        <f t="shared" si="10"/>
        <v>0</v>
      </c>
      <c r="AI105" s="163">
        <f t="shared" si="10"/>
        <v>0</v>
      </c>
      <c r="AJ105" s="163">
        <f t="shared" si="10"/>
        <v>0</v>
      </c>
      <c r="AK105" s="163">
        <f t="shared" si="10"/>
        <v>-5.8656999983143193E-2</v>
      </c>
      <c r="AL105" s="163">
        <f t="shared" si="10"/>
        <v>0</v>
      </c>
      <c r="AM105" s="163">
        <f t="shared" si="10"/>
        <v>0</v>
      </c>
      <c r="AN105" s="163">
        <f t="shared" si="10"/>
        <v>0</v>
      </c>
      <c r="AO105" s="163">
        <f t="shared" si="10"/>
        <v>-9.8134093757034968</v>
      </c>
      <c r="AP105" s="163">
        <f t="shared" si="10"/>
        <v>0</v>
      </c>
      <c r="BH105" s="3"/>
    </row>
    <row r="106" spans="5:60" x14ac:dyDescent="0.25">
      <c r="E106" s="32"/>
      <c r="F106" t="s">
        <v>229</v>
      </c>
      <c r="G106" t="s">
        <v>209</v>
      </c>
      <c r="J106" s="92">
        <f t="shared" ref="J106:AP106" si="11">J$57 * J35 * J94 / hours_in_year / $H46</f>
        <v>0</v>
      </c>
      <c r="K106" s="92">
        <f t="shared" si="11"/>
        <v>4.8661108419466546</v>
      </c>
      <c r="L106" s="92">
        <f t="shared" si="11"/>
        <v>0</v>
      </c>
      <c r="M106" s="92">
        <f t="shared" si="11"/>
        <v>0</v>
      </c>
      <c r="N106" s="92">
        <f t="shared" si="11"/>
        <v>1.9659036407569934</v>
      </c>
      <c r="O106" s="92">
        <f t="shared" si="11"/>
        <v>0</v>
      </c>
      <c r="P106" s="92">
        <f t="shared" si="11"/>
        <v>1.7847867162295038E-2</v>
      </c>
      <c r="Q106" s="92">
        <f t="shared" si="11"/>
        <v>0</v>
      </c>
      <c r="R106" s="92">
        <f t="shared" si="11"/>
        <v>3.4106492623642804E-3</v>
      </c>
      <c r="S106" s="92">
        <f t="shared" si="11"/>
        <v>1.037893839471431</v>
      </c>
      <c r="T106" s="92">
        <f t="shared" si="11"/>
        <v>9.1674712820111885</v>
      </c>
      <c r="U106" s="92">
        <f t="shared" si="11"/>
        <v>150.49020251349367</v>
      </c>
      <c r="V106" s="92">
        <f t="shared" si="11"/>
        <v>11.245128609594504</v>
      </c>
      <c r="W106" s="92">
        <f t="shared" si="11"/>
        <v>235.95216665655417</v>
      </c>
      <c r="X106" s="92">
        <f t="shared" si="11"/>
        <v>0</v>
      </c>
      <c r="Y106" s="92">
        <f t="shared" si="11"/>
        <v>0</v>
      </c>
      <c r="Z106" s="92">
        <f t="shared" si="11"/>
        <v>0</v>
      </c>
      <c r="AA106" s="92">
        <f t="shared" si="11"/>
        <v>0</v>
      </c>
      <c r="AB106" s="92">
        <f t="shared" si="11"/>
        <v>3.1427748958344872</v>
      </c>
      <c r="AC106" s="92">
        <f t="shared" si="11"/>
        <v>0</v>
      </c>
      <c r="AD106" s="92">
        <f t="shared" si="11"/>
        <v>0</v>
      </c>
      <c r="AE106" s="92">
        <f t="shared" si="11"/>
        <v>0</v>
      </c>
      <c r="AF106" s="92">
        <f t="shared" si="11"/>
        <v>0</v>
      </c>
      <c r="AG106" s="92">
        <f t="shared" si="11"/>
        <v>-0.49900924627873372</v>
      </c>
      <c r="AH106" s="92">
        <f t="shared" si="11"/>
        <v>0</v>
      </c>
      <c r="AI106" s="92">
        <f t="shared" si="11"/>
        <v>0</v>
      </c>
      <c r="AJ106" s="92">
        <f t="shared" si="11"/>
        <v>0</v>
      </c>
      <c r="AK106" s="92">
        <f t="shared" si="11"/>
        <v>-0.11191532697568306</v>
      </c>
      <c r="AL106" s="92">
        <f t="shared" si="11"/>
        <v>0</v>
      </c>
      <c r="AM106" s="92">
        <f t="shared" si="11"/>
        <v>0</v>
      </c>
      <c r="AN106" s="92">
        <f t="shared" si="11"/>
        <v>0</v>
      </c>
      <c r="AO106" s="92">
        <f t="shared" si="11"/>
        <v>-18.723612174910262</v>
      </c>
      <c r="AP106" s="92">
        <f t="shared" si="11"/>
        <v>0</v>
      </c>
      <c r="BH106" s="3"/>
    </row>
    <row r="107" spans="5:60" x14ac:dyDescent="0.25">
      <c r="E107" s="32"/>
      <c r="F107" t="s">
        <v>230</v>
      </c>
      <c r="G107" t="s">
        <v>209</v>
      </c>
      <c r="J107" s="92">
        <f t="shared" ref="J107:AP107" si="12">J$57 * J36 * J95 / hours_in_year / $H47</f>
        <v>0</v>
      </c>
      <c r="K107" s="92">
        <f t="shared" si="12"/>
        <v>4.4875144756551677</v>
      </c>
      <c r="L107" s="92">
        <f t="shared" si="12"/>
        <v>0</v>
      </c>
      <c r="M107" s="92">
        <f t="shared" si="12"/>
        <v>0</v>
      </c>
      <c r="N107" s="92">
        <f t="shared" si="12"/>
        <v>1.812951108633402</v>
      </c>
      <c r="O107" s="92">
        <f t="shared" si="12"/>
        <v>0</v>
      </c>
      <c r="P107" s="92">
        <f t="shared" si="12"/>
        <v>1.6459255625654642E-2</v>
      </c>
      <c r="Q107" s="92">
        <f t="shared" si="12"/>
        <v>0</v>
      </c>
      <c r="R107" s="92">
        <f t="shared" si="12"/>
        <v>3.1452916781730218E-3</v>
      </c>
      <c r="S107" s="92">
        <f t="shared" si="12"/>
        <v>0.95714293819047935</v>
      </c>
      <c r="T107" s="92">
        <f t="shared" si="12"/>
        <v>8.4542176328069019</v>
      </c>
      <c r="U107" s="92">
        <f t="shared" si="12"/>
        <v>138.7816644869973</v>
      </c>
      <c r="V107" s="92">
        <f t="shared" si="12"/>
        <v>10.370227694191231</v>
      </c>
      <c r="W107" s="92">
        <f t="shared" si="12"/>
        <v>217.59446050963899</v>
      </c>
      <c r="X107" s="92">
        <f t="shared" si="12"/>
        <v>0</v>
      </c>
      <c r="Y107" s="92">
        <f t="shared" si="12"/>
        <v>0</v>
      </c>
      <c r="Z107" s="92">
        <f t="shared" si="12"/>
        <v>0</v>
      </c>
      <c r="AA107" s="92">
        <f t="shared" si="12"/>
        <v>0</v>
      </c>
      <c r="AB107" s="92">
        <f t="shared" si="12"/>
        <v>2.8982586498463347</v>
      </c>
      <c r="AC107" s="92">
        <f t="shared" si="12"/>
        <v>0</v>
      </c>
      <c r="AD107" s="92">
        <f t="shared" si="12"/>
        <v>0</v>
      </c>
      <c r="AE107" s="92">
        <f t="shared" si="12"/>
        <v>0</v>
      </c>
      <c r="AF107" s="92">
        <f t="shared" si="12"/>
        <v>0</v>
      </c>
      <c r="AG107" s="92">
        <f t="shared" si="12"/>
        <v>-0.46018499966305143</v>
      </c>
      <c r="AH107" s="92">
        <f t="shared" si="12"/>
        <v>0</v>
      </c>
      <c r="AI107" s="92">
        <f t="shared" si="12"/>
        <v>0</v>
      </c>
      <c r="AJ107" s="92">
        <f t="shared" si="12"/>
        <v>0</v>
      </c>
      <c r="AK107" s="92">
        <f t="shared" si="12"/>
        <v>-0.10320801686674048</v>
      </c>
      <c r="AL107" s="92">
        <f t="shared" si="12"/>
        <v>0</v>
      </c>
      <c r="AM107" s="92">
        <f t="shared" si="12"/>
        <v>0</v>
      </c>
      <c r="AN107" s="92">
        <f t="shared" si="12"/>
        <v>0</v>
      </c>
      <c r="AO107" s="92">
        <f t="shared" si="12"/>
        <v>-17.266865346998649</v>
      </c>
      <c r="AP107" s="92">
        <f t="shared" si="12"/>
        <v>0</v>
      </c>
      <c r="BH107" s="3"/>
    </row>
    <row r="108" spans="5:60" x14ac:dyDescent="0.25">
      <c r="E108" s="32"/>
      <c r="F108" t="s">
        <v>231</v>
      </c>
      <c r="G108" t="s">
        <v>209</v>
      </c>
      <c r="J108" s="92">
        <f t="shared" ref="J108:AP108" si="13">J$57 * J37 * J96 / hours_in_year / $H48</f>
        <v>0</v>
      </c>
      <c r="K108" s="92">
        <f t="shared" si="13"/>
        <v>12.521602455988619</v>
      </c>
      <c r="L108" s="92">
        <f t="shared" si="13"/>
        <v>0</v>
      </c>
      <c r="M108" s="92">
        <f t="shared" si="13"/>
        <v>0</v>
      </c>
      <c r="N108" s="92">
        <f t="shared" si="13"/>
        <v>5.0587529655534977</v>
      </c>
      <c r="O108" s="92">
        <f t="shared" si="13"/>
        <v>0</v>
      </c>
      <c r="P108" s="92">
        <f t="shared" si="13"/>
        <v>4.5926409792774632E-2</v>
      </c>
      <c r="Q108" s="92">
        <f t="shared" si="13"/>
        <v>0</v>
      </c>
      <c r="R108" s="92">
        <f t="shared" si="13"/>
        <v>8.776335808554081E-3</v>
      </c>
      <c r="S108" s="92">
        <f t="shared" si="13"/>
        <v>1.3842126351892048</v>
      </c>
      <c r="T108" s="92">
        <f t="shared" si="13"/>
        <v>12.224806520358745</v>
      </c>
      <c r="U108" s="92">
        <f t="shared" si="13"/>
        <v>200.68979867932782</v>
      </c>
      <c r="V108" s="92">
        <f t="shared" si="13"/>
        <v>14.996209448122157</v>
      </c>
      <c r="W108" s="92">
        <f t="shared" si="13"/>
        <v>314.65963918819995</v>
      </c>
      <c r="X108" s="92">
        <f t="shared" si="13"/>
        <v>0</v>
      </c>
      <c r="Y108" s="92">
        <f t="shared" si="13"/>
        <v>0</v>
      </c>
      <c r="Z108" s="92">
        <f t="shared" si="13"/>
        <v>0</v>
      </c>
      <c r="AA108" s="92">
        <f t="shared" si="13"/>
        <v>0</v>
      </c>
      <c r="AB108" s="92">
        <f t="shared" si="13"/>
        <v>3.9191799772287848</v>
      </c>
      <c r="AC108" s="92">
        <f t="shared" si="13"/>
        <v>0</v>
      </c>
      <c r="AD108" s="92">
        <f t="shared" si="13"/>
        <v>0</v>
      </c>
      <c r="AE108" s="92">
        <f t="shared" si="13"/>
        <v>0</v>
      </c>
      <c r="AF108" s="92">
        <f t="shared" si="13"/>
        <v>0</v>
      </c>
      <c r="AG108" s="92">
        <f t="shared" si="13"/>
        <v>-0.66546568150057883</v>
      </c>
      <c r="AH108" s="92">
        <f t="shared" si="13"/>
        <v>0</v>
      </c>
      <c r="AI108" s="92">
        <f t="shared" si="13"/>
        <v>0</v>
      </c>
      <c r="AJ108" s="92">
        <f t="shared" si="13"/>
        <v>0</v>
      </c>
      <c r="AK108" s="92">
        <f t="shared" si="13"/>
        <v>-0.14924735341403431</v>
      </c>
      <c r="AL108" s="92">
        <f t="shared" si="13"/>
        <v>0</v>
      </c>
      <c r="AM108" s="92">
        <f t="shared" si="13"/>
        <v>0</v>
      </c>
      <c r="AN108" s="92">
        <f t="shared" si="13"/>
        <v>0</v>
      </c>
      <c r="AO108" s="92">
        <f t="shared" si="13"/>
        <v>-24.969319564811027</v>
      </c>
      <c r="AP108" s="92">
        <f t="shared" si="13"/>
        <v>0</v>
      </c>
      <c r="BH108" s="3"/>
    </row>
    <row r="109" spans="5:60" x14ac:dyDescent="0.25">
      <c r="E109" s="32"/>
      <c r="F109" t="s">
        <v>232</v>
      </c>
      <c r="G109" t="s">
        <v>209</v>
      </c>
      <c r="J109" s="92">
        <f t="shared" ref="J109:AP109" si="14">J$57 * J38 * J97 / hours_in_year / $H49</f>
        <v>0</v>
      </c>
      <c r="K109" s="92">
        <f t="shared" si="14"/>
        <v>12.447945970953391</v>
      </c>
      <c r="L109" s="92">
        <f t="shared" si="14"/>
        <v>0</v>
      </c>
      <c r="M109" s="92">
        <f t="shared" si="14"/>
        <v>0</v>
      </c>
      <c r="N109" s="92">
        <f t="shared" si="14"/>
        <v>5.0289955951678884</v>
      </c>
      <c r="O109" s="92">
        <f t="shared" si="14"/>
        <v>0</v>
      </c>
      <c r="P109" s="92">
        <f t="shared" si="14"/>
        <v>4.5656254441052431E-2</v>
      </c>
      <c r="Q109" s="92">
        <f t="shared" si="14"/>
        <v>0</v>
      </c>
      <c r="R109" s="92">
        <f t="shared" si="14"/>
        <v>8.7247103037978811E-3</v>
      </c>
      <c r="S109" s="92">
        <f t="shared" si="14"/>
        <v>1.376070207923386</v>
      </c>
      <c r="T109" s="92">
        <f t="shared" si="14"/>
        <v>12.152895893768399</v>
      </c>
      <c r="U109" s="92">
        <f t="shared" si="14"/>
        <v>199.50927045180237</v>
      </c>
      <c r="V109" s="92">
        <f t="shared" si="14"/>
        <v>14.907996451368497</v>
      </c>
      <c r="W109" s="92">
        <f t="shared" si="14"/>
        <v>312.80870013415171</v>
      </c>
      <c r="X109" s="92">
        <f t="shared" si="14"/>
        <v>0</v>
      </c>
      <c r="Y109" s="92">
        <f t="shared" si="14"/>
        <v>0</v>
      </c>
      <c r="Z109" s="92">
        <f t="shared" si="14"/>
        <v>0</v>
      </c>
      <c r="AA109" s="92">
        <f t="shared" si="14"/>
        <v>0</v>
      </c>
      <c r="AB109" s="92">
        <f t="shared" si="14"/>
        <v>3.896125977362733</v>
      </c>
      <c r="AC109" s="92">
        <f t="shared" si="14"/>
        <v>0</v>
      </c>
      <c r="AD109" s="92">
        <f t="shared" si="14"/>
        <v>0</v>
      </c>
      <c r="AE109" s="92">
        <f t="shared" si="14"/>
        <v>0</v>
      </c>
      <c r="AF109" s="92">
        <f t="shared" si="14"/>
        <v>0</v>
      </c>
      <c r="AG109" s="92">
        <f t="shared" si="14"/>
        <v>-0.66155117749175185</v>
      </c>
      <c r="AH109" s="92">
        <f t="shared" si="14"/>
        <v>0</v>
      </c>
      <c r="AI109" s="92">
        <f t="shared" si="14"/>
        <v>0</v>
      </c>
      <c r="AJ109" s="92">
        <f t="shared" si="14"/>
        <v>0</v>
      </c>
      <c r="AK109" s="92">
        <f t="shared" si="14"/>
        <v>-0.14836942780571646</v>
      </c>
      <c r="AL109" s="92">
        <f t="shared" si="14"/>
        <v>0</v>
      </c>
      <c r="AM109" s="92">
        <f t="shared" si="14"/>
        <v>0</v>
      </c>
      <c r="AN109" s="92">
        <f t="shared" si="14"/>
        <v>0</v>
      </c>
      <c r="AO109" s="92">
        <f t="shared" si="14"/>
        <v>-24.822441214429787</v>
      </c>
      <c r="AP109" s="92">
        <f t="shared" si="14"/>
        <v>0</v>
      </c>
      <c r="BH109" s="3"/>
    </row>
    <row r="110" spans="5:60" x14ac:dyDescent="0.25">
      <c r="E110" s="32"/>
      <c r="F110" t="s">
        <v>233</v>
      </c>
      <c r="G110" t="s">
        <v>209</v>
      </c>
      <c r="J110" s="92">
        <f t="shared" ref="J110:AP110" si="15">J$57 * J39 * J98 / hours_in_year / $H50</f>
        <v>0</v>
      </c>
      <c r="K110" s="92">
        <f t="shared" si="15"/>
        <v>0.35908785486607386</v>
      </c>
      <c r="L110" s="92">
        <f t="shared" si="15"/>
        <v>0</v>
      </c>
      <c r="M110" s="92">
        <f t="shared" si="15"/>
        <v>0</v>
      </c>
      <c r="N110" s="92">
        <f t="shared" si="15"/>
        <v>0.14507111411182533</v>
      </c>
      <c r="O110" s="92">
        <f t="shared" si="15"/>
        <v>0</v>
      </c>
      <c r="P110" s="92">
        <f t="shared" si="15"/>
        <v>1.3170584356601521E-3</v>
      </c>
      <c r="Q110" s="92">
        <f t="shared" si="15"/>
        <v>0</v>
      </c>
      <c r="R110" s="92">
        <f t="shared" si="15"/>
        <v>2.516840999110914E-4</v>
      </c>
      <c r="S110" s="92">
        <f t="shared" si="15"/>
        <v>7.658992663747366E-2</v>
      </c>
      <c r="T110" s="92">
        <f t="shared" si="15"/>
        <v>0.67650074240537039</v>
      </c>
      <c r="U110" s="92">
        <f t="shared" si="15"/>
        <v>11.105214359916525</v>
      </c>
      <c r="V110" s="92">
        <f t="shared" si="15"/>
        <v>0.82981856379108621</v>
      </c>
      <c r="W110" s="92">
        <f t="shared" si="15"/>
        <v>17.411760670418619</v>
      </c>
      <c r="X110" s="92">
        <f t="shared" si="15"/>
        <v>0</v>
      </c>
      <c r="Y110" s="92">
        <f t="shared" si="15"/>
        <v>0</v>
      </c>
      <c r="Z110" s="92">
        <f t="shared" si="15"/>
        <v>0</v>
      </c>
      <c r="AA110" s="92">
        <f t="shared" si="15"/>
        <v>0</v>
      </c>
      <c r="AB110" s="92">
        <f t="shared" si="15"/>
        <v>0.2319166850750759</v>
      </c>
      <c r="AC110" s="92">
        <f t="shared" si="15"/>
        <v>0</v>
      </c>
      <c r="AD110" s="92">
        <f t="shared" si="15"/>
        <v>0</v>
      </c>
      <c r="AE110" s="92">
        <f t="shared" si="15"/>
        <v>0</v>
      </c>
      <c r="AF110" s="92">
        <f t="shared" si="15"/>
        <v>0</v>
      </c>
      <c r="AG110" s="92">
        <f t="shared" si="15"/>
        <v>-3.682369054562757E-2</v>
      </c>
      <c r="AH110" s="92">
        <f t="shared" si="15"/>
        <v>0</v>
      </c>
      <c r="AI110" s="92">
        <f t="shared" si="15"/>
        <v>0</v>
      </c>
      <c r="AJ110" s="92">
        <f t="shared" si="15"/>
        <v>0</v>
      </c>
      <c r="AK110" s="92">
        <f t="shared" si="15"/>
        <v>-8.2586352830090019E-3</v>
      </c>
      <c r="AL110" s="92">
        <f t="shared" si="15"/>
        <v>0</v>
      </c>
      <c r="AM110" s="92">
        <f t="shared" si="15"/>
        <v>0</v>
      </c>
      <c r="AN110" s="92">
        <f t="shared" si="15"/>
        <v>0</v>
      </c>
      <c r="AO110" s="92">
        <f t="shared" si="15"/>
        <v>-1.3816828160336705</v>
      </c>
      <c r="AP110" s="92">
        <f t="shared" si="15"/>
        <v>0</v>
      </c>
      <c r="BH110" s="3"/>
    </row>
    <row r="111" spans="5:60" x14ac:dyDescent="0.25">
      <c r="E111" s="32"/>
      <c r="F111" t="s">
        <v>234</v>
      </c>
      <c r="G111" t="s">
        <v>209</v>
      </c>
      <c r="J111" s="92">
        <f t="shared" ref="J111:AP111" si="16">J$57 * J40 * J99 / hours_in_year / $H51</f>
        <v>0</v>
      </c>
      <c r="K111" s="92">
        <f t="shared" si="16"/>
        <v>13.250040263613078</v>
      </c>
      <c r="L111" s="92">
        <f t="shared" si="16"/>
        <v>0</v>
      </c>
      <c r="M111" s="92">
        <f t="shared" si="16"/>
        <v>0</v>
      </c>
      <c r="N111" s="92">
        <f t="shared" si="16"/>
        <v>5.3530433275493872</v>
      </c>
      <c r="O111" s="92">
        <f t="shared" si="16"/>
        <v>0</v>
      </c>
      <c r="P111" s="92">
        <f t="shared" si="16"/>
        <v>4.8598155152771369E-2</v>
      </c>
      <c r="Q111" s="92">
        <f t="shared" si="16"/>
        <v>0</v>
      </c>
      <c r="R111" s="92">
        <f t="shared" si="16"/>
        <v>9.2868946477944712E-3</v>
      </c>
      <c r="S111" s="92">
        <f t="shared" si="16"/>
        <v>1.4647384960610348</v>
      </c>
      <c r="T111" s="92">
        <f t="shared" si="16"/>
        <v>12.935978376486823</v>
      </c>
      <c r="U111" s="92">
        <f t="shared" si="16"/>
        <v>212.36482489713006</v>
      </c>
      <c r="V111" s="92">
        <f t="shared" si="16"/>
        <v>15.86860624968671</v>
      </c>
      <c r="W111" s="92">
        <f t="shared" si="16"/>
        <v>332.96480248689056</v>
      </c>
      <c r="X111" s="92">
        <f t="shared" si="16"/>
        <v>0</v>
      </c>
      <c r="Y111" s="92">
        <f t="shared" si="16"/>
        <v>0</v>
      </c>
      <c r="Z111" s="92">
        <f t="shared" si="16"/>
        <v>0</v>
      </c>
      <c r="AA111" s="92">
        <f t="shared" si="16"/>
        <v>0</v>
      </c>
      <c r="AB111" s="92">
        <f t="shared" si="16"/>
        <v>4.1471762644717831</v>
      </c>
      <c r="AC111" s="92">
        <f t="shared" si="16"/>
        <v>0</v>
      </c>
      <c r="AD111" s="92">
        <f t="shared" si="16"/>
        <v>0</v>
      </c>
      <c r="AE111" s="92">
        <f t="shared" si="16"/>
        <v>0</v>
      </c>
      <c r="AF111" s="92">
        <f t="shared" si="16"/>
        <v>0</v>
      </c>
      <c r="AG111" s="92">
        <f t="shared" si="16"/>
        <v>-0.70417880658064891</v>
      </c>
      <c r="AH111" s="92">
        <f t="shared" si="16"/>
        <v>0</v>
      </c>
      <c r="AI111" s="92">
        <f t="shared" si="16"/>
        <v>0</v>
      </c>
      <c r="AJ111" s="92">
        <f t="shared" si="16"/>
        <v>0</v>
      </c>
      <c r="AK111" s="92">
        <f t="shared" si="16"/>
        <v>-0.15792974173428292</v>
      </c>
      <c r="AL111" s="92">
        <f t="shared" si="16"/>
        <v>0</v>
      </c>
      <c r="AM111" s="92">
        <f t="shared" si="16"/>
        <v>0</v>
      </c>
      <c r="AN111" s="92">
        <f t="shared" si="16"/>
        <v>0</v>
      </c>
      <c r="AO111" s="92">
        <f t="shared" si="16"/>
        <v>0</v>
      </c>
      <c r="AP111" s="92">
        <f t="shared" si="16"/>
        <v>0</v>
      </c>
      <c r="BH111" s="3"/>
    </row>
    <row r="112" spans="5:60" x14ac:dyDescent="0.25">
      <c r="E112" s="32"/>
      <c r="F112" t="s">
        <v>235</v>
      </c>
      <c r="G112" t="s">
        <v>209</v>
      </c>
      <c r="J112" s="92">
        <f t="shared" ref="J112:AP112" si="17">J$57 * J41 * J100 / hours_in_year / $H52</f>
        <v>0</v>
      </c>
      <c r="K112" s="92">
        <f t="shared" si="17"/>
        <v>13.110832581760411</v>
      </c>
      <c r="L112" s="92">
        <f t="shared" si="17"/>
        <v>0</v>
      </c>
      <c r="M112" s="92">
        <f t="shared" si="17"/>
        <v>0</v>
      </c>
      <c r="N112" s="92">
        <f t="shared" si="17"/>
        <v>5.2968031397718871</v>
      </c>
      <c r="O112" s="92">
        <f t="shared" si="17"/>
        <v>0</v>
      </c>
      <c r="P112" s="92">
        <f t="shared" si="17"/>
        <v>4.8087572815922776E-2</v>
      </c>
      <c r="Q112" s="92">
        <f t="shared" si="17"/>
        <v>0</v>
      </c>
      <c r="R112" s="92">
        <f t="shared" si="17"/>
        <v>0</v>
      </c>
      <c r="S112" s="92">
        <f t="shared" si="17"/>
        <v>1.4493496484424375</v>
      </c>
      <c r="T112" s="92">
        <f t="shared" si="17"/>
        <v>12.800070294212368</v>
      </c>
      <c r="U112" s="92">
        <f t="shared" si="17"/>
        <v>210.13367582944295</v>
      </c>
      <c r="V112" s="92">
        <f t="shared" si="17"/>
        <v>15.701887368362399</v>
      </c>
      <c r="W112" s="92">
        <f t="shared" si="17"/>
        <v>0</v>
      </c>
      <c r="X112" s="92">
        <f t="shared" si="17"/>
        <v>0</v>
      </c>
      <c r="Y112" s="92">
        <f t="shared" si="17"/>
        <v>0</v>
      </c>
      <c r="Z112" s="92">
        <f t="shared" si="17"/>
        <v>0</v>
      </c>
      <c r="AA112" s="92">
        <f t="shared" si="17"/>
        <v>0</v>
      </c>
      <c r="AB112" s="92">
        <f t="shared" si="17"/>
        <v>4.1036051671373137</v>
      </c>
      <c r="AC112" s="92">
        <f t="shared" si="17"/>
        <v>0</v>
      </c>
      <c r="AD112" s="92">
        <f t="shared" si="17"/>
        <v>0</v>
      </c>
      <c r="AE112" s="92">
        <f t="shared" si="17"/>
        <v>0</v>
      </c>
      <c r="AF112" s="92">
        <f t="shared" si="17"/>
        <v>0</v>
      </c>
      <c r="AG112" s="92">
        <f t="shared" si="17"/>
        <v>-0.69678055741886569</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236</v>
      </c>
      <c r="G113" s="37" t="s">
        <v>209</v>
      </c>
      <c r="H113" s="37"/>
      <c r="I113" s="37"/>
      <c r="J113" s="82">
        <f t="shared" ref="J113:AP113" si="18">J$57 * J42 * J101 / hours_in_year / $H53</f>
        <v>0</v>
      </c>
      <c r="K113" s="82">
        <f t="shared" si="18"/>
        <v>12.733804928667114</v>
      </c>
      <c r="L113" s="82">
        <f t="shared" si="18"/>
        <v>0</v>
      </c>
      <c r="M113" s="82">
        <f t="shared" si="18"/>
        <v>0</v>
      </c>
      <c r="N113" s="82">
        <f t="shared" si="18"/>
        <v>5.1444831979046057</v>
      </c>
      <c r="O113" s="82">
        <f t="shared" si="18"/>
        <v>0</v>
      </c>
      <c r="P113" s="82">
        <f t="shared" si="18"/>
        <v>4.6704720536429628E-2</v>
      </c>
      <c r="Q113" s="82">
        <f t="shared" si="18"/>
        <v>0</v>
      </c>
      <c r="R113" s="82">
        <f t="shared" si="18"/>
        <v>0</v>
      </c>
      <c r="S113" s="82">
        <f t="shared" si="18"/>
        <v>1.4076707624482672</v>
      </c>
      <c r="T113" s="82">
        <f t="shared" si="18"/>
        <v>12.431979218961361</v>
      </c>
      <c r="U113" s="82">
        <f t="shared" si="18"/>
        <v>204.09087068035876</v>
      </c>
      <c r="V113" s="82">
        <f t="shared" si="18"/>
        <v>0</v>
      </c>
      <c r="W113" s="82">
        <f t="shared" si="18"/>
        <v>0</v>
      </c>
      <c r="X113" s="82">
        <f t="shared" si="18"/>
        <v>0</v>
      </c>
      <c r="Y113" s="82">
        <f t="shared" si="18"/>
        <v>0</v>
      </c>
      <c r="Z113" s="82">
        <f t="shared" si="18"/>
        <v>0</v>
      </c>
      <c r="AA113" s="82">
        <f t="shared" si="18"/>
        <v>0</v>
      </c>
      <c r="AB113" s="82">
        <f t="shared" si="18"/>
        <v>3.9855979684534018</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626</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228</v>
      </c>
      <c r="G116" s="23" t="s">
        <v>343</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v>
      </c>
      <c r="T116" s="127">
        <f>'Pseudo-load coefficients'!T531</f>
        <v>0</v>
      </c>
      <c r="U116" s="127">
        <f>'Pseudo-load coefficients'!U531</f>
        <v>0</v>
      </c>
      <c r="V116" s="127">
        <f>'Pseudo-load coefficients'!V531</f>
        <v>0</v>
      </c>
      <c r="W116" s="127">
        <f>'Pseudo-load coefficients'!W531</f>
        <v>0</v>
      </c>
      <c r="X116" s="127">
        <f>'Pseudo-load coefficients'!X531</f>
        <v>0</v>
      </c>
      <c r="Y116" s="127">
        <f>'Pseudo-load coefficients'!Y531</f>
        <v>0</v>
      </c>
      <c r="Z116" s="127">
        <f>'Pseudo-load coefficients'!Z531</f>
        <v>0</v>
      </c>
      <c r="AA116" s="127">
        <f>'Pseudo-load coefficients'!AA531</f>
        <v>0</v>
      </c>
      <c r="AB116" s="127">
        <f>'Pseudo-load coefficients'!AB531</f>
        <v>0</v>
      </c>
      <c r="AC116" s="127">
        <f>'Pseudo-load coefficients'!AC531</f>
        <v>0</v>
      </c>
      <c r="AD116" s="127">
        <f>'Pseudo-load coefficients'!AD531</f>
        <v>0</v>
      </c>
      <c r="AE116" s="127">
        <f>'Pseudo-load coefficients'!AE531</f>
        <v>0</v>
      </c>
      <c r="AF116" s="127">
        <f>'Pseudo-load coefficients'!AF531</f>
        <v>0</v>
      </c>
      <c r="AG116" s="127">
        <f>'Pseudo-load coefficients'!AG531</f>
        <v>0</v>
      </c>
      <c r="AH116" s="127">
        <f>'Pseudo-load coefficients'!AH531</f>
        <v>0</v>
      </c>
      <c r="AI116" s="127">
        <f>'Pseudo-load coefficients'!AI531</f>
        <v>0</v>
      </c>
      <c r="AJ116" s="127">
        <f>'Pseudo-load coefficients'!AJ531</f>
        <v>0</v>
      </c>
      <c r="AK116" s="127">
        <f>'Pseudo-load coefficients'!AK531</f>
        <v>0</v>
      </c>
      <c r="AL116" s="127">
        <f>'Pseudo-load coefficients'!AL531</f>
        <v>0</v>
      </c>
      <c r="AM116" s="127">
        <f>'Pseudo-load coefficients'!AM531</f>
        <v>0</v>
      </c>
      <c r="AN116" s="127">
        <f>'Pseudo-load coefficients'!AN531</f>
        <v>0</v>
      </c>
      <c r="AO116" s="127">
        <f>'Pseudo-load coefficients'!AO531</f>
        <v>0</v>
      </c>
      <c r="AP116" s="127">
        <f>'Pseudo-load coefficients'!AP531</f>
        <v>0</v>
      </c>
      <c r="BH116" s="3"/>
    </row>
    <row r="117" spans="5:60" x14ac:dyDescent="0.25">
      <c r="E117" s="32"/>
      <c r="F117" t="s">
        <v>229</v>
      </c>
      <c r="G117" t="s">
        <v>343</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3.7233628813073828E-2</v>
      </c>
      <c r="T117" s="123">
        <f>'Pseudo-load coefficients'!T532</f>
        <v>3.4623260880024327E-2</v>
      </c>
      <c r="U117" s="123">
        <f>'Pseudo-load coefficients'!U532</f>
        <v>2.8952601066176555E-2</v>
      </c>
      <c r="V117" s="123">
        <f>'Pseudo-load coefficients'!V532</f>
        <v>2.8366785366106956E-2</v>
      </c>
      <c r="W117" s="123">
        <f>'Pseudo-load coefficients'!W532</f>
        <v>2.5492312130674114E-2</v>
      </c>
      <c r="X117" s="123">
        <f>'Pseudo-load coefficients'!X532</f>
        <v>0</v>
      </c>
      <c r="Y117" s="123">
        <f>'Pseudo-load coefficients'!Y532</f>
        <v>0</v>
      </c>
      <c r="Z117" s="123">
        <f>'Pseudo-load coefficients'!Z532</f>
        <v>0</v>
      </c>
      <c r="AA117" s="123">
        <f>'Pseudo-load coefficients'!AA532</f>
        <v>0</v>
      </c>
      <c r="AB117" s="123">
        <f>'Pseudo-load coefficients'!AB532</f>
        <v>2.9385033625973882E-2</v>
      </c>
      <c r="AC117" s="123">
        <f>'Pseudo-load coefficients'!AC532</f>
        <v>0</v>
      </c>
      <c r="AD117" s="123">
        <f>'Pseudo-load coefficients'!AD532</f>
        <v>0</v>
      </c>
      <c r="AE117" s="123">
        <f>'Pseudo-load coefficients'!AE532</f>
        <v>0</v>
      </c>
      <c r="AF117" s="123">
        <f>'Pseudo-load coefficients'!AF532</f>
        <v>0</v>
      </c>
      <c r="AG117" s="123">
        <f>'Pseudo-load coefficients'!AG532</f>
        <v>2.4487189487901666E-2</v>
      </c>
      <c r="AH117" s="123">
        <f>'Pseudo-load coefficients'!AH532</f>
        <v>2.4487189487901666E-2</v>
      </c>
      <c r="AI117" s="123">
        <f>'Pseudo-load coefficients'!AI532</f>
        <v>0</v>
      </c>
      <c r="AJ117" s="123">
        <f>'Pseudo-load coefficients'!AJ532</f>
        <v>0</v>
      </c>
      <c r="AK117" s="123">
        <f>'Pseudo-load coefficients'!AK532</f>
        <v>2.4487189487901666E-2</v>
      </c>
      <c r="AL117" s="123">
        <f>'Pseudo-load coefficients'!AL532</f>
        <v>2.4487189487901666E-2</v>
      </c>
      <c r="AM117" s="123">
        <f>'Pseudo-load coefficients'!AM532</f>
        <v>0</v>
      </c>
      <c r="AN117" s="123">
        <f>'Pseudo-load coefficients'!AN532</f>
        <v>0</v>
      </c>
      <c r="AO117" s="123">
        <f>'Pseudo-load coefficients'!AO532</f>
        <v>2.4487189487901666E-2</v>
      </c>
      <c r="AP117" s="123">
        <f>'Pseudo-load coefficients'!AP532</f>
        <v>2.4487189487901666E-2</v>
      </c>
      <c r="BH117" s="3"/>
    </row>
    <row r="118" spans="5:60" x14ac:dyDescent="0.25">
      <c r="E118" s="32"/>
      <c r="F118" t="s">
        <v>230</v>
      </c>
      <c r="G118" t="s">
        <v>343</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3.7233628813073828E-2</v>
      </c>
      <c r="T118" s="123">
        <f>'Pseudo-load coefficients'!T533</f>
        <v>3.4623260880024327E-2</v>
      </c>
      <c r="U118" s="123">
        <f>'Pseudo-load coefficients'!U533</f>
        <v>2.8952601066176555E-2</v>
      </c>
      <c r="V118" s="123">
        <f>'Pseudo-load coefficients'!V533</f>
        <v>2.8366785366106956E-2</v>
      </c>
      <c r="W118" s="123">
        <f>'Pseudo-load coefficients'!W533</f>
        <v>2.5492312130674114E-2</v>
      </c>
      <c r="X118" s="123">
        <f>'Pseudo-load coefficients'!X533</f>
        <v>0</v>
      </c>
      <c r="Y118" s="123">
        <f>'Pseudo-load coefficients'!Y533</f>
        <v>0</v>
      </c>
      <c r="Z118" s="123">
        <f>'Pseudo-load coefficients'!Z533</f>
        <v>0</v>
      </c>
      <c r="AA118" s="123">
        <f>'Pseudo-load coefficients'!AA533</f>
        <v>0</v>
      </c>
      <c r="AB118" s="123">
        <f>'Pseudo-load coefficients'!AB533</f>
        <v>2.9385033625973882E-2</v>
      </c>
      <c r="AC118" s="123">
        <f>'Pseudo-load coefficients'!AC533</f>
        <v>0</v>
      </c>
      <c r="AD118" s="123">
        <f>'Pseudo-load coefficients'!AD533</f>
        <v>0</v>
      </c>
      <c r="AE118" s="123">
        <f>'Pseudo-load coefficients'!AE533</f>
        <v>0</v>
      </c>
      <c r="AF118" s="123">
        <f>'Pseudo-load coefficients'!AF533</f>
        <v>0</v>
      </c>
      <c r="AG118" s="123">
        <f>'Pseudo-load coefficients'!AG533</f>
        <v>2.4487189487901666E-2</v>
      </c>
      <c r="AH118" s="123">
        <f>'Pseudo-load coefficients'!AH533</f>
        <v>2.4487189487901666E-2</v>
      </c>
      <c r="AI118" s="123">
        <f>'Pseudo-load coefficients'!AI533</f>
        <v>0</v>
      </c>
      <c r="AJ118" s="123">
        <f>'Pseudo-load coefficients'!AJ533</f>
        <v>0</v>
      </c>
      <c r="AK118" s="123">
        <f>'Pseudo-load coefficients'!AK533</f>
        <v>2.4487189487901666E-2</v>
      </c>
      <c r="AL118" s="123">
        <f>'Pseudo-load coefficients'!AL533</f>
        <v>2.4487189487901666E-2</v>
      </c>
      <c r="AM118" s="123">
        <f>'Pseudo-load coefficients'!AM533</f>
        <v>0</v>
      </c>
      <c r="AN118" s="123">
        <f>'Pseudo-load coefficients'!AN533</f>
        <v>0</v>
      </c>
      <c r="AO118" s="123">
        <f>'Pseudo-load coefficients'!AO533</f>
        <v>2.4487189487901666E-2</v>
      </c>
      <c r="AP118" s="123">
        <f>'Pseudo-load coefficients'!AP533</f>
        <v>2.4487189487901666E-2</v>
      </c>
      <c r="BH118" s="3"/>
    </row>
    <row r="119" spans="5:60" x14ac:dyDescent="0.25">
      <c r="E119" s="32"/>
      <c r="F119" t="s">
        <v>231</v>
      </c>
      <c r="G119" t="s">
        <v>343</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0.10472743091525347</v>
      </c>
      <c r="T119" s="123">
        <f>'Pseudo-load coefficients'!T534</f>
        <v>9.7372341659800646E-2</v>
      </c>
      <c r="U119" s="123">
        <f>'Pseudo-load coefficients'!U534</f>
        <v>8.1429143539480206E-2</v>
      </c>
      <c r="V119" s="123">
        <f>'Pseudo-load coefficients'!V534</f>
        <v>7.9781537833187519E-2</v>
      </c>
      <c r="W119" s="123">
        <f>'Pseudo-load coefficients'!W534</f>
        <v>7.1697086520731895E-2</v>
      </c>
      <c r="X119" s="123">
        <f>'Pseudo-load coefficients'!X534</f>
        <v>0</v>
      </c>
      <c r="Y119" s="123">
        <f>'Pseudo-load coefficients'!Y534</f>
        <v>0</v>
      </c>
      <c r="Z119" s="123">
        <f>'Pseudo-load coefficients'!Z534</f>
        <v>0</v>
      </c>
      <c r="AA119" s="123">
        <f>'Pseudo-load coefficients'!AA534</f>
        <v>0</v>
      </c>
      <c r="AB119" s="123">
        <f>'Pseudo-load coefficients'!AB534</f>
        <v>8.264535941253412E-2</v>
      </c>
      <c r="AC119" s="123">
        <f>'Pseudo-load coefficients'!AC534</f>
        <v>0</v>
      </c>
      <c r="AD119" s="123">
        <f>'Pseudo-load coefficients'!AD534</f>
        <v>0</v>
      </c>
      <c r="AE119" s="123">
        <f>'Pseudo-load coefficients'!AE534</f>
        <v>0</v>
      </c>
      <c r="AF119" s="123">
        <f>'Pseudo-load coefficients'!AF534</f>
        <v>0</v>
      </c>
      <c r="AG119" s="123">
        <f>'Pseudo-load coefficients'!AG534</f>
        <v>6.8870180718174662E-2</v>
      </c>
      <c r="AH119" s="123">
        <f>'Pseudo-load coefficients'!AH534</f>
        <v>6.8870180718174662E-2</v>
      </c>
      <c r="AI119" s="123">
        <f>'Pseudo-load coefficients'!AI534</f>
        <v>0</v>
      </c>
      <c r="AJ119" s="123">
        <f>'Pseudo-load coefficients'!AJ534</f>
        <v>0</v>
      </c>
      <c r="AK119" s="123">
        <f>'Pseudo-load coefficients'!AK534</f>
        <v>6.8870180718174662E-2</v>
      </c>
      <c r="AL119" s="123">
        <f>'Pseudo-load coefficients'!AL534</f>
        <v>6.8870180718174662E-2</v>
      </c>
      <c r="AM119" s="123">
        <f>'Pseudo-load coefficients'!AM534</f>
        <v>0</v>
      </c>
      <c r="AN119" s="123">
        <f>'Pseudo-load coefficients'!AN534</f>
        <v>0</v>
      </c>
      <c r="AO119" s="123">
        <f>'Pseudo-load coefficients'!AO534</f>
        <v>6.8870180718174662E-2</v>
      </c>
      <c r="AP119" s="123">
        <f>'Pseudo-load coefficients'!AP534</f>
        <v>6.8870180718174662E-2</v>
      </c>
      <c r="BH119" s="3"/>
    </row>
    <row r="120" spans="5:60" x14ac:dyDescent="0.25">
      <c r="E120" s="32"/>
      <c r="F120" t="s">
        <v>232</v>
      </c>
      <c r="G120" t="s">
        <v>343</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0.10472743091525347</v>
      </c>
      <c r="T120" s="123">
        <f>'Pseudo-load coefficients'!T535</f>
        <v>9.7372341659800646E-2</v>
      </c>
      <c r="U120" s="123">
        <f>'Pseudo-load coefficients'!U535</f>
        <v>8.1429143539480206E-2</v>
      </c>
      <c r="V120" s="123">
        <f>'Pseudo-load coefficients'!V535</f>
        <v>7.9781537833187519E-2</v>
      </c>
      <c r="W120" s="123">
        <f>'Pseudo-load coefficients'!W535</f>
        <v>7.1697086520731895E-2</v>
      </c>
      <c r="X120" s="123">
        <f>'Pseudo-load coefficients'!X535</f>
        <v>0</v>
      </c>
      <c r="Y120" s="123">
        <f>'Pseudo-load coefficients'!Y535</f>
        <v>0</v>
      </c>
      <c r="Z120" s="123">
        <f>'Pseudo-load coefficients'!Z535</f>
        <v>0</v>
      </c>
      <c r="AA120" s="123">
        <f>'Pseudo-load coefficients'!AA535</f>
        <v>0</v>
      </c>
      <c r="AB120" s="123">
        <f>'Pseudo-load coefficients'!AB535</f>
        <v>8.264535941253412E-2</v>
      </c>
      <c r="AC120" s="123">
        <f>'Pseudo-load coefficients'!AC535</f>
        <v>0</v>
      </c>
      <c r="AD120" s="123">
        <f>'Pseudo-load coefficients'!AD535</f>
        <v>0</v>
      </c>
      <c r="AE120" s="123">
        <f>'Pseudo-load coefficients'!AE535</f>
        <v>0</v>
      </c>
      <c r="AF120" s="123">
        <f>'Pseudo-load coefficients'!AF535</f>
        <v>0</v>
      </c>
      <c r="AG120" s="123">
        <f>'Pseudo-load coefficients'!AG535</f>
        <v>6.8870180718174662E-2</v>
      </c>
      <c r="AH120" s="123">
        <f>'Pseudo-load coefficients'!AH535</f>
        <v>6.8870180718174662E-2</v>
      </c>
      <c r="AI120" s="123">
        <f>'Pseudo-load coefficients'!AI535</f>
        <v>0</v>
      </c>
      <c r="AJ120" s="123">
        <f>'Pseudo-load coefficients'!AJ535</f>
        <v>0</v>
      </c>
      <c r="AK120" s="123">
        <f>'Pseudo-load coefficients'!AK535</f>
        <v>6.8870180718174662E-2</v>
      </c>
      <c r="AL120" s="123">
        <f>'Pseudo-load coefficients'!AL535</f>
        <v>6.8870180718174662E-2</v>
      </c>
      <c r="AM120" s="123">
        <f>'Pseudo-load coefficients'!AM535</f>
        <v>0</v>
      </c>
      <c r="AN120" s="123">
        <f>'Pseudo-load coefficients'!AN535</f>
        <v>0</v>
      </c>
      <c r="AO120" s="123">
        <f>'Pseudo-load coefficients'!AO535</f>
        <v>6.8870180718174662E-2</v>
      </c>
      <c r="AP120" s="123">
        <f>'Pseudo-load coefficients'!AP535</f>
        <v>6.8870180718174662E-2</v>
      </c>
      <c r="BH120" s="3"/>
    </row>
    <row r="121" spans="5:60" x14ac:dyDescent="0.25">
      <c r="E121" s="32"/>
      <c r="F121" t="s">
        <v>233</v>
      </c>
      <c r="G121" t="s">
        <v>343</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3.7233628813073828E-2</v>
      </c>
      <c r="T121" s="123">
        <f>'Pseudo-load coefficients'!T536</f>
        <v>3.4623260880024327E-2</v>
      </c>
      <c r="U121" s="123">
        <f>'Pseudo-load coefficients'!U536</f>
        <v>2.8952601066176555E-2</v>
      </c>
      <c r="V121" s="123">
        <f>'Pseudo-load coefficients'!V536</f>
        <v>2.8366785366106956E-2</v>
      </c>
      <c r="W121" s="123">
        <f>'Pseudo-load coefficients'!W536</f>
        <v>2.5492312130674114E-2</v>
      </c>
      <c r="X121" s="123">
        <f>'Pseudo-load coefficients'!X536</f>
        <v>0</v>
      </c>
      <c r="Y121" s="123">
        <f>'Pseudo-load coefficients'!Y536</f>
        <v>0</v>
      </c>
      <c r="Z121" s="123">
        <f>'Pseudo-load coefficients'!Z536</f>
        <v>0</v>
      </c>
      <c r="AA121" s="123">
        <f>'Pseudo-load coefficients'!AA536</f>
        <v>0</v>
      </c>
      <c r="AB121" s="123">
        <f>'Pseudo-load coefficients'!AB536</f>
        <v>2.9385033625973882E-2</v>
      </c>
      <c r="AC121" s="123">
        <f>'Pseudo-load coefficients'!AC536</f>
        <v>0</v>
      </c>
      <c r="AD121" s="123">
        <f>'Pseudo-load coefficients'!AD536</f>
        <v>0</v>
      </c>
      <c r="AE121" s="123">
        <f>'Pseudo-load coefficients'!AE536</f>
        <v>0</v>
      </c>
      <c r="AF121" s="123">
        <f>'Pseudo-load coefficients'!AF536</f>
        <v>0</v>
      </c>
      <c r="AG121" s="123">
        <f>'Pseudo-load coefficients'!AG536</f>
        <v>2.4487189487901666E-2</v>
      </c>
      <c r="AH121" s="123">
        <f>'Pseudo-load coefficients'!AH536</f>
        <v>2.4487189487901666E-2</v>
      </c>
      <c r="AI121" s="123">
        <f>'Pseudo-load coefficients'!AI536</f>
        <v>0</v>
      </c>
      <c r="AJ121" s="123">
        <f>'Pseudo-load coefficients'!AJ536</f>
        <v>0</v>
      </c>
      <c r="AK121" s="123">
        <f>'Pseudo-load coefficients'!AK536</f>
        <v>2.4487189487901666E-2</v>
      </c>
      <c r="AL121" s="123">
        <f>'Pseudo-load coefficients'!AL536</f>
        <v>2.4487189487901666E-2</v>
      </c>
      <c r="AM121" s="123">
        <f>'Pseudo-load coefficients'!AM536</f>
        <v>0</v>
      </c>
      <c r="AN121" s="123">
        <f>'Pseudo-load coefficients'!AN536</f>
        <v>0</v>
      </c>
      <c r="AO121" s="123">
        <f>'Pseudo-load coefficients'!AO536</f>
        <v>2.4487189487901666E-2</v>
      </c>
      <c r="AP121" s="123">
        <f>'Pseudo-load coefficients'!AP536</f>
        <v>2.4487189487901666E-2</v>
      </c>
      <c r="BH121" s="3"/>
    </row>
    <row r="122" spans="5:60" x14ac:dyDescent="0.25">
      <c r="E122" s="32"/>
      <c r="F122" t="s">
        <v>234</v>
      </c>
      <c r="G122" t="s">
        <v>343</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0.10472743091525347</v>
      </c>
      <c r="T122" s="123">
        <f>'Pseudo-load coefficients'!T537</f>
        <v>9.7372341659800646E-2</v>
      </c>
      <c r="U122" s="123">
        <f>'Pseudo-load coefficients'!U537</f>
        <v>8.1429143539480206E-2</v>
      </c>
      <c r="V122" s="123">
        <f>'Pseudo-load coefficients'!V537</f>
        <v>7.9781537833187519E-2</v>
      </c>
      <c r="W122" s="123">
        <f>'Pseudo-load coefficients'!W537</f>
        <v>7.1697086520731895E-2</v>
      </c>
      <c r="X122" s="123">
        <f>'Pseudo-load coefficients'!X537</f>
        <v>0</v>
      </c>
      <c r="Y122" s="123">
        <f>'Pseudo-load coefficients'!Y537</f>
        <v>0</v>
      </c>
      <c r="Z122" s="123">
        <f>'Pseudo-load coefficients'!Z537</f>
        <v>0</v>
      </c>
      <c r="AA122" s="123">
        <f>'Pseudo-load coefficients'!AA537</f>
        <v>0</v>
      </c>
      <c r="AB122" s="123">
        <f>'Pseudo-load coefficients'!AB537</f>
        <v>8.264535941253412E-2</v>
      </c>
      <c r="AC122" s="123">
        <f>'Pseudo-load coefficients'!AC537</f>
        <v>0</v>
      </c>
      <c r="AD122" s="123">
        <f>'Pseudo-load coefficients'!AD537</f>
        <v>0</v>
      </c>
      <c r="AE122" s="123">
        <f>'Pseudo-load coefficients'!AE537</f>
        <v>0</v>
      </c>
      <c r="AF122" s="123">
        <f>'Pseudo-load coefficients'!AF537</f>
        <v>0</v>
      </c>
      <c r="AG122" s="123">
        <f>'Pseudo-load coefficients'!AG537</f>
        <v>6.8870180718174662E-2</v>
      </c>
      <c r="AH122" s="123">
        <f>'Pseudo-load coefficients'!AH537</f>
        <v>6.8870180718174662E-2</v>
      </c>
      <c r="AI122" s="123">
        <f>'Pseudo-load coefficients'!AI537</f>
        <v>0</v>
      </c>
      <c r="AJ122" s="123">
        <f>'Pseudo-load coefficients'!AJ537</f>
        <v>0</v>
      </c>
      <c r="AK122" s="123">
        <f>'Pseudo-load coefficients'!AK537</f>
        <v>6.8870180718174662E-2</v>
      </c>
      <c r="AL122" s="123">
        <f>'Pseudo-load coefficients'!AL537</f>
        <v>6.8870180718174662E-2</v>
      </c>
      <c r="AM122" s="123">
        <f>'Pseudo-load coefficients'!AM537</f>
        <v>0</v>
      </c>
      <c r="AN122" s="123">
        <f>'Pseudo-load coefficients'!AN537</f>
        <v>0</v>
      </c>
      <c r="AO122" s="123">
        <f>'Pseudo-load coefficients'!AO537</f>
        <v>6.8870180718174662E-2</v>
      </c>
      <c r="AP122" s="123">
        <f>'Pseudo-load coefficients'!AP537</f>
        <v>6.8870180718174662E-2</v>
      </c>
      <c r="BH122" s="3"/>
    </row>
    <row r="123" spans="5:60" x14ac:dyDescent="0.25">
      <c r="E123" s="32"/>
      <c r="F123" t="s">
        <v>235</v>
      </c>
      <c r="G123" t="s">
        <v>343</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0.10472743091525347</v>
      </c>
      <c r="T123" s="123">
        <f>'Pseudo-load coefficients'!T538</f>
        <v>9.7372341659800646E-2</v>
      </c>
      <c r="U123" s="123">
        <f>'Pseudo-load coefficients'!U538</f>
        <v>8.1429143539480206E-2</v>
      </c>
      <c r="V123" s="123">
        <f>'Pseudo-load coefficients'!V538</f>
        <v>7.9781537833187519E-2</v>
      </c>
      <c r="W123" s="123">
        <f>'Pseudo-load coefficients'!W538</f>
        <v>7.1697086520731895E-2</v>
      </c>
      <c r="X123" s="123">
        <f>'Pseudo-load coefficients'!X538</f>
        <v>0</v>
      </c>
      <c r="Y123" s="123">
        <f>'Pseudo-load coefficients'!Y538</f>
        <v>0</v>
      </c>
      <c r="Z123" s="123">
        <f>'Pseudo-load coefficients'!Z538</f>
        <v>0</v>
      </c>
      <c r="AA123" s="123">
        <f>'Pseudo-load coefficients'!AA538</f>
        <v>0</v>
      </c>
      <c r="AB123" s="123">
        <f>'Pseudo-load coefficients'!AB538</f>
        <v>8.264535941253412E-2</v>
      </c>
      <c r="AC123" s="123">
        <f>'Pseudo-load coefficients'!AC538</f>
        <v>0</v>
      </c>
      <c r="AD123" s="123">
        <f>'Pseudo-load coefficients'!AD538</f>
        <v>0</v>
      </c>
      <c r="AE123" s="123">
        <f>'Pseudo-load coefficients'!AE538</f>
        <v>0</v>
      </c>
      <c r="AF123" s="123">
        <f>'Pseudo-load coefficients'!AF538</f>
        <v>0</v>
      </c>
      <c r="AG123" s="123">
        <f>'Pseudo-load coefficients'!AG538</f>
        <v>6.8870180718174662E-2</v>
      </c>
      <c r="AH123" s="123">
        <f>'Pseudo-load coefficients'!AH538</f>
        <v>6.8870180718174662E-2</v>
      </c>
      <c r="AI123" s="123">
        <f>'Pseudo-load coefficients'!AI538</f>
        <v>0</v>
      </c>
      <c r="AJ123" s="123">
        <f>'Pseudo-load coefficients'!AJ538</f>
        <v>0</v>
      </c>
      <c r="AK123" s="123">
        <f>'Pseudo-load coefficients'!AK538</f>
        <v>6.8870180718174662E-2</v>
      </c>
      <c r="AL123" s="123">
        <f>'Pseudo-load coefficients'!AL538</f>
        <v>6.8870180718174662E-2</v>
      </c>
      <c r="AM123" s="123">
        <f>'Pseudo-load coefficients'!AM538</f>
        <v>0</v>
      </c>
      <c r="AN123" s="123">
        <f>'Pseudo-load coefficients'!AN538</f>
        <v>0</v>
      </c>
      <c r="AO123" s="123">
        <f>'Pseudo-load coefficients'!AO538</f>
        <v>6.8870180718174662E-2</v>
      </c>
      <c r="AP123" s="123">
        <f>'Pseudo-load coefficients'!AP538</f>
        <v>6.8870180718174662E-2</v>
      </c>
      <c r="BH123" s="3"/>
    </row>
    <row r="124" spans="5:60" x14ac:dyDescent="0.25">
      <c r="E124" s="32"/>
      <c r="F124" s="37" t="s">
        <v>236</v>
      </c>
      <c r="G124" s="37" t="s">
        <v>343</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0.10472743091525347</v>
      </c>
      <c r="T124" s="128">
        <f>'Pseudo-load coefficients'!T539</f>
        <v>9.7372341659800646E-2</v>
      </c>
      <c r="U124" s="128">
        <f>'Pseudo-load coefficients'!U539</f>
        <v>8.1429143539480206E-2</v>
      </c>
      <c r="V124" s="128">
        <f>'Pseudo-load coefficients'!V539</f>
        <v>7.9781537833187519E-2</v>
      </c>
      <c r="W124" s="128">
        <f>'Pseudo-load coefficients'!W539</f>
        <v>7.1697086520731895E-2</v>
      </c>
      <c r="X124" s="128">
        <f>'Pseudo-load coefficients'!X539</f>
        <v>0</v>
      </c>
      <c r="Y124" s="128">
        <f>'Pseudo-load coefficients'!Y539</f>
        <v>0</v>
      </c>
      <c r="Z124" s="128">
        <f>'Pseudo-load coefficients'!Z539</f>
        <v>0</v>
      </c>
      <c r="AA124" s="128">
        <f>'Pseudo-load coefficients'!AA539</f>
        <v>0</v>
      </c>
      <c r="AB124" s="128">
        <f>'Pseudo-load coefficients'!AB539</f>
        <v>8.264535941253412E-2</v>
      </c>
      <c r="AC124" s="128">
        <f>'Pseudo-load coefficients'!AC539</f>
        <v>0</v>
      </c>
      <c r="AD124" s="128">
        <f>'Pseudo-load coefficients'!AD539</f>
        <v>0</v>
      </c>
      <c r="AE124" s="128">
        <f>'Pseudo-load coefficients'!AE539</f>
        <v>0</v>
      </c>
      <c r="AF124" s="128">
        <f>'Pseudo-load coefficients'!AF539</f>
        <v>0</v>
      </c>
      <c r="AG124" s="128">
        <f>'Pseudo-load coefficients'!AG539</f>
        <v>6.8870180718174662E-2</v>
      </c>
      <c r="AH124" s="128">
        <f>'Pseudo-load coefficients'!AH539</f>
        <v>6.8870180718174662E-2</v>
      </c>
      <c r="AI124" s="128">
        <f>'Pseudo-load coefficients'!AI539</f>
        <v>0</v>
      </c>
      <c r="AJ124" s="128">
        <f>'Pseudo-load coefficients'!AJ539</f>
        <v>0</v>
      </c>
      <c r="AK124" s="128">
        <f>'Pseudo-load coefficients'!AK539</f>
        <v>6.8870180718174662E-2</v>
      </c>
      <c r="AL124" s="128">
        <f>'Pseudo-load coefficients'!AL539</f>
        <v>6.8870180718174662E-2</v>
      </c>
      <c r="AM124" s="128">
        <f>'Pseudo-load coefficients'!AM539</f>
        <v>0</v>
      </c>
      <c r="AN124" s="128">
        <f>'Pseudo-load coefficients'!AN539</f>
        <v>0</v>
      </c>
      <c r="AO124" s="128">
        <f>'Pseudo-load coefficients'!AO539</f>
        <v>6.8870180718174662E-2</v>
      </c>
      <c r="AP124" s="128">
        <f>'Pseudo-load coefficients'!AP539</f>
        <v>6.8870180718174662E-2</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627</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628</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228</v>
      </c>
      <c r="G128" s="23" t="s">
        <v>209</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0</v>
      </c>
      <c r="T128" s="163">
        <f t="shared" si="19"/>
        <v>0</v>
      </c>
      <c r="U128" s="163">
        <f t="shared" si="19"/>
        <v>0</v>
      </c>
      <c r="V128" s="163">
        <f t="shared" si="19"/>
        <v>0</v>
      </c>
      <c r="W128" s="163">
        <f t="shared" si="19"/>
        <v>0</v>
      </c>
      <c r="X128" s="163">
        <f t="shared" si="19"/>
        <v>0</v>
      </c>
      <c r="Y128" s="163">
        <f t="shared" si="19"/>
        <v>0</v>
      </c>
      <c r="Z128" s="163">
        <f t="shared" si="19"/>
        <v>0</v>
      </c>
      <c r="AA128" s="163">
        <f t="shared" si="19"/>
        <v>0</v>
      </c>
      <c r="AB128" s="163">
        <f t="shared" si="19"/>
        <v>0</v>
      </c>
      <c r="AC128" s="163">
        <f t="shared" si="19"/>
        <v>0</v>
      </c>
      <c r="AD128" s="163">
        <f t="shared" si="19"/>
        <v>0</v>
      </c>
      <c r="AE128" s="163">
        <f t="shared" si="19"/>
        <v>0</v>
      </c>
      <c r="AF128" s="163">
        <f t="shared" si="19"/>
        <v>0</v>
      </c>
      <c r="AG128" s="163">
        <f t="shared" si="19"/>
        <v>0</v>
      </c>
      <c r="AH128" s="163">
        <f t="shared" si="19"/>
        <v>0</v>
      </c>
      <c r="AI128" s="163">
        <f t="shared" si="19"/>
        <v>0</v>
      </c>
      <c r="AJ128" s="163">
        <f t="shared" si="19"/>
        <v>0</v>
      </c>
      <c r="AK128" s="163">
        <f t="shared" si="19"/>
        <v>0</v>
      </c>
      <c r="AL128" s="163">
        <f t="shared" si="19"/>
        <v>0</v>
      </c>
      <c r="AM128" s="163">
        <f t="shared" si="19"/>
        <v>0</v>
      </c>
      <c r="AN128" s="163">
        <f t="shared" si="19"/>
        <v>0</v>
      </c>
      <c r="AO128" s="163">
        <f t="shared" si="19"/>
        <v>0</v>
      </c>
      <c r="AP128" s="163">
        <f t="shared" si="19"/>
        <v>0</v>
      </c>
      <c r="BH128" s="3"/>
    </row>
    <row r="129" spans="3:60" x14ac:dyDescent="0.25">
      <c r="E129" s="32"/>
      <c r="F129" t="s">
        <v>229</v>
      </c>
      <c r="G129" t="s">
        <v>209</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6.3016782029498869E-2</v>
      </c>
      <c r="T129" s="92">
        <f t="shared" si="20"/>
        <v>0.35922340913209622</v>
      </c>
      <c r="U129" s="92">
        <f t="shared" si="20"/>
        <v>5.9169279967848913</v>
      </c>
      <c r="V129" s="92">
        <f t="shared" si="20"/>
        <v>0.47809299280735612</v>
      </c>
      <c r="W129" s="92">
        <f t="shared" si="20"/>
        <v>12.289235913182623</v>
      </c>
      <c r="X129" s="92">
        <f t="shared" si="20"/>
        <v>0</v>
      </c>
      <c r="Y129" s="92">
        <f t="shared" si="20"/>
        <v>0</v>
      </c>
      <c r="Z129" s="92">
        <f t="shared" si="20"/>
        <v>0</v>
      </c>
      <c r="AA129" s="92">
        <f t="shared" si="20"/>
        <v>0</v>
      </c>
      <c r="AB129" s="92">
        <f t="shared" si="20"/>
        <v>0.59952720152561367</v>
      </c>
      <c r="AC129" s="92">
        <f t="shared" si="20"/>
        <v>0</v>
      </c>
      <c r="AD129" s="92">
        <f t="shared" si="20"/>
        <v>0</v>
      </c>
      <c r="AE129" s="92">
        <f t="shared" si="20"/>
        <v>0</v>
      </c>
      <c r="AF129" s="92">
        <f t="shared" si="20"/>
        <v>0</v>
      </c>
      <c r="AG129" s="92">
        <f t="shared" si="20"/>
        <v>-2.682022952052544E-2</v>
      </c>
      <c r="AH129" s="92">
        <f t="shared" si="20"/>
        <v>0</v>
      </c>
      <c r="AI129" s="92">
        <f t="shared" si="20"/>
        <v>0</v>
      </c>
      <c r="AJ129" s="92">
        <f t="shared" si="20"/>
        <v>0</v>
      </c>
      <c r="AK129" s="92">
        <f t="shared" si="20"/>
        <v>-9.0466212238378418E-3</v>
      </c>
      <c r="AL129" s="92">
        <f t="shared" si="20"/>
        <v>0</v>
      </c>
      <c r="AM129" s="92">
        <f t="shared" si="20"/>
        <v>0</v>
      </c>
      <c r="AN129" s="92">
        <f t="shared" si="20"/>
        <v>0</v>
      </c>
      <c r="AO129" s="92">
        <f t="shared" si="20"/>
        <v>-1.1700377733466394</v>
      </c>
      <c r="AP129" s="92">
        <f t="shared" si="20"/>
        <v>0</v>
      </c>
      <c r="BH129" s="3"/>
    </row>
    <row r="130" spans="3:60" x14ac:dyDescent="0.25">
      <c r="E130" s="32"/>
      <c r="F130" t="s">
        <v>230</v>
      </c>
      <c r="G130" t="s">
        <v>209</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5.8113908776778883E-2</v>
      </c>
      <c r="T130" s="92">
        <f t="shared" si="21"/>
        <v>0.33127487244610376</v>
      </c>
      <c r="U130" s="92">
        <f t="shared" si="21"/>
        <v>5.4565752609037288</v>
      </c>
      <c r="V130" s="92">
        <f t="shared" si="21"/>
        <v>0.4408960863443957</v>
      </c>
      <c r="W130" s="92">
        <f t="shared" si="21"/>
        <v>11.333100672463665</v>
      </c>
      <c r="X130" s="92">
        <f t="shared" si="21"/>
        <v>0</v>
      </c>
      <c r="Y130" s="92">
        <f t="shared" si="21"/>
        <v>0</v>
      </c>
      <c r="Z130" s="92">
        <f t="shared" si="21"/>
        <v>0</v>
      </c>
      <c r="AA130" s="92">
        <f t="shared" si="21"/>
        <v>0</v>
      </c>
      <c r="AB130" s="92">
        <f t="shared" si="21"/>
        <v>0.55288239063599987</v>
      </c>
      <c r="AC130" s="92">
        <f t="shared" si="21"/>
        <v>0</v>
      </c>
      <c r="AD130" s="92">
        <f t="shared" si="21"/>
        <v>0</v>
      </c>
      <c r="AE130" s="92">
        <f t="shared" si="21"/>
        <v>0</v>
      </c>
      <c r="AF130" s="92">
        <f t="shared" si="21"/>
        <v>0</v>
      </c>
      <c r="AG130" s="92">
        <f t="shared" si="21"/>
        <v>-2.4733544327897861E-2</v>
      </c>
      <c r="AH130" s="92">
        <f t="shared" si="21"/>
        <v>0</v>
      </c>
      <c r="AI130" s="92">
        <f t="shared" si="21"/>
        <v>0</v>
      </c>
      <c r="AJ130" s="92">
        <f t="shared" si="21"/>
        <v>0</v>
      </c>
      <c r="AK130" s="92">
        <f t="shared" si="21"/>
        <v>-8.342770030594103E-3</v>
      </c>
      <c r="AL130" s="92">
        <f t="shared" si="21"/>
        <v>0</v>
      </c>
      <c r="AM130" s="92">
        <f t="shared" si="21"/>
        <v>0</v>
      </c>
      <c r="AN130" s="92">
        <f t="shared" si="21"/>
        <v>0</v>
      </c>
      <c r="AO130" s="92">
        <f t="shared" si="21"/>
        <v>-1.0790057225363023</v>
      </c>
      <c r="AP130" s="92">
        <f t="shared" si="21"/>
        <v>0</v>
      </c>
      <c r="BH130" s="3"/>
    </row>
    <row r="131" spans="3:60" x14ac:dyDescent="0.25">
      <c r="E131" s="32"/>
      <c r="F131" t="s">
        <v>231</v>
      </c>
      <c r="G131" t="s">
        <v>209</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0.16216801398053485</v>
      </c>
      <c r="T131" s="92">
        <f t="shared" si="22"/>
        <v>0.92430684094091453</v>
      </c>
      <c r="U131" s="92">
        <f t="shared" si="22"/>
        <v>15.225531287500953</v>
      </c>
      <c r="V131" s="92">
        <f t="shared" si="22"/>
        <v>1.2302363361999187</v>
      </c>
      <c r="W131" s="92">
        <f t="shared" si="22"/>
        <v>31.622853277463115</v>
      </c>
      <c r="X131" s="92">
        <f t="shared" si="22"/>
        <v>0</v>
      </c>
      <c r="Y131" s="92">
        <f t="shared" si="22"/>
        <v>0</v>
      </c>
      <c r="Z131" s="92">
        <f t="shared" si="22"/>
        <v>0</v>
      </c>
      <c r="AA131" s="92">
        <f t="shared" si="22"/>
        <v>0</v>
      </c>
      <c r="AB131" s="92">
        <f t="shared" si="22"/>
        <v>1.5427127336171931</v>
      </c>
      <c r="AC131" s="92">
        <f t="shared" si="22"/>
        <v>0</v>
      </c>
      <c r="AD131" s="92">
        <f t="shared" si="22"/>
        <v>0</v>
      </c>
      <c r="AE131" s="92">
        <f t="shared" si="22"/>
        <v>0</v>
      </c>
      <c r="AF131" s="92">
        <f t="shared" si="22"/>
        <v>0</v>
      </c>
      <c r="AG131" s="92">
        <f t="shared" si="22"/>
        <v>-6.9014232372711828E-2</v>
      </c>
      <c r="AH131" s="92">
        <f t="shared" si="22"/>
        <v>0</v>
      </c>
      <c r="AI131" s="92">
        <f t="shared" si="22"/>
        <v>0</v>
      </c>
      <c r="AJ131" s="92">
        <f t="shared" si="22"/>
        <v>0</v>
      </c>
      <c r="AK131" s="92">
        <f t="shared" si="22"/>
        <v>-2.3278906649625862E-2</v>
      </c>
      <c r="AL131" s="92">
        <f t="shared" si="22"/>
        <v>0</v>
      </c>
      <c r="AM131" s="92">
        <f t="shared" si="22"/>
        <v>0</v>
      </c>
      <c r="AN131" s="92">
        <f t="shared" si="22"/>
        <v>0</v>
      </c>
      <c r="AO131" s="92">
        <f t="shared" si="22"/>
        <v>-3.0107594236953914</v>
      </c>
      <c r="AP131" s="92">
        <f t="shared" si="22"/>
        <v>0</v>
      </c>
      <c r="BH131" s="3"/>
    </row>
    <row r="132" spans="3:60" x14ac:dyDescent="0.25">
      <c r="E132" s="32"/>
      <c r="F132" t="s">
        <v>232</v>
      </c>
      <c r="G132" t="s">
        <v>209</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0.16121408448653171</v>
      </c>
      <c r="T132" s="92">
        <f t="shared" si="23"/>
        <v>0.91886974187655623</v>
      </c>
      <c r="U132" s="92">
        <f t="shared" si="23"/>
        <v>15.135969338750948</v>
      </c>
      <c r="V132" s="92">
        <f t="shared" si="23"/>
        <v>1.2229996518693309</v>
      </c>
      <c r="W132" s="92">
        <f t="shared" si="23"/>
        <v>31.436836493478037</v>
      </c>
      <c r="X132" s="92">
        <f t="shared" si="23"/>
        <v>0</v>
      </c>
      <c r="Y132" s="92">
        <f t="shared" si="23"/>
        <v>0</v>
      </c>
      <c r="Z132" s="92">
        <f t="shared" si="23"/>
        <v>0</v>
      </c>
      <c r="AA132" s="92">
        <f t="shared" si="23"/>
        <v>0</v>
      </c>
      <c r="AB132" s="92">
        <f t="shared" si="23"/>
        <v>1.5336379528312096</v>
      </c>
      <c r="AC132" s="92">
        <f t="shared" si="23"/>
        <v>0</v>
      </c>
      <c r="AD132" s="92">
        <f t="shared" si="23"/>
        <v>0</v>
      </c>
      <c r="AE132" s="92">
        <f t="shared" si="23"/>
        <v>0</v>
      </c>
      <c r="AF132" s="92">
        <f t="shared" si="23"/>
        <v>0</v>
      </c>
      <c r="AG132" s="92">
        <f t="shared" si="23"/>
        <v>-6.8608266299931164E-2</v>
      </c>
      <c r="AH132" s="92">
        <f t="shared" si="23"/>
        <v>0</v>
      </c>
      <c r="AI132" s="92">
        <f t="shared" si="23"/>
        <v>0</v>
      </c>
      <c r="AJ132" s="92">
        <f t="shared" si="23"/>
        <v>0</v>
      </c>
      <c r="AK132" s="92">
        <f t="shared" si="23"/>
        <v>-2.3141971904628064E-2</v>
      </c>
      <c r="AL132" s="92">
        <f t="shared" si="23"/>
        <v>0</v>
      </c>
      <c r="AM132" s="92">
        <f t="shared" si="23"/>
        <v>0</v>
      </c>
      <c r="AN132" s="92">
        <f t="shared" si="23"/>
        <v>0</v>
      </c>
      <c r="AO132" s="92">
        <f t="shared" si="23"/>
        <v>-2.9930490741442424</v>
      </c>
      <c r="AP132" s="92">
        <f t="shared" si="23"/>
        <v>0</v>
      </c>
      <c r="BH132" s="3"/>
    </row>
    <row r="133" spans="3:60" x14ac:dyDescent="0.25">
      <c r="E133" s="32"/>
      <c r="F133" t="s">
        <v>233</v>
      </c>
      <c r="G133" t="s">
        <v>209</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4.6502354373997978E-3</v>
      </c>
      <c r="T133" s="92">
        <f t="shared" si="24"/>
        <v>2.6508389881090291E-2</v>
      </c>
      <c r="U133" s="92">
        <f t="shared" si="24"/>
        <v>0.43663143951577799</v>
      </c>
      <c r="V133" s="92">
        <f t="shared" si="24"/>
        <v>3.5280204826780397E-2</v>
      </c>
      <c r="W133" s="92">
        <f t="shared" si="24"/>
        <v>0.90686700433698031</v>
      </c>
      <c r="X133" s="92">
        <f t="shared" si="24"/>
        <v>0</v>
      </c>
      <c r="Y133" s="92">
        <f t="shared" si="24"/>
        <v>0</v>
      </c>
      <c r="Z133" s="92">
        <f t="shared" si="24"/>
        <v>0</v>
      </c>
      <c r="AA133" s="92">
        <f t="shared" si="24"/>
        <v>0</v>
      </c>
      <c r="AB133" s="92">
        <f t="shared" si="24"/>
        <v>4.4241272696445719E-2</v>
      </c>
      <c r="AC133" s="92">
        <f t="shared" si="24"/>
        <v>0</v>
      </c>
      <c r="AD133" s="92">
        <f t="shared" si="24"/>
        <v>0</v>
      </c>
      <c r="AE133" s="92">
        <f t="shared" si="24"/>
        <v>0</v>
      </c>
      <c r="AF133" s="92">
        <f t="shared" si="24"/>
        <v>0</v>
      </c>
      <c r="AG133" s="92">
        <f t="shared" si="24"/>
        <v>-1.9791613874723178E-3</v>
      </c>
      <c r="AH133" s="92">
        <f t="shared" si="24"/>
        <v>0</v>
      </c>
      <c r="AI133" s="92">
        <f t="shared" si="24"/>
        <v>0</v>
      </c>
      <c r="AJ133" s="92">
        <f t="shared" si="24"/>
        <v>0</v>
      </c>
      <c r="AK133" s="92">
        <f t="shared" si="24"/>
        <v>-6.6758278110949762E-4</v>
      </c>
      <c r="AL133" s="92">
        <f t="shared" si="24"/>
        <v>0</v>
      </c>
      <c r="AM133" s="92">
        <f t="shared" si="24"/>
        <v>0</v>
      </c>
      <c r="AN133" s="92">
        <f t="shared" si="24"/>
        <v>0</v>
      </c>
      <c r="AO133" s="92">
        <f t="shared" si="24"/>
        <v>-8.6341303720744167E-2</v>
      </c>
      <c r="AP133" s="92">
        <f t="shared" si="24"/>
        <v>0</v>
      </c>
      <c r="BH133" s="3"/>
    </row>
    <row r="134" spans="3:60" x14ac:dyDescent="0.25">
      <c r="E134" s="32"/>
      <c r="F134" t="s">
        <v>234</v>
      </c>
      <c r="G134" t="s">
        <v>209</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0.17160205510953561</v>
      </c>
      <c r="T134" s="92">
        <f t="shared" si="25"/>
        <v>0.97807791785809262</v>
      </c>
      <c r="U134" s="92">
        <f t="shared" si="25"/>
        <v>16.111268769581812</v>
      </c>
      <c r="V134" s="92">
        <f t="shared" si="25"/>
        <v>1.3018047047654631</v>
      </c>
      <c r="W134" s="92">
        <f t="shared" si="25"/>
        <v>33.462496565391362</v>
      </c>
      <c r="X134" s="92">
        <f t="shared" si="25"/>
        <v>0</v>
      </c>
      <c r="Y134" s="92">
        <f t="shared" si="25"/>
        <v>0</v>
      </c>
      <c r="Z134" s="92">
        <f t="shared" si="25"/>
        <v>0</v>
      </c>
      <c r="AA134" s="92">
        <f t="shared" si="25"/>
        <v>0</v>
      </c>
      <c r="AB134" s="92">
        <f t="shared" si="25"/>
        <v>1.6324592565099549</v>
      </c>
      <c r="AC134" s="92">
        <f t="shared" si="25"/>
        <v>0</v>
      </c>
      <c r="AD134" s="92">
        <f t="shared" si="25"/>
        <v>0</v>
      </c>
      <c r="AE134" s="92">
        <f t="shared" si="25"/>
        <v>0</v>
      </c>
      <c r="AF134" s="92">
        <f t="shared" si="25"/>
        <v>0</v>
      </c>
      <c r="AG134" s="92">
        <f t="shared" si="25"/>
        <v>-7.3029099982601473E-2</v>
      </c>
      <c r="AH134" s="92">
        <f t="shared" si="25"/>
        <v>0</v>
      </c>
      <c r="AI134" s="92">
        <f t="shared" si="25"/>
        <v>0</v>
      </c>
      <c r="AJ134" s="92">
        <f t="shared" si="25"/>
        <v>0</v>
      </c>
      <c r="AK134" s="92">
        <f t="shared" si="25"/>
        <v>-2.4633145117373887E-2</v>
      </c>
      <c r="AL134" s="92">
        <f t="shared" si="25"/>
        <v>0</v>
      </c>
      <c r="AM134" s="92">
        <f t="shared" si="25"/>
        <v>0</v>
      </c>
      <c r="AN134" s="92">
        <f t="shared" si="25"/>
        <v>0</v>
      </c>
      <c r="AO134" s="92">
        <f t="shared" si="25"/>
        <v>0</v>
      </c>
      <c r="AP134" s="92">
        <f t="shared" si="25"/>
        <v>0</v>
      </c>
      <c r="BH134" s="3"/>
    </row>
    <row r="135" spans="3:60" x14ac:dyDescent="0.25">
      <c r="E135" s="32"/>
      <c r="F135" t="s">
        <v>235</v>
      </c>
      <c r="G135" t="s">
        <v>209</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0.16979916818861404</v>
      </c>
      <c r="T135" s="92">
        <f t="shared" si="26"/>
        <v>0.96780202760361411</v>
      </c>
      <c r="U135" s="92">
        <f t="shared" si="26"/>
        <v>15.942000425297765</v>
      </c>
      <c r="V135" s="92">
        <f t="shared" si="26"/>
        <v>1.2881276734833047</v>
      </c>
      <c r="W135" s="92">
        <f t="shared" si="26"/>
        <v>0</v>
      </c>
      <c r="X135" s="92">
        <f t="shared" si="26"/>
        <v>0</v>
      </c>
      <c r="Y135" s="92">
        <f t="shared" si="26"/>
        <v>0</v>
      </c>
      <c r="Z135" s="92">
        <f t="shared" si="26"/>
        <v>0</v>
      </c>
      <c r="AA135" s="92">
        <f t="shared" si="26"/>
        <v>0</v>
      </c>
      <c r="AB135" s="92">
        <f t="shared" si="26"/>
        <v>1.6153082996602803</v>
      </c>
      <c r="AC135" s="92">
        <f t="shared" si="26"/>
        <v>0</v>
      </c>
      <c r="AD135" s="92">
        <f t="shared" si="26"/>
        <v>0</v>
      </c>
      <c r="AE135" s="92">
        <f t="shared" si="26"/>
        <v>0</v>
      </c>
      <c r="AF135" s="92">
        <f t="shared" si="26"/>
        <v>0</v>
      </c>
      <c r="AG135" s="92">
        <f t="shared" si="26"/>
        <v>-7.2261841052507297E-2</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236</v>
      </c>
      <c r="G136" s="37" t="s">
        <v>209</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0.16491626075461863</v>
      </c>
      <c r="T136" s="82">
        <f t="shared" si="27"/>
        <v>0.93997098599349149</v>
      </c>
      <c r="U136" s="82">
        <f t="shared" si="27"/>
        <v>15.483556999338365</v>
      </c>
      <c r="V136" s="82">
        <f t="shared" si="27"/>
        <v>0</v>
      </c>
      <c r="W136" s="82">
        <f t="shared" si="27"/>
        <v>0</v>
      </c>
      <c r="X136" s="82">
        <f t="shared" si="27"/>
        <v>0</v>
      </c>
      <c r="Y136" s="82">
        <f t="shared" si="27"/>
        <v>0</v>
      </c>
      <c r="Z136" s="82">
        <f t="shared" si="27"/>
        <v>0</v>
      </c>
      <c r="AA136" s="82">
        <f t="shared" si="27"/>
        <v>0</v>
      </c>
      <c r="AB136" s="82">
        <f t="shared" si="27"/>
        <v>1.5688569478147618</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629</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630</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228</v>
      </c>
      <c r="G142" s="23" t="s">
        <v>209</v>
      </c>
      <c r="H142" s="23"/>
      <c r="I142" s="23"/>
      <c r="J142" s="163">
        <f t="shared" ref="J142:AP142" si="28">J82 + J105 + J128</f>
        <v>1578.8794610865295</v>
      </c>
      <c r="K142" s="163">
        <f t="shared" si="28"/>
        <v>725.66666152611197</v>
      </c>
      <c r="L142" s="163">
        <f t="shared" si="28"/>
        <v>1.6600853917930207</v>
      </c>
      <c r="M142" s="163">
        <f t="shared" si="28"/>
        <v>261.72273982713921</v>
      </c>
      <c r="N142" s="163">
        <f t="shared" si="28"/>
        <v>391.7235586829409</v>
      </c>
      <c r="O142" s="163">
        <f t="shared" si="28"/>
        <v>7.1618752761740706E-2</v>
      </c>
      <c r="P142" s="163">
        <f t="shared" si="28"/>
        <v>3.8088351421973354</v>
      </c>
      <c r="Q142" s="163">
        <f t="shared" si="28"/>
        <v>8.0757465871776662E-5</v>
      </c>
      <c r="R142" s="163">
        <f t="shared" si="28"/>
        <v>0.64264741528174718</v>
      </c>
      <c r="S142" s="163">
        <f t="shared" si="28"/>
        <v>5.5056931280440438</v>
      </c>
      <c r="T142" s="163">
        <f t="shared" si="28"/>
        <v>38.902226308582236</v>
      </c>
      <c r="U142" s="163">
        <f t="shared" si="28"/>
        <v>633.92845638250594</v>
      </c>
      <c r="V142" s="163">
        <f t="shared" si="28"/>
        <v>48.815914163243249</v>
      </c>
      <c r="W142" s="163">
        <f t="shared" si="28"/>
        <v>1035.5337919948167</v>
      </c>
      <c r="X142" s="163">
        <f t="shared" si="28"/>
        <v>4.3376236308487801</v>
      </c>
      <c r="Y142" s="163">
        <f t="shared" si="28"/>
        <v>4.7279296725404443</v>
      </c>
      <c r="Z142" s="163">
        <f t="shared" si="28"/>
        <v>0.15147144476703325</v>
      </c>
      <c r="AA142" s="163">
        <f t="shared" si="28"/>
        <v>0.70342107061009485</v>
      </c>
      <c r="AB142" s="163">
        <f t="shared" si="28"/>
        <v>44.629886468734369</v>
      </c>
      <c r="AC142" s="163">
        <f t="shared" si="28"/>
        <v>-0.17976913844246573</v>
      </c>
      <c r="AD142" s="163">
        <f t="shared" si="28"/>
        <v>0</v>
      </c>
      <c r="AE142" s="163">
        <f t="shared" si="28"/>
        <v>-3.8271301219398182</v>
      </c>
      <c r="AF142" s="163">
        <f t="shared" si="28"/>
        <v>0</v>
      </c>
      <c r="AG142" s="163">
        <f t="shared" si="28"/>
        <v>-2.1347666459569883</v>
      </c>
      <c r="AH142" s="163">
        <f t="shared" si="28"/>
        <v>0</v>
      </c>
      <c r="AI142" s="163">
        <f t="shared" si="28"/>
        <v>-0.43074567753664394</v>
      </c>
      <c r="AJ142" s="163">
        <f t="shared" si="28"/>
        <v>0</v>
      </c>
      <c r="AK142" s="163">
        <f t="shared" si="28"/>
        <v>-0.56234454358369579</v>
      </c>
      <c r="AL142" s="163">
        <f t="shared" si="28"/>
        <v>0</v>
      </c>
      <c r="AM142" s="163">
        <f t="shared" si="28"/>
        <v>-54.512724845609604</v>
      </c>
      <c r="AN142" s="163">
        <f t="shared" si="28"/>
        <v>0</v>
      </c>
      <c r="AO142" s="163">
        <f t="shared" si="28"/>
        <v>-116.29680632498402</v>
      </c>
      <c r="AP142" s="163">
        <f t="shared" si="28"/>
        <v>0</v>
      </c>
      <c r="BH142" s="3"/>
    </row>
    <row r="143" spans="3:60" x14ac:dyDescent="0.25">
      <c r="C143" s="32"/>
      <c r="F143" t="s">
        <v>229</v>
      </c>
      <c r="G143" t="s">
        <v>209</v>
      </c>
      <c r="J143" s="92">
        <f t="shared" ref="J143:AP143" si="29">J83 + J106 + J129</f>
        <v>1530.231174214872</v>
      </c>
      <c r="K143" s="92">
        <f t="shared" si="29"/>
        <v>707.003715628603</v>
      </c>
      <c r="L143" s="92">
        <f t="shared" si="29"/>
        <v>1.837536597137543</v>
      </c>
      <c r="M143" s="92">
        <f t="shared" si="29"/>
        <v>265.62963943416668</v>
      </c>
      <c r="N143" s="92">
        <f t="shared" si="29"/>
        <v>394.5461791496744</v>
      </c>
      <c r="O143" s="92">
        <f t="shared" si="29"/>
        <v>9.0109696536649159E-2</v>
      </c>
      <c r="P143" s="92">
        <f t="shared" si="29"/>
        <v>3.8232575233604082</v>
      </c>
      <c r="Q143" s="92">
        <f t="shared" si="29"/>
        <v>8.0727933415370307E-5</v>
      </c>
      <c r="R143" s="92">
        <f t="shared" si="29"/>
        <v>0.6489927626144939</v>
      </c>
      <c r="S143" s="92">
        <f t="shared" si="29"/>
        <v>5.4035419372055076</v>
      </c>
      <c r="T143" s="92">
        <f t="shared" si="29"/>
        <v>39.090455841833574</v>
      </c>
      <c r="U143" s="92">
        <f t="shared" si="29"/>
        <v>637.7192932997483</v>
      </c>
      <c r="V143" s="92">
        <f t="shared" si="29"/>
        <v>48.942941616512584</v>
      </c>
      <c r="W143" s="92">
        <f t="shared" si="29"/>
        <v>1038.9623508595091</v>
      </c>
      <c r="X143" s="92">
        <f t="shared" si="29"/>
        <v>4.3232481383567292</v>
      </c>
      <c r="Y143" s="92">
        <f t="shared" si="29"/>
        <v>4.6284402635215143</v>
      </c>
      <c r="Z143" s="92">
        <f t="shared" si="29"/>
        <v>0.14706797827545809</v>
      </c>
      <c r="AA143" s="92">
        <f t="shared" si="29"/>
        <v>0.72827507554062954</v>
      </c>
      <c r="AB143" s="92">
        <f t="shared" si="29"/>
        <v>43.74090127567468</v>
      </c>
      <c r="AC143" s="92">
        <f t="shared" si="29"/>
        <v>-0.17923144411013534</v>
      </c>
      <c r="AD143" s="92">
        <f t="shared" si="29"/>
        <v>0</v>
      </c>
      <c r="AE143" s="92">
        <f t="shared" si="29"/>
        <v>-3.8156830727216535</v>
      </c>
      <c r="AF143" s="92">
        <f t="shared" si="29"/>
        <v>0</v>
      </c>
      <c r="AG143" s="92">
        <f t="shared" si="29"/>
        <v>-2.1501888671805629</v>
      </c>
      <c r="AH143" s="92">
        <f t="shared" si="29"/>
        <v>0</v>
      </c>
      <c r="AI143" s="92">
        <f t="shared" si="29"/>
        <v>-0.42945730561978462</v>
      </c>
      <c r="AJ143" s="92">
        <f t="shared" si="29"/>
        <v>0</v>
      </c>
      <c r="AK143" s="92">
        <f t="shared" si="29"/>
        <v>-0.55773226188872127</v>
      </c>
      <c r="AL143" s="92">
        <f t="shared" si="29"/>
        <v>0</v>
      </c>
      <c r="AM143" s="92">
        <f t="shared" si="29"/>
        <v>-54.349675818155141</v>
      </c>
      <c r="AN143" s="92">
        <f t="shared" si="29"/>
        <v>0</v>
      </c>
      <c r="AO143" s="92">
        <f t="shared" si="29"/>
        <v>-112.23023297305471</v>
      </c>
      <c r="AP143" s="92">
        <f t="shared" si="29"/>
        <v>0</v>
      </c>
      <c r="BH143" s="3"/>
    </row>
    <row r="144" spans="3:60" x14ac:dyDescent="0.25">
      <c r="C144" s="32"/>
      <c r="F144" t="s">
        <v>230</v>
      </c>
      <c r="G144" t="s">
        <v>209</v>
      </c>
      <c r="J144" s="92">
        <f t="shared" ref="J144:AP144" si="30">J84 + J107 + J130</f>
        <v>1411.1751187815053</v>
      </c>
      <c r="K144" s="92">
        <f t="shared" si="30"/>
        <v>651.99694607781123</v>
      </c>
      <c r="L144" s="92">
        <f t="shared" si="30"/>
        <v>1.6945713624357388</v>
      </c>
      <c r="M144" s="92">
        <f t="shared" si="30"/>
        <v>244.96294696958188</v>
      </c>
      <c r="N144" s="92">
        <f t="shared" si="30"/>
        <v>363.8494370054899</v>
      </c>
      <c r="O144" s="92">
        <f t="shared" si="30"/>
        <v>8.3098922474059922E-2</v>
      </c>
      <c r="P144" s="92">
        <f t="shared" si="30"/>
        <v>3.5257979190161337</v>
      </c>
      <c r="Q144" s="92">
        <f t="shared" si="30"/>
        <v>7.4447085477049674E-5</v>
      </c>
      <c r="R144" s="92">
        <f t="shared" si="30"/>
        <v>0.59849939950461717</v>
      </c>
      <c r="S144" s="92">
        <f t="shared" si="30"/>
        <v>4.9831320022539893</v>
      </c>
      <c r="T144" s="92">
        <f t="shared" si="30"/>
        <v>36.049114405296223</v>
      </c>
      <c r="U144" s="92">
        <f t="shared" si="30"/>
        <v>588.10303608751565</v>
      </c>
      <c r="V144" s="92">
        <f t="shared" si="30"/>
        <v>45.135050581253019</v>
      </c>
      <c r="W144" s="92">
        <f t="shared" si="30"/>
        <v>958.12831655055857</v>
      </c>
      <c r="X144" s="92">
        <f t="shared" si="30"/>
        <v>3.9868879343003178</v>
      </c>
      <c r="Y144" s="92">
        <f t="shared" si="30"/>
        <v>4.2683353003831375</v>
      </c>
      <c r="Z144" s="92">
        <f t="shared" si="30"/>
        <v>0.13562569839704711</v>
      </c>
      <c r="AA144" s="92">
        <f t="shared" si="30"/>
        <v>0.67161333761152797</v>
      </c>
      <c r="AB144" s="92">
        <f t="shared" si="30"/>
        <v>40.337742815219173</v>
      </c>
      <c r="AC144" s="92">
        <f t="shared" si="30"/>
        <v>-0.16528676104201859</v>
      </c>
      <c r="AD144" s="92">
        <f t="shared" si="30"/>
        <v>0</v>
      </c>
      <c r="AE144" s="92">
        <f t="shared" si="30"/>
        <v>-3.5188127807834508</v>
      </c>
      <c r="AF144" s="92">
        <f t="shared" si="30"/>
        <v>0</v>
      </c>
      <c r="AG144" s="92">
        <f t="shared" si="30"/>
        <v>-1.9828984542829162</v>
      </c>
      <c r="AH144" s="92">
        <f t="shared" si="30"/>
        <v>0</v>
      </c>
      <c r="AI144" s="92">
        <f t="shared" si="30"/>
        <v>-0.39604438498028283</v>
      </c>
      <c r="AJ144" s="92">
        <f t="shared" si="30"/>
        <v>0</v>
      </c>
      <c r="AK144" s="92">
        <f t="shared" si="30"/>
        <v>-0.51433920846823444</v>
      </c>
      <c r="AL144" s="92">
        <f t="shared" si="30"/>
        <v>0</v>
      </c>
      <c r="AM144" s="92">
        <f t="shared" si="30"/>
        <v>-50.121126481280129</v>
      </c>
      <c r="AN144" s="92">
        <f t="shared" si="30"/>
        <v>0</v>
      </c>
      <c r="AO144" s="92">
        <f t="shared" si="30"/>
        <v>-103.49842233993569</v>
      </c>
      <c r="AP144" s="92">
        <f t="shared" si="30"/>
        <v>0</v>
      </c>
      <c r="BH144" s="3"/>
    </row>
    <row r="145" spans="3:60" x14ac:dyDescent="0.25">
      <c r="C145" s="32"/>
      <c r="F145" t="s">
        <v>231</v>
      </c>
      <c r="G145" t="s">
        <v>209</v>
      </c>
      <c r="J145" s="92">
        <f t="shared" ref="J145:AP145" si="31">J85 + J108 + J131</f>
        <v>1353.2818459283958</v>
      </c>
      <c r="K145" s="92">
        <f t="shared" si="31"/>
        <v>631.3367117667882</v>
      </c>
      <c r="L145" s="92">
        <f t="shared" si="31"/>
        <v>1.8592415738998402</v>
      </c>
      <c r="M145" s="92">
        <f t="shared" si="31"/>
        <v>245.61719932020881</v>
      </c>
      <c r="N145" s="92">
        <f t="shared" si="31"/>
        <v>363.45199726898522</v>
      </c>
      <c r="O145" s="92">
        <f t="shared" si="31"/>
        <v>0.10308572033027093</v>
      </c>
      <c r="P145" s="92">
        <f t="shared" si="31"/>
        <v>3.5075840276119714</v>
      </c>
      <c r="Q145" s="92">
        <f t="shared" si="31"/>
        <v>7.3480673958179745E-5</v>
      </c>
      <c r="R145" s="92">
        <f t="shared" si="31"/>
        <v>0.59907958547363938</v>
      </c>
      <c r="S145" s="92">
        <f t="shared" si="31"/>
        <v>4.8545560485955734</v>
      </c>
      <c r="T145" s="92">
        <f t="shared" si="31"/>
        <v>35.876873640783479</v>
      </c>
      <c r="U145" s="92">
        <f t="shared" si="31"/>
        <v>585.95512019033572</v>
      </c>
      <c r="V145" s="92">
        <f t="shared" si="31"/>
        <v>44.841507798085338</v>
      </c>
      <c r="W145" s="92">
        <f t="shared" si="31"/>
        <v>954.20025655188817</v>
      </c>
      <c r="X145" s="92">
        <f t="shared" si="31"/>
        <v>3.9500131253989568</v>
      </c>
      <c r="Y145" s="92">
        <f t="shared" si="31"/>
        <v>3.805540649365116</v>
      </c>
      <c r="Z145" s="92">
        <f t="shared" si="31"/>
        <v>0.11880776122385617</v>
      </c>
      <c r="AA145" s="92">
        <f t="shared" si="31"/>
        <v>0.80110299216226444</v>
      </c>
      <c r="AB145" s="92">
        <f t="shared" si="31"/>
        <v>36.449058686682456</v>
      </c>
      <c r="AC145" s="92">
        <f t="shared" si="31"/>
        <v>-0.16398272347955686</v>
      </c>
      <c r="AD145" s="92">
        <f t="shared" si="31"/>
        <v>0</v>
      </c>
      <c r="AE145" s="92">
        <f t="shared" si="31"/>
        <v>-3.4910509442486704</v>
      </c>
      <c r="AF145" s="92">
        <f t="shared" si="31"/>
        <v>0</v>
      </c>
      <c r="AG145" s="92">
        <f t="shared" si="31"/>
        <v>-1.9833110361760062</v>
      </c>
      <c r="AH145" s="92">
        <f t="shared" si="31"/>
        <v>0</v>
      </c>
      <c r="AI145" s="92">
        <f t="shared" si="31"/>
        <v>-0.39291977444789394</v>
      </c>
      <c r="AJ145" s="92">
        <f t="shared" si="31"/>
        <v>0</v>
      </c>
      <c r="AK145" s="92">
        <f t="shared" si="31"/>
        <v>-0.5083216289500726</v>
      </c>
      <c r="AL145" s="92">
        <f t="shared" si="31"/>
        <v>0</v>
      </c>
      <c r="AM145" s="92">
        <f t="shared" si="31"/>
        <v>-49.72569353073748</v>
      </c>
      <c r="AN145" s="92">
        <f t="shared" si="31"/>
        <v>0</v>
      </c>
      <c r="AO145" s="92">
        <f t="shared" si="31"/>
        <v>-98.969786820587728</v>
      </c>
      <c r="AP145" s="92">
        <f t="shared" si="31"/>
        <v>0</v>
      </c>
      <c r="BH145" s="3"/>
    </row>
    <row r="146" spans="3:60" x14ac:dyDescent="0.25">
      <c r="C146" s="32"/>
      <c r="F146" t="s">
        <v>232</v>
      </c>
      <c r="G146" t="s">
        <v>209</v>
      </c>
      <c r="J146" s="92">
        <f t="shared" ref="J146:AP146" si="32">J86 + J109 + J132</f>
        <v>1345.3213644817583</v>
      </c>
      <c r="K146" s="92">
        <f t="shared" si="32"/>
        <v>627.62296640345414</v>
      </c>
      <c r="L146" s="92">
        <f t="shared" si="32"/>
        <v>1.848304858759253</v>
      </c>
      <c r="M146" s="92">
        <f t="shared" si="32"/>
        <v>244.17239226538405</v>
      </c>
      <c r="N146" s="92">
        <f t="shared" si="32"/>
        <v>361.31404434387355</v>
      </c>
      <c r="O146" s="92">
        <f t="shared" si="32"/>
        <v>0.10247933374009287</v>
      </c>
      <c r="P146" s="92">
        <f t="shared" si="32"/>
        <v>3.4869511803907249</v>
      </c>
      <c r="Q146" s="92">
        <f t="shared" si="32"/>
        <v>7.3048434699602211E-5</v>
      </c>
      <c r="R146" s="92">
        <f t="shared" si="32"/>
        <v>0.59555558791202978</v>
      </c>
      <c r="S146" s="92">
        <f t="shared" si="32"/>
        <v>4.8259998365450114</v>
      </c>
      <c r="T146" s="92">
        <f t="shared" si="32"/>
        <v>35.665833207602397</v>
      </c>
      <c r="U146" s="92">
        <f t="shared" si="32"/>
        <v>582.50832536568657</v>
      </c>
      <c r="V146" s="92">
        <f t="shared" si="32"/>
        <v>44.577734222802484</v>
      </c>
      <c r="W146" s="92">
        <f t="shared" si="32"/>
        <v>948.58731386628892</v>
      </c>
      <c r="X146" s="92">
        <f t="shared" si="32"/>
        <v>3.9267777540730804</v>
      </c>
      <c r="Y146" s="92">
        <f t="shared" si="32"/>
        <v>3.7831551161335564</v>
      </c>
      <c r="Z146" s="92">
        <f t="shared" si="32"/>
        <v>0.11810889204018643</v>
      </c>
      <c r="AA146" s="92">
        <f t="shared" si="32"/>
        <v>0.79639062162013341</v>
      </c>
      <c r="AB146" s="92">
        <f t="shared" si="32"/>
        <v>36.234652459113732</v>
      </c>
      <c r="AC146" s="92">
        <f t="shared" si="32"/>
        <v>-0.16301811922379478</v>
      </c>
      <c r="AD146" s="92">
        <f t="shared" si="32"/>
        <v>0</v>
      </c>
      <c r="AE146" s="92">
        <f t="shared" si="32"/>
        <v>-3.4705153504589723</v>
      </c>
      <c r="AF146" s="92">
        <f t="shared" si="32"/>
        <v>0</v>
      </c>
      <c r="AG146" s="92">
        <f t="shared" si="32"/>
        <v>-1.9716445006690884</v>
      </c>
      <c r="AH146" s="92">
        <f t="shared" si="32"/>
        <v>0</v>
      </c>
      <c r="AI146" s="92">
        <f t="shared" si="32"/>
        <v>-0.390608481657024</v>
      </c>
      <c r="AJ146" s="92">
        <f t="shared" si="32"/>
        <v>0</v>
      </c>
      <c r="AK146" s="92">
        <f t="shared" si="32"/>
        <v>-0.50533150172095465</v>
      </c>
      <c r="AL146" s="92">
        <f t="shared" si="32"/>
        <v>0</v>
      </c>
      <c r="AM146" s="92">
        <f t="shared" si="32"/>
        <v>-49.433189451144905</v>
      </c>
      <c r="AN146" s="92">
        <f t="shared" si="32"/>
        <v>0</v>
      </c>
      <c r="AO146" s="92">
        <f t="shared" si="32"/>
        <v>-98.387611603996035</v>
      </c>
      <c r="AP146" s="92">
        <f t="shared" si="32"/>
        <v>0</v>
      </c>
      <c r="BH146" s="3"/>
    </row>
    <row r="147" spans="3:60" x14ac:dyDescent="0.25">
      <c r="C147" s="32"/>
      <c r="F147" t="s">
        <v>233</v>
      </c>
      <c r="G147" t="s">
        <v>209</v>
      </c>
      <c r="H147" s="63"/>
      <c r="J147" s="92">
        <f t="shared" ref="J147:AP147" si="33">J87 + J110 + J133</f>
        <v>112.92127278757032</v>
      </c>
      <c r="K147" s="92">
        <f t="shared" si="33"/>
        <v>52.172351981579041</v>
      </c>
      <c r="L147" s="92">
        <f t="shared" si="33"/>
        <v>0.13559844737117868</v>
      </c>
      <c r="M147" s="92">
        <f t="shared" si="33"/>
        <v>19.601768334382147</v>
      </c>
      <c r="N147" s="92">
        <f t="shared" si="33"/>
        <v>29.114984372157345</v>
      </c>
      <c r="O147" s="92">
        <f t="shared" si="33"/>
        <v>6.6495192327008157E-3</v>
      </c>
      <c r="P147" s="92">
        <f t="shared" si="33"/>
        <v>0.28213195039241112</v>
      </c>
      <c r="Q147" s="92">
        <f t="shared" si="33"/>
        <v>5.9572051232396396E-6</v>
      </c>
      <c r="R147" s="92">
        <f t="shared" si="33"/>
        <v>4.789151470656134E-2</v>
      </c>
      <c r="S147" s="92">
        <f t="shared" si="33"/>
        <v>0.39874683210746026</v>
      </c>
      <c r="T147" s="92">
        <f t="shared" si="33"/>
        <v>2.8846256055206569</v>
      </c>
      <c r="U147" s="92">
        <f t="shared" si="33"/>
        <v>47.059604780006701</v>
      </c>
      <c r="V147" s="92">
        <f t="shared" si="33"/>
        <v>3.6116760359035127</v>
      </c>
      <c r="W147" s="92">
        <f t="shared" si="33"/>
        <v>76.668775943358213</v>
      </c>
      <c r="X147" s="92">
        <f t="shared" si="33"/>
        <v>0.31902805967223458</v>
      </c>
      <c r="Y147" s="92">
        <f t="shared" si="33"/>
        <v>0.34154928639866899</v>
      </c>
      <c r="Z147" s="92">
        <f t="shared" si="33"/>
        <v>1.0852676100838302E-2</v>
      </c>
      <c r="AA147" s="92">
        <f t="shared" si="33"/>
        <v>5.3742042284366742E-2</v>
      </c>
      <c r="AB147" s="92">
        <f t="shared" si="33"/>
        <v>3.2277987327364968</v>
      </c>
      <c r="AC147" s="92">
        <f t="shared" si="33"/>
        <v>-1.3226134151171616E-2</v>
      </c>
      <c r="AD147" s="92">
        <f t="shared" si="33"/>
        <v>0</v>
      </c>
      <c r="AE147" s="92">
        <f t="shared" si="33"/>
        <v>-0.28157300438398614</v>
      </c>
      <c r="AF147" s="92">
        <f t="shared" si="33"/>
        <v>0</v>
      </c>
      <c r="AG147" s="92">
        <f t="shared" si="33"/>
        <v>-0.15867018507204936</v>
      </c>
      <c r="AH147" s="92">
        <f t="shared" si="33"/>
        <v>0</v>
      </c>
      <c r="AI147" s="92">
        <f t="shared" si="33"/>
        <v>-3.1691202202430824E-2</v>
      </c>
      <c r="AJ147" s="92">
        <f t="shared" si="33"/>
        <v>0</v>
      </c>
      <c r="AK147" s="92">
        <f t="shared" si="33"/>
        <v>-4.115707348563101E-2</v>
      </c>
      <c r="AL147" s="92">
        <f t="shared" si="33"/>
        <v>0</v>
      </c>
      <c r="AM147" s="92">
        <f t="shared" si="33"/>
        <v>-4.0106584367076392</v>
      </c>
      <c r="AN147" s="92">
        <f t="shared" si="33"/>
        <v>0</v>
      </c>
      <c r="AO147" s="92">
        <f t="shared" si="33"/>
        <v>-8.2818733313711341</v>
      </c>
      <c r="AP147" s="92">
        <f t="shared" si="33"/>
        <v>0</v>
      </c>
      <c r="BH147" s="3"/>
    </row>
    <row r="148" spans="3:60" x14ac:dyDescent="0.25">
      <c r="C148" s="32"/>
      <c r="F148" t="s">
        <v>234</v>
      </c>
      <c r="G148" t="s">
        <v>209</v>
      </c>
      <c r="J148" s="92">
        <f t="shared" ref="J148:AP148" si="34">J88 + J111 + J134</f>
        <v>1432.008323981898</v>
      </c>
      <c r="K148" s="92">
        <f t="shared" si="34"/>
        <v>668.06440151805396</v>
      </c>
      <c r="L148" s="92">
        <f t="shared" si="34"/>
        <v>1.9674019999073054</v>
      </c>
      <c r="M148" s="92">
        <f t="shared" si="34"/>
        <v>259.90585405242348</v>
      </c>
      <c r="N148" s="92">
        <f t="shared" si="34"/>
        <v>384.59563100100252</v>
      </c>
      <c r="O148" s="92">
        <f t="shared" si="34"/>
        <v>0.10908267929608265</v>
      </c>
      <c r="P148" s="92">
        <f t="shared" si="34"/>
        <v>3.7116359313609406</v>
      </c>
      <c r="Q148" s="92">
        <f t="shared" si="34"/>
        <v>7.7755374518990531E-5</v>
      </c>
      <c r="R148" s="92">
        <f t="shared" si="34"/>
        <v>0.63393073342924933</v>
      </c>
      <c r="S148" s="92">
        <f t="shared" si="34"/>
        <v>5.1369673595646237</v>
      </c>
      <c r="T148" s="92">
        <f t="shared" si="34"/>
        <v>37.963992383865211</v>
      </c>
      <c r="U148" s="92">
        <f t="shared" si="34"/>
        <v>620.04275910220974</v>
      </c>
      <c r="V148" s="92">
        <f t="shared" si="34"/>
        <v>47.450139540374074</v>
      </c>
      <c r="W148" s="92">
        <f t="shared" si="34"/>
        <v>1009.7103676067978</v>
      </c>
      <c r="X148" s="92">
        <f t="shared" si="34"/>
        <v>4.1798031152398609</v>
      </c>
      <c r="Y148" s="92">
        <f t="shared" si="34"/>
        <v>4.0269260269310285</v>
      </c>
      <c r="Z148" s="92">
        <f t="shared" si="34"/>
        <v>0.12571934186370354</v>
      </c>
      <c r="AA148" s="92">
        <f t="shared" si="34"/>
        <v>0.84770674829836368</v>
      </c>
      <c r="AB148" s="92">
        <f t="shared" si="34"/>
        <v>38.569464001659057</v>
      </c>
      <c r="AC148" s="92">
        <f t="shared" si="34"/>
        <v>-0.17352233440392442</v>
      </c>
      <c r="AD148" s="92">
        <f t="shared" si="34"/>
        <v>0</v>
      </c>
      <c r="AE148" s="92">
        <f t="shared" si="34"/>
        <v>-3.694141044343453</v>
      </c>
      <c r="AF148" s="92">
        <f t="shared" si="34"/>
        <v>0</v>
      </c>
      <c r="AG148" s="92">
        <f t="shared" si="34"/>
        <v>-2.0986891395862846</v>
      </c>
      <c r="AH148" s="92">
        <f t="shared" si="34"/>
        <v>0</v>
      </c>
      <c r="AI148" s="92">
        <f t="shared" si="34"/>
        <v>-0.41577768101992651</v>
      </c>
      <c r="AJ148" s="92">
        <f t="shared" si="34"/>
        <v>0</v>
      </c>
      <c r="AK148" s="92">
        <f t="shared" si="34"/>
        <v>-0.53789297928338353</v>
      </c>
      <c r="AL148" s="92">
        <f t="shared" si="34"/>
        <v>0</v>
      </c>
      <c r="AM148" s="92">
        <f t="shared" si="34"/>
        <v>0</v>
      </c>
      <c r="AN148" s="92">
        <f t="shared" si="34"/>
        <v>0</v>
      </c>
      <c r="AO148" s="92">
        <f t="shared" si="34"/>
        <v>0</v>
      </c>
      <c r="AP148" s="92">
        <f t="shared" si="34"/>
        <v>0</v>
      </c>
      <c r="BH148" s="3"/>
    </row>
    <row r="149" spans="3:60" x14ac:dyDescent="0.25">
      <c r="C149" s="32"/>
      <c r="F149" t="s">
        <v>235</v>
      </c>
      <c r="G149" t="s">
        <v>209</v>
      </c>
      <c r="J149" s="92">
        <f t="shared" ref="J149:AP149" si="35">J89 + J112 + J135</f>
        <v>1416.9633463660425</v>
      </c>
      <c r="K149" s="92">
        <f t="shared" si="35"/>
        <v>661.04557781538108</v>
      </c>
      <c r="L149" s="92">
        <f t="shared" si="35"/>
        <v>1.9467320648557485</v>
      </c>
      <c r="M149" s="92">
        <f t="shared" si="35"/>
        <v>257.17522903372566</v>
      </c>
      <c r="N149" s="92">
        <f t="shared" si="35"/>
        <v>380.55498922353257</v>
      </c>
      <c r="O149" s="92">
        <f t="shared" si="35"/>
        <v>0.10793663395486307</v>
      </c>
      <c r="P149" s="92">
        <f t="shared" si="35"/>
        <v>3.672640711451705</v>
      </c>
      <c r="Q149" s="92">
        <f t="shared" si="35"/>
        <v>7.6938460364540787E-5</v>
      </c>
      <c r="R149" s="92">
        <f t="shared" si="35"/>
        <v>0</v>
      </c>
      <c r="S149" s="92">
        <f t="shared" si="35"/>
        <v>5.0829973108968014</v>
      </c>
      <c r="T149" s="92">
        <f t="shared" si="35"/>
        <v>37.565134775247714</v>
      </c>
      <c r="U149" s="92">
        <f t="shared" si="35"/>
        <v>613.52846077353331</v>
      </c>
      <c r="V149" s="92">
        <f t="shared" si="35"/>
        <v>46.951618494582178</v>
      </c>
      <c r="W149" s="92">
        <f t="shared" si="35"/>
        <v>0</v>
      </c>
      <c r="X149" s="92">
        <f t="shared" si="35"/>
        <v>4.1358892334178572</v>
      </c>
      <c r="Y149" s="92">
        <f t="shared" si="35"/>
        <v>3.9846183036299387</v>
      </c>
      <c r="Z149" s="92">
        <f t="shared" si="35"/>
        <v>0.12439850828156339</v>
      </c>
      <c r="AA149" s="92">
        <f t="shared" si="35"/>
        <v>0.83880056469637521</v>
      </c>
      <c r="AB149" s="92">
        <f t="shared" si="35"/>
        <v>38.164245182157394</v>
      </c>
      <c r="AC149" s="92">
        <f t="shared" si="35"/>
        <v>-0.17169927262890708</v>
      </c>
      <c r="AD149" s="92">
        <f t="shared" si="35"/>
        <v>0</v>
      </c>
      <c r="AE149" s="92">
        <f t="shared" si="35"/>
        <v>-3.655329629359902</v>
      </c>
      <c r="AF149" s="92">
        <f t="shared" si="35"/>
        <v>0</v>
      </c>
      <c r="AG149" s="92">
        <f t="shared" si="35"/>
        <v>-2.0766398745094468</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236</v>
      </c>
      <c r="G150" s="37" t="s">
        <v>209</v>
      </c>
      <c r="H150" s="37"/>
      <c r="I150" s="37"/>
      <c r="J150" s="82">
        <f t="shared" ref="J150:AP150" si="36">J90 + J113 + J136</f>
        <v>1376.215791878707</v>
      </c>
      <c r="K150" s="82">
        <f t="shared" si="36"/>
        <v>642.03591834202587</v>
      </c>
      <c r="L150" s="82">
        <f t="shared" si="36"/>
        <v>1.8907499739368909</v>
      </c>
      <c r="M150" s="82">
        <f t="shared" si="36"/>
        <v>249.77965194648493</v>
      </c>
      <c r="N150" s="82">
        <f t="shared" si="36"/>
        <v>369.61138563732703</v>
      </c>
      <c r="O150" s="82">
        <f t="shared" si="36"/>
        <v>0.10483270477805344</v>
      </c>
      <c r="P150" s="82">
        <f t="shared" si="36"/>
        <v>3.5670267392299948</v>
      </c>
      <c r="Q150" s="82">
        <f t="shared" si="36"/>
        <v>0</v>
      </c>
      <c r="R150" s="82">
        <f t="shared" si="36"/>
        <v>0</v>
      </c>
      <c r="S150" s="82">
        <f t="shared" si="36"/>
        <v>4.9368257741270414</v>
      </c>
      <c r="T150" s="82">
        <f t="shared" si="36"/>
        <v>36.484875797480846</v>
      </c>
      <c r="U150" s="82">
        <f t="shared" si="36"/>
        <v>595.88524900731841</v>
      </c>
      <c r="V150" s="82">
        <f t="shared" si="36"/>
        <v>0</v>
      </c>
      <c r="W150" s="82">
        <f t="shared" si="36"/>
        <v>0</v>
      </c>
      <c r="X150" s="82">
        <f t="shared" si="36"/>
        <v>4.016953643217529</v>
      </c>
      <c r="Y150" s="82">
        <f t="shared" si="36"/>
        <v>3.8700328051025465</v>
      </c>
      <c r="Z150" s="82">
        <f t="shared" si="36"/>
        <v>0.1208211856871956</v>
      </c>
      <c r="AA150" s="82">
        <f t="shared" si="36"/>
        <v>0.81467921265037546</v>
      </c>
      <c r="AB150" s="82">
        <f t="shared" si="36"/>
        <v>37.066757611984031</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631</v>
      </c>
      <c r="J152" s="63"/>
      <c r="K152" s="63"/>
      <c r="L152" s="63"/>
      <c r="M152" s="63"/>
      <c r="N152" s="63"/>
      <c r="O152" s="63"/>
      <c r="P152" s="63"/>
      <c r="Q152" s="63"/>
      <c r="R152" s="63"/>
      <c r="S152" s="63"/>
      <c r="BH152" s="3"/>
    </row>
    <row r="153" spans="3:60" x14ac:dyDescent="0.25">
      <c r="E153" s="29" t="s">
        <v>632</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228</v>
      </c>
      <c r="G154" s="23" t="s">
        <v>633</v>
      </c>
      <c r="H154" s="104">
        <f t="shared" ref="H154:H162" si="37">SUM(J142:AP142) * thousand</f>
        <v>4603467.8155488605</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229</v>
      </c>
      <c r="G155" t="s">
        <v>633</v>
      </c>
      <c r="H155" s="124">
        <f t="shared" si="37"/>
        <v>4553785.0002783444</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230</v>
      </c>
      <c r="G156" t="s">
        <v>633</v>
      </c>
      <c r="H156" s="124">
        <f t="shared" si="37"/>
        <v>4199488.4151869202</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231</v>
      </c>
      <c r="G157" t="s">
        <v>633</v>
      </c>
      <c r="H157" s="124">
        <f t="shared" si="37"/>
        <v>4115374.5896582603</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232</v>
      </c>
      <c r="G158" t="s">
        <v>633</v>
      </c>
      <c r="H158" s="124">
        <f t="shared" si="37"/>
        <v>4091166.5038367403</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233</v>
      </c>
      <c r="G159" t="s">
        <v>633</v>
      </c>
      <c r="H159" s="124">
        <f t="shared" si="37"/>
        <v>336040.20549131196</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234</v>
      </c>
      <c r="G160" t="s">
        <v>633</v>
      </c>
      <c r="H160" s="124">
        <f t="shared" si="37"/>
        <v>4512130.1617009128</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235</v>
      </c>
      <c r="G161" t="s">
        <v>633</v>
      </c>
      <c r="H161" s="124">
        <f t="shared" si="37"/>
        <v>3465939.0231573493</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236</v>
      </c>
      <c r="G162" s="37" t="s">
        <v>633</v>
      </c>
      <c r="H162" s="134">
        <f t="shared" si="37"/>
        <v>3326401.5522600589</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634</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635</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228</v>
      </c>
      <c r="G168" s="23" t="s">
        <v>209</v>
      </c>
      <c r="H168" s="132"/>
      <c r="I168" s="23"/>
      <c r="J168" s="163">
        <f t="shared" ref="J168:AP168" si="38">J142 * (1 - J23)</f>
        <v>1578.8794610865295</v>
      </c>
      <c r="K168" s="163">
        <f t="shared" si="38"/>
        <v>725.66666152611197</v>
      </c>
      <c r="L168" s="163">
        <f t="shared" si="38"/>
        <v>1.6600853917930207</v>
      </c>
      <c r="M168" s="163">
        <f t="shared" si="38"/>
        <v>261.72273982713921</v>
      </c>
      <c r="N168" s="163">
        <f t="shared" si="38"/>
        <v>391.7235586829409</v>
      </c>
      <c r="O168" s="163">
        <f t="shared" si="38"/>
        <v>7.1618752761740706E-2</v>
      </c>
      <c r="P168" s="163">
        <f t="shared" si="38"/>
        <v>3.8088351421973354</v>
      </c>
      <c r="Q168" s="163">
        <f t="shared" si="38"/>
        <v>8.0757465871776662E-5</v>
      </c>
      <c r="R168" s="163">
        <f t="shared" si="38"/>
        <v>0.64264741528174718</v>
      </c>
      <c r="S168" s="163">
        <f t="shared" si="38"/>
        <v>5.5056931280440438</v>
      </c>
      <c r="T168" s="163">
        <f t="shared" si="38"/>
        <v>38.902226308582236</v>
      </c>
      <c r="U168" s="163">
        <f t="shared" si="38"/>
        <v>633.92845638250594</v>
      </c>
      <c r="V168" s="163">
        <f t="shared" si="38"/>
        <v>48.815914163243249</v>
      </c>
      <c r="W168" s="163">
        <f t="shared" si="38"/>
        <v>1035.5337919948167</v>
      </c>
      <c r="X168" s="163">
        <f t="shared" si="38"/>
        <v>4.3376236308487801</v>
      </c>
      <c r="Y168" s="163">
        <f t="shared" si="38"/>
        <v>4.7279296725404443</v>
      </c>
      <c r="Z168" s="163">
        <f t="shared" si="38"/>
        <v>0.15147144476703325</v>
      </c>
      <c r="AA168" s="163">
        <f t="shared" si="38"/>
        <v>0.70342107061009485</v>
      </c>
      <c r="AB168" s="163">
        <f t="shared" si="38"/>
        <v>44.629886468734369</v>
      </c>
      <c r="AC168" s="163">
        <f t="shared" si="38"/>
        <v>-0.17976913844246573</v>
      </c>
      <c r="AD168" s="163">
        <f t="shared" si="38"/>
        <v>0</v>
      </c>
      <c r="AE168" s="163">
        <f t="shared" si="38"/>
        <v>-3.8271301219398182</v>
      </c>
      <c r="AF168" s="163">
        <f t="shared" si="38"/>
        <v>0</v>
      </c>
      <c r="AG168" s="163">
        <f t="shared" si="38"/>
        <v>-2.1347666459569883</v>
      </c>
      <c r="AH168" s="163">
        <f t="shared" si="38"/>
        <v>0</v>
      </c>
      <c r="AI168" s="163">
        <f t="shared" si="38"/>
        <v>-0.43074567753664394</v>
      </c>
      <c r="AJ168" s="163">
        <f t="shared" si="38"/>
        <v>0</v>
      </c>
      <c r="AK168" s="163">
        <f t="shared" si="38"/>
        <v>-0.56234454358369579</v>
      </c>
      <c r="AL168" s="163">
        <f t="shared" si="38"/>
        <v>0</v>
      </c>
      <c r="AM168" s="163">
        <f t="shared" si="38"/>
        <v>-54.512724845609604</v>
      </c>
      <c r="AN168" s="163">
        <f t="shared" si="38"/>
        <v>0</v>
      </c>
      <c r="AO168" s="163">
        <f t="shared" si="38"/>
        <v>-116.29680632498402</v>
      </c>
      <c r="AP168" s="163">
        <f t="shared" si="38"/>
        <v>0</v>
      </c>
      <c r="BH168" s="3"/>
    </row>
    <row r="169" spans="3:60" x14ac:dyDescent="0.25">
      <c r="C169" s="32"/>
      <c r="F169" t="s">
        <v>229</v>
      </c>
      <c r="G169" t="s">
        <v>209</v>
      </c>
      <c r="H169" s="63"/>
      <c r="J169" s="92">
        <f t="shared" ref="J169:AP169" si="39">J143 * (1 - J24)</f>
        <v>1530.231174214872</v>
      </c>
      <c r="K169" s="92">
        <f t="shared" si="39"/>
        <v>707.003715628603</v>
      </c>
      <c r="L169" s="92">
        <f t="shared" si="39"/>
        <v>1.837536597137543</v>
      </c>
      <c r="M169" s="92">
        <f t="shared" si="39"/>
        <v>265.62963943416668</v>
      </c>
      <c r="N169" s="92">
        <f t="shared" si="39"/>
        <v>394.5461791496744</v>
      </c>
      <c r="O169" s="92">
        <f t="shared" si="39"/>
        <v>9.0109696536649159E-2</v>
      </c>
      <c r="P169" s="92">
        <f t="shared" si="39"/>
        <v>3.8232575233604082</v>
      </c>
      <c r="Q169" s="92">
        <f t="shared" si="39"/>
        <v>8.0727933415370307E-5</v>
      </c>
      <c r="R169" s="92">
        <f t="shared" si="39"/>
        <v>0.6392521155555323</v>
      </c>
      <c r="S169" s="92">
        <f t="shared" si="39"/>
        <v>5.4035419372055076</v>
      </c>
      <c r="T169" s="92">
        <f t="shared" si="39"/>
        <v>39.090455841833574</v>
      </c>
      <c r="U169" s="92">
        <f t="shared" si="39"/>
        <v>637.7192932997483</v>
      </c>
      <c r="V169" s="92">
        <f t="shared" si="39"/>
        <v>48.942941616512584</v>
      </c>
      <c r="W169" s="92">
        <f t="shared" si="39"/>
        <v>1023.3687015150973</v>
      </c>
      <c r="X169" s="92">
        <f t="shared" si="39"/>
        <v>4.3232481383567292</v>
      </c>
      <c r="Y169" s="92">
        <f t="shared" si="39"/>
        <v>4.6284402635215143</v>
      </c>
      <c r="Z169" s="92">
        <f t="shared" si="39"/>
        <v>0.14706797827545809</v>
      </c>
      <c r="AA169" s="92">
        <f t="shared" si="39"/>
        <v>0.72827507554062954</v>
      </c>
      <c r="AB169" s="92">
        <f t="shared" si="39"/>
        <v>43.74090127567468</v>
      </c>
      <c r="AC169" s="92">
        <f t="shared" si="39"/>
        <v>-0.17923144411013534</v>
      </c>
      <c r="AD169" s="92">
        <f t="shared" si="39"/>
        <v>0</v>
      </c>
      <c r="AE169" s="92">
        <f t="shared" si="39"/>
        <v>-3.8156830727216535</v>
      </c>
      <c r="AF169" s="92">
        <f t="shared" si="39"/>
        <v>0</v>
      </c>
      <c r="AG169" s="92">
        <f t="shared" si="39"/>
        <v>-2.1501888671805629</v>
      </c>
      <c r="AH169" s="92">
        <f t="shared" si="39"/>
        <v>0</v>
      </c>
      <c r="AI169" s="92">
        <f t="shared" si="39"/>
        <v>-0.42945730561978462</v>
      </c>
      <c r="AJ169" s="92">
        <f t="shared" si="39"/>
        <v>0</v>
      </c>
      <c r="AK169" s="92">
        <f t="shared" si="39"/>
        <v>-0.55773226188872127</v>
      </c>
      <c r="AL169" s="92">
        <f t="shared" si="39"/>
        <v>0</v>
      </c>
      <c r="AM169" s="92">
        <f t="shared" si="39"/>
        <v>-54.349675818155141</v>
      </c>
      <c r="AN169" s="92">
        <f t="shared" si="39"/>
        <v>0</v>
      </c>
      <c r="AO169" s="92">
        <f t="shared" si="39"/>
        <v>-112.23023297305471</v>
      </c>
      <c r="AP169" s="92">
        <f t="shared" si="39"/>
        <v>0</v>
      </c>
      <c r="BH169" s="3"/>
    </row>
    <row r="170" spans="3:60" x14ac:dyDescent="0.25">
      <c r="C170" s="32"/>
      <c r="F170" t="s">
        <v>230</v>
      </c>
      <c r="G170" t="s">
        <v>209</v>
      </c>
      <c r="H170" s="63"/>
      <c r="J170" s="92">
        <f t="shared" ref="J170:AP170" si="40">J144 * (1 - J25)</f>
        <v>1411.1751187815053</v>
      </c>
      <c r="K170" s="92">
        <f t="shared" si="40"/>
        <v>651.99694607781123</v>
      </c>
      <c r="L170" s="92">
        <f t="shared" si="40"/>
        <v>1.6945713624357388</v>
      </c>
      <c r="M170" s="92">
        <f t="shared" si="40"/>
        <v>244.96294696958188</v>
      </c>
      <c r="N170" s="92">
        <f t="shared" si="40"/>
        <v>363.8494370054899</v>
      </c>
      <c r="O170" s="92">
        <f t="shared" si="40"/>
        <v>8.3098922474059922E-2</v>
      </c>
      <c r="P170" s="92">
        <f t="shared" si="40"/>
        <v>3.5257979190161337</v>
      </c>
      <c r="Q170" s="92">
        <f t="shared" si="40"/>
        <v>7.4447085477049674E-5</v>
      </c>
      <c r="R170" s="92">
        <f t="shared" si="40"/>
        <v>0.59849939950461717</v>
      </c>
      <c r="S170" s="92">
        <f t="shared" si="40"/>
        <v>4.9831320022539893</v>
      </c>
      <c r="T170" s="92">
        <f t="shared" si="40"/>
        <v>36.049114405296223</v>
      </c>
      <c r="U170" s="92">
        <f t="shared" si="40"/>
        <v>588.10303608751565</v>
      </c>
      <c r="V170" s="92">
        <f t="shared" si="40"/>
        <v>45.135050581253019</v>
      </c>
      <c r="W170" s="92">
        <f t="shared" si="40"/>
        <v>958.12831655055857</v>
      </c>
      <c r="X170" s="92">
        <f t="shared" si="40"/>
        <v>3.9868879343003178</v>
      </c>
      <c r="Y170" s="92">
        <f t="shared" si="40"/>
        <v>4.2683353003831375</v>
      </c>
      <c r="Z170" s="92">
        <f t="shared" si="40"/>
        <v>0.13562569839704711</v>
      </c>
      <c r="AA170" s="92">
        <f t="shared" si="40"/>
        <v>0.67161333761152797</v>
      </c>
      <c r="AB170" s="92">
        <f t="shared" si="40"/>
        <v>40.337742815219173</v>
      </c>
      <c r="AC170" s="92">
        <f t="shared" si="40"/>
        <v>-0.16528676104201859</v>
      </c>
      <c r="AD170" s="92">
        <f t="shared" si="40"/>
        <v>0</v>
      </c>
      <c r="AE170" s="92">
        <f t="shared" si="40"/>
        <v>-3.5188127807834508</v>
      </c>
      <c r="AF170" s="92">
        <f t="shared" si="40"/>
        <v>0</v>
      </c>
      <c r="AG170" s="92">
        <f t="shared" si="40"/>
        <v>-1.9828984542829162</v>
      </c>
      <c r="AH170" s="92">
        <f t="shared" si="40"/>
        <v>0</v>
      </c>
      <c r="AI170" s="92">
        <f t="shared" si="40"/>
        <v>-0.39604438498028283</v>
      </c>
      <c r="AJ170" s="92">
        <f t="shared" si="40"/>
        <v>0</v>
      </c>
      <c r="AK170" s="92">
        <f t="shared" si="40"/>
        <v>-0.51433920846823444</v>
      </c>
      <c r="AL170" s="92">
        <f t="shared" si="40"/>
        <v>0</v>
      </c>
      <c r="AM170" s="92">
        <f t="shared" si="40"/>
        <v>-50.121126481280129</v>
      </c>
      <c r="AN170" s="92">
        <f t="shared" si="40"/>
        <v>0</v>
      </c>
      <c r="AO170" s="92">
        <f t="shared" si="40"/>
        <v>-103.49842233993569</v>
      </c>
      <c r="AP170" s="92">
        <f t="shared" si="40"/>
        <v>0</v>
      </c>
      <c r="BH170" s="3"/>
    </row>
    <row r="171" spans="3:60" x14ac:dyDescent="0.25">
      <c r="C171" s="32"/>
      <c r="F171" t="s">
        <v>231</v>
      </c>
      <c r="G171" t="s">
        <v>209</v>
      </c>
      <c r="H171" s="63"/>
      <c r="J171" s="92">
        <f t="shared" ref="J171:AP171" si="41">J145 * (1 - J26)</f>
        <v>1353.2818459283958</v>
      </c>
      <c r="K171" s="92">
        <f t="shared" si="41"/>
        <v>631.3367117667882</v>
      </c>
      <c r="L171" s="92">
        <f t="shared" si="41"/>
        <v>1.8592415738998402</v>
      </c>
      <c r="M171" s="92">
        <f t="shared" si="41"/>
        <v>245.61719932020881</v>
      </c>
      <c r="N171" s="92">
        <f t="shared" si="41"/>
        <v>363.45199726898522</v>
      </c>
      <c r="O171" s="92">
        <f t="shared" si="41"/>
        <v>0.10308572033027093</v>
      </c>
      <c r="P171" s="92">
        <f t="shared" si="41"/>
        <v>3.5075840276119714</v>
      </c>
      <c r="Q171" s="92">
        <f t="shared" si="41"/>
        <v>7.3480673958179745E-5</v>
      </c>
      <c r="R171" s="92">
        <f t="shared" si="41"/>
        <v>0.47926366837891154</v>
      </c>
      <c r="S171" s="92">
        <f t="shared" si="41"/>
        <v>4.8545560485955734</v>
      </c>
      <c r="T171" s="92">
        <f t="shared" si="41"/>
        <v>35.876873640783479</v>
      </c>
      <c r="U171" s="92">
        <f t="shared" si="41"/>
        <v>585.95512019033572</v>
      </c>
      <c r="V171" s="92">
        <f t="shared" si="41"/>
        <v>44.841507798085338</v>
      </c>
      <c r="W171" s="92">
        <f t="shared" si="41"/>
        <v>763.36020524151058</v>
      </c>
      <c r="X171" s="92">
        <f t="shared" si="41"/>
        <v>3.9500131253989568</v>
      </c>
      <c r="Y171" s="92">
        <f t="shared" si="41"/>
        <v>3.805540649365116</v>
      </c>
      <c r="Z171" s="92">
        <f t="shared" si="41"/>
        <v>0.11880776122385617</v>
      </c>
      <c r="AA171" s="92">
        <f t="shared" si="41"/>
        <v>0.80110299216226444</v>
      </c>
      <c r="AB171" s="92">
        <f t="shared" si="41"/>
        <v>36.449058686682456</v>
      </c>
      <c r="AC171" s="92">
        <f t="shared" si="41"/>
        <v>-0.16398272347955686</v>
      </c>
      <c r="AD171" s="92">
        <f t="shared" si="41"/>
        <v>0</v>
      </c>
      <c r="AE171" s="92">
        <f t="shared" si="41"/>
        <v>-3.4910509442486704</v>
      </c>
      <c r="AF171" s="92">
        <f t="shared" si="41"/>
        <v>0</v>
      </c>
      <c r="AG171" s="92">
        <f t="shared" si="41"/>
        <v>-1.9833110361760062</v>
      </c>
      <c r="AH171" s="92">
        <f t="shared" si="41"/>
        <v>0</v>
      </c>
      <c r="AI171" s="92">
        <f t="shared" si="41"/>
        <v>-0.39291977444789394</v>
      </c>
      <c r="AJ171" s="92">
        <f t="shared" si="41"/>
        <v>0</v>
      </c>
      <c r="AK171" s="92">
        <f t="shared" si="41"/>
        <v>-0.5083216289500726</v>
      </c>
      <c r="AL171" s="92">
        <f t="shared" si="41"/>
        <v>0</v>
      </c>
      <c r="AM171" s="92">
        <f t="shared" si="41"/>
        <v>-49.72569353073748</v>
      </c>
      <c r="AN171" s="92">
        <f t="shared" si="41"/>
        <v>0</v>
      </c>
      <c r="AO171" s="92">
        <f t="shared" si="41"/>
        <v>-98.969786820587728</v>
      </c>
      <c r="AP171" s="92">
        <f t="shared" si="41"/>
        <v>0</v>
      </c>
      <c r="BH171" s="3"/>
    </row>
    <row r="172" spans="3:60" x14ac:dyDescent="0.25">
      <c r="C172" s="32"/>
      <c r="F172" t="s">
        <v>232</v>
      </c>
      <c r="G172" t="s">
        <v>209</v>
      </c>
      <c r="H172" s="63"/>
      <c r="J172" s="92">
        <f t="shared" ref="J172:AP172" si="42">J146 * (1 - J27)</f>
        <v>1345.3213644817583</v>
      </c>
      <c r="K172" s="92">
        <f t="shared" si="42"/>
        <v>627.62296640345414</v>
      </c>
      <c r="L172" s="92">
        <f t="shared" si="42"/>
        <v>1.848304858759253</v>
      </c>
      <c r="M172" s="92">
        <f t="shared" si="42"/>
        <v>244.17239226538405</v>
      </c>
      <c r="N172" s="92">
        <f t="shared" si="42"/>
        <v>361.31404434387355</v>
      </c>
      <c r="O172" s="92">
        <f t="shared" si="42"/>
        <v>0.10247933374009287</v>
      </c>
      <c r="P172" s="92">
        <f t="shared" si="42"/>
        <v>3.4869511803907249</v>
      </c>
      <c r="Q172" s="92">
        <f t="shared" si="42"/>
        <v>7.3048434699602211E-5</v>
      </c>
      <c r="R172" s="92">
        <f t="shared" si="42"/>
        <v>0</v>
      </c>
      <c r="S172" s="92">
        <f t="shared" si="42"/>
        <v>4.8259998365450114</v>
      </c>
      <c r="T172" s="92">
        <f t="shared" si="42"/>
        <v>35.665833207602397</v>
      </c>
      <c r="U172" s="92">
        <f t="shared" si="42"/>
        <v>582.50832536568657</v>
      </c>
      <c r="V172" s="92">
        <f t="shared" si="42"/>
        <v>44.577734222802484</v>
      </c>
      <c r="W172" s="92">
        <f t="shared" si="42"/>
        <v>0</v>
      </c>
      <c r="X172" s="92">
        <f t="shared" si="42"/>
        <v>3.9267777540730804</v>
      </c>
      <c r="Y172" s="92">
        <f t="shared" si="42"/>
        <v>3.7831551161335564</v>
      </c>
      <c r="Z172" s="92">
        <f t="shared" si="42"/>
        <v>0.11810889204018643</v>
      </c>
      <c r="AA172" s="92">
        <f t="shared" si="42"/>
        <v>0.79639062162013341</v>
      </c>
      <c r="AB172" s="92">
        <f t="shared" si="42"/>
        <v>36.234652459113732</v>
      </c>
      <c r="AC172" s="92">
        <f t="shared" si="42"/>
        <v>-0.16301811922379478</v>
      </c>
      <c r="AD172" s="92">
        <f t="shared" si="42"/>
        <v>0</v>
      </c>
      <c r="AE172" s="92">
        <f t="shared" si="42"/>
        <v>-3.4705153504589723</v>
      </c>
      <c r="AF172" s="92">
        <f t="shared" si="42"/>
        <v>0</v>
      </c>
      <c r="AG172" s="92">
        <f t="shared" si="42"/>
        <v>-1.9716445006690884</v>
      </c>
      <c r="AH172" s="92">
        <f t="shared" si="42"/>
        <v>0</v>
      </c>
      <c r="AI172" s="92">
        <f t="shared" si="42"/>
        <v>-0.390608481657024</v>
      </c>
      <c r="AJ172" s="92">
        <f t="shared" si="42"/>
        <v>0</v>
      </c>
      <c r="AK172" s="92">
        <f t="shared" si="42"/>
        <v>-0.50533150172095465</v>
      </c>
      <c r="AL172" s="92">
        <f t="shared" si="42"/>
        <v>0</v>
      </c>
      <c r="AM172" s="92">
        <f t="shared" si="42"/>
        <v>-49.433189451144905</v>
      </c>
      <c r="AN172" s="92">
        <f t="shared" si="42"/>
        <v>0</v>
      </c>
      <c r="AO172" s="92">
        <f t="shared" si="42"/>
        <v>-98.387611603996035</v>
      </c>
      <c r="AP172" s="92">
        <f t="shared" si="42"/>
        <v>0</v>
      </c>
      <c r="BH172" s="3"/>
    </row>
    <row r="173" spans="3:60" x14ac:dyDescent="0.25">
      <c r="C173" s="32"/>
      <c r="F173" t="s">
        <v>233</v>
      </c>
      <c r="G173" t="s">
        <v>209</v>
      </c>
      <c r="H173" s="63"/>
      <c r="J173" s="92">
        <f t="shared" ref="J173:AP173" si="43">J147 * (1 - J28)</f>
        <v>112.92127278757032</v>
      </c>
      <c r="K173" s="92">
        <f t="shared" si="43"/>
        <v>52.172351981579041</v>
      </c>
      <c r="L173" s="92">
        <f t="shared" si="43"/>
        <v>0.13559844737117868</v>
      </c>
      <c r="M173" s="92">
        <f t="shared" si="43"/>
        <v>19.601768334382147</v>
      </c>
      <c r="N173" s="92">
        <f t="shared" si="43"/>
        <v>29.114984372157345</v>
      </c>
      <c r="O173" s="92">
        <f t="shared" si="43"/>
        <v>6.6495192327008157E-3</v>
      </c>
      <c r="P173" s="92">
        <f t="shared" si="43"/>
        <v>0.28213195039241112</v>
      </c>
      <c r="Q173" s="92">
        <f t="shared" si="43"/>
        <v>5.9572051232396396E-6</v>
      </c>
      <c r="R173" s="92">
        <f t="shared" si="43"/>
        <v>0</v>
      </c>
      <c r="S173" s="92">
        <f t="shared" si="43"/>
        <v>0.39874683210746026</v>
      </c>
      <c r="T173" s="92">
        <f t="shared" si="43"/>
        <v>2.8846256055206569</v>
      </c>
      <c r="U173" s="92">
        <f t="shared" si="43"/>
        <v>47.059604780006701</v>
      </c>
      <c r="V173" s="92">
        <f t="shared" si="43"/>
        <v>3.6116760359035127</v>
      </c>
      <c r="W173" s="92">
        <f t="shared" si="43"/>
        <v>0</v>
      </c>
      <c r="X173" s="92">
        <f t="shared" si="43"/>
        <v>0.31902805967223458</v>
      </c>
      <c r="Y173" s="92">
        <f t="shared" si="43"/>
        <v>0.34154928639866899</v>
      </c>
      <c r="Z173" s="92">
        <f t="shared" si="43"/>
        <v>1.0852676100838302E-2</v>
      </c>
      <c r="AA173" s="92">
        <f t="shared" si="43"/>
        <v>5.3742042284366742E-2</v>
      </c>
      <c r="AB173" s="92">
        <f t="shared" si="43"/>
        <v>3.2277987327364968</v>
      </c>
      <c r="AC173" s="92">
        <f t="shared" si="43"/>
        <v>-1.3226134151171616E-2</v>
      </c>
      <c r="AD173" s="92">
        <f t="shared" si="43"/>
        <v>0</v>
      </c>
      <c r="AE173" s="92">
        <f t="shared" si="43"/>
        <v>-0.28157300438398614</v>
      </c>
      <c r="AF173" s="92">
        <f t="shared" si="43"/>
        <v>0</v>
      </c>
      <c r="AG173" s="92">
        <f t="shared" si="43"/>
        <v>-0.15867018507204936</v>
      </c>
      <c r="AH173" s="92">
        <f t="shared" si="43"/>
        <v>0</v>
      </c>
      <c r="AI173" s="92">
        <f t="shared" si="43"/>
        <v>-3.1691202202430824E-2</v>
      </c>
      <c r="AJ173" s="92">
        <f t="shared" si="43"/>
        <v>0</v>
      </c>
      <c r="AK173" s="92">
        <f t="shared" si="43"/>
        <v>-4.115707348563101E-2</v>
      </c>
      <c r="AL173" s="92">
        <f t="shared" si="43"/>
        <v>0</v>
      </c>
      <c r="AM173" s="92">
        <f t="shared" si="43"/>
        <v>-4.0106584367076392</v>
      </c>
      <c r="AN173" s="92">
        <f t="shared" si="43"/>
        <v>0</v>
      </c>
      <c r="AO173" s="92">
        <f t="shared" si="43"/>
        <v>-8.2818733313711341</v>
      </c>
      <c r="AP173" s="92">
        <f t="shared" si="43"/>
        <v>0</v>
      </c>
      <c r="BH173" s="3"/>
    </row>
    <row r="174" spans="3:60" x14ac:dyDescent="0.25">
      <c r="C174" s="32"/>
      <c r="F174" t="s">
        <v>234</v>
      </c>
      <c r="G174" t="s">
        <v>209</v>
      </c>
      <c r="H174" s="63"/>
      <c r="J174" s="92">
        <f t="shared" ref="J174:AP174" si="44">J148 * (1 - J29)</f>
        <v>1432.008323981898</v>
      </c>
      <c r="K174" s="92">
        <f t="shared" si="44"/>
        <v>668.06440151805396</v>
      </c>
      <c r="L174" s="92">
        <f t="shared" si="44"/>
        <v>1.9674019999073054</v>
      </c>
      <c r="M174" s="92">
        <f t="shared" si="44"/>
        <v>259.90585405242348</v>
      </c>
      <c r="N174" s="92">
        <f t="shared" si="44"/>
        <v>384.59563100100252</v>
      </c>
      <c r="O174" s="92">
        <f t="shared" si="44"/>
        <v>0.10908267929608265</v>
      </c>
      <c r="P174" s="92">
        <f t="shared" si="44"/>
        <v>3.7116359313609406</v>
      </c>
      <c r="Q174" s="92">
        <f t="shared" si="44"/>
        <v>7.7755374518990531E-5</v>
      </c>
      <c r="R174" s="92">
        <f t="shared" si="44"/>
        <v>0</v>
      </c>
      <c r="S174" s="92">
        <f t="shared" si="44"/>
        <v>5.1369673595646237</v>
      </c>
      <c r="T174" s="92">
        <f t="shared" si="44"/>
        <v>37.963992383865211</v>
      </c>
      <c r="U174" s="92">
        <f t="shared" si="44"/>
        <v>496.03420728176781</v>
      </c>
      <c r="V174" s="92">
        <f t="shared" si="44"/>
        <v>0</v>
      </c>
      <c r="W174" s="92">
        <f t="shared" si="44"/>
        <v>0</v>
      </c>
      <c r="X174" s="92">
        <f t="shared" si="44"/>
        <v>4.1798031152398609</v>
      </c>
      <c r="Y174" s="92">
        <f t="shared" si="44"/>
        <v>4.0269260269310285</v>
      </c>
      <c r="Z174" s="92">
        <f t="shared" si="44"/>
        <v>0.12571934186370354</v>
      </c>
      <c r="AA174" s="92">
        <f t="shared" si="44"/>
        <v>0.84770674829836368</v>
      </c>
      <c r="AB174" s="92">
        <f t="shared" si="44"/>
        <v>38.569464001659057</v>
      </c>
      <c r="AC174" s="92">
        <f t="shared" si="44"/>
        <v>-0.17352233440392442</v>
      </c>
      <c r="AD174" s="92">
        <f t="shared" si="44"/>
        <v>0</v>
      </c>
      <c r="AE174" s="92">
        <f t="shared" si="44"/>
        <v>-3.694141044343453</v>
      </c>
      <c r="AF174" s="92">
        <f t="shared" si="44"/>
        <v>0</v>
      </c>
      <c r="AG174" s="92">
        <f t="shared" si="44"/>
        <v>-2.0986891395862846</v>
      </c>
      <c r="AH174" s="92">
        <f t="shared" si="44"/>
        <v>0</v>
      </c>
      <c r="AI174" s="92">
        <f t="shared" si="44"/>
        <v>-0.41577768101992651</v>
      </c>
      <c r="AJ174" s="92">
        <f t="shared" si="44"/>
        <v>0</v>
      </c>
      <c r="AK174" s="92">
        <f t="shared" si="44"/>
        <v>-0.53789297928338353</v>
      </c>
      <c r="AL174" s="92">
        <f t="shared" si="44"/>
        <v>0</v>
      </c>
      <c r="AM174" s="92">
        <f t="shared" si="44"/>
        <v>0</v>
      </c>
      <c r="AN174" s="92">
        <f t="shared" si="44"/>
        <v>0</v>
      </c>
      <c r="AO174" s="92">
        <f t="shared" si="44"/>
        <v>0</v>
      </c>
      <c r="AP174" s="92">
        <f t="shared" si="44"/>
        <v>0</v>
      </c>
      <c r="BH174" s="3"/>
    </row>
    <row r="175" spans="3:60" x14ac:dyDescent="0.25">
      <c r="C175" s="32"/>
      <c r="F175" t="s">
        <v>235</v>
      </c>
      <c r="G175" t="s">
        <v>209</v>
      </c>
      <c r="H175" s="63"/>
      <c r="J175" s="92">
        <f t="shared" ref="J175:AP175" si="45">J149 * (1 - J30)</f>
        <v>1416.9633463660425</v>
      </c>
      <c r="K175" s="92">
        <f t="shared" si="45"/>
        <v>661.04557781538108</v>
      </c>
      <c r="L175" s="92">
        <f t="shared" si="45"/>
        <v>1.9467320648557485</v>
      </c>
      <c r="M175" s="92">
        <f t="shared" si="45"/>
        <v>257.17522903372566</v>
      </c>
      <c r="N175" s="92">
        <f t="shared" si="45"/>
        <v>380.55498922353257</v>
      </c>
      <c r="O175" s="92">
        <f t="shared" si="45"/>
        <v>0.10793663395486307</v>
      </c>
      <c r="P175" s="92">
        <f t="shared" si="45"/>
        <v>3.672640711451705</v>
      </c>
      <c r="Q175" s="92">
        <f t="shared" si="45"/>
        <v>0</v>
      </c>
      <c r="R175" s="92">
        <f t="shared" si="45"/>
        <v>0</v>
      </c>
      <c r="S175" s="92">
        <f t="shared" si="45"/>
        <v>5.0829973108968014</v>
      </c>
      <c r="T175" s="92">
        <f t="shared" si="45"/>
        <v>37.565134775247714</v>
      </c>
      <c r="U175" s="92">
        <f t="shared" si="45"/>
        <v>0</v>
      </c>
      <c r="V175" s="92">
        <f t="shared" si="45"/>
        <v>0</v>
      </c>
      <c r="W175" s="92">
        <f t="shared" si="45"/>
        <v>0</v>
      </c>
      <c r="X175" s="92">
        <f t="shared" si="45"/>
        <v>4.1358892334178572</v>
      </c>
      <c r="Y175" s="92">
        <f t="shared" si="45"/>
        <v>3.9846183036299387</v>
      </c>
      <c r="Z175" s="92">
        <f t="shared" si="45"/>
        <v>0.12439850828156339</v>
      </c>
      <c r="AA175" s="92">
        <f t="shared" si="45"/>
        <v>0.83880056469637521</v>
      </c>
      <c r="AB175" s="92">
        <f t="shared" si="45"/>
        <v>38.164245182157394</v>
      </c>
      <c r="AC175" s="92">
        <f t="shared" si="45"/>
        <v>-0.17169927262890708</v>
      </c>
      <c r="AD175" s="92">
        <f t="shared" si="45"/>
        <v>0</v>
      </c>
      <c r="AE175" s="92">
        <f t="shared" si="45"/>
        <v>-3.655329629359902</v>
      </c>
      <c r="AF175" s="92">
        <f t="shared" si="45"/>
        <v>0</v>
      </c>
      <c r="AG175" s="92">
        <f t="shared" si="45"/>
        <v>-2.0766398745094468</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236</v>
      </c>
      <c r="G176" s="37" t="s">
        <v>209</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4.016953643217529</v>
      </c>
      <c r="Y176" s="82">
        <f t="shared" si="46"/>
        <v>3.8700328051025465</v>
      </c>
      <c r="Z176" s="82">
        <f t="shared" si="46"/>
        <v>0.1208211856871956</v>
      </c>
      <c r="AA176" s="82">
        <f t="shared" si="46"/>
        <v>0.81467921265037546</v>
      </c>
      <c r="AB176" s="82">
        <f t="shared" si="46"/>
        <v>37.066757611984031</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102</v>
      </c>
      <c r="G177" s="111" t="s">
        <v>209</v>
      </c>
      <c r="H177" s="185"/>
      <c r="I177" s="111"/>
      <c r="J177" s="184">
        <f t="shared" ref="J177:AP177" si="47">SUM(J168:J176)</f>
        <v>10180.781907628572</v>
      </c>
      <c r="K177" s="184">
        <f t="shared" si="47"/>
        <v>4724.9093327177825</v>
      </c>
      <c r="L177" s="184">
        <f t="shared" si="47"/>
        <v>12.949472296159628</v>
      </c>
      <c r="M177" s="184">
        <f t="shared" si="47"/>
        <v>1798.7877692370118</v>
      </c>
      <c r="N177" s="184">
        <f t="shared" si="47"/>
        <v>2669.1508210476563</v>
      </c>
      <c r="O177" s="184">
        <f t="shared" si="47"/>
        <v>0.67406125832646013</v>
      </c>
      <c r="P177" s="184">
        <f t="shared" si="47"/>
        <v>25.818834385781631</v>
      </c>
      <c r="Q177" s="184">
        <f t="shared" si="47"/>
        <v>4.6617417306420877E-4</v>
      </c>
      <c r="R177" s="184">
        <f t="shared" si="47"/>
        <v>2.3596625987208082</v>
      </c>
      <c r="S177" s="184">
        <f t="shared" si="47"/>
        <v>36.191634455213006</v>
      </c>
      <c r="T177" s="184">
        <f t="shared" si="47"/>
        <v>263.99825616873147</v>
      </c>
      <c r="U177" s="184">
        <f t="shared" si="47"/>
        <v>3571.3080433875671</v>
      </c>
      <c r="V177" s="184">
        <f t="shared" si="47"/>
        <v>235.92482441780018</v>
      </c>
      <c r="W177" s="184">
        <f t="shared" si="47"/>
        <v>3780.3910153019833</v>
      </c>
      <c r="X177" s="184">
        <f t="shared" si="47"/>
        <v>33.17622463452534</v>
      </c>
      <c r="Y177" s="184">
        <f t="shared" si="47"/>
        <v>33.436527424005959</v>
      </c>
      <c r="Z177" s="184">
        <f t="shared" si="47"/>
        <v>1.0528734866368819</v>
      </c>
      <c r="AA177" s="184">
        <f t="shared" si="47"/>
        <v>6.2557316654741308</v>
      </c>
      <c r="AB177" s="184">
        <f t="shared" si="47"/>
        <v>318.42050723396142</v>
      </c>
      <c r="AC177" s="184">
        <f t="shared" si="47"/>
        <v>-1.2097359274819743</v>
      </c>
      <c r="AD177" s="184">
        <f t="shared" si="47"/>
        <v>0</v>
      </c>
      <c r="AE177" s="184">
        <f t="shared" si="47"/>
        <v>-25.754235948239906</v>
      </c>
      <c r="AF177" s="184">
        <f t="shared" si="47"/>
        <v>0</v>
      </c>
      <c r="AG177" s="184">
        <f t="shared" si="47"/>
        <v>-14.556808703433342</v>
      </c>
      <c r="AH177" s="184">
        <f t="shared" si="47"/>
        <v>0</v>
      </c>
      <c r="AI177" s="184">
        <f t="shared" si="47"/>
        <v>-2.4872445074639864</v>
      </c>
      <c r="AJ177" s="184">
        <f t="shared" si="47"/>
        <v>0</v>
      </c>
      <c r="AK177" s="184">
        <f t="shared" si="47"/>
        <v>-3.2271191973806932</v>
      </c>
      <c r="AL177" s="184">
        <f t="shared" si="47"/>
        <v>0</v>
      </c>
      <c r="AM177" s="184">
        <f t="shared" si="47"/>
        <v>-262.15306856363492</v>
      </c>
      <c r="AN177" s="184">
        <f t="shared" si="47"/>
        <v>0</v>
      </c>
      <c r="AO177" s="184">
        <f t="shared" si="47"/>
        <v>-537.66473339392928</v>
      </c>
      <c r="AP177" s="184">
        <f t="shared" si="47"/>
        <v>0</v>
      </c>
      <c r="BH177" s="3"/>
    </row>
    <row r="178" spans="2:60" x14ac:dyDescent="0.25">
      <c r="H178" s="181"/>
    </row>
    <row r="179" spans="2:60" x14ac:dyDescent="0.25">
      <c r="B179" s="30" t="s">
        <v>636</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637</v>
      </c>
      <c r="J181" s="63"/>
      <c r="K181" s="63"/>
      <c r="L181" s="63"/>
      <c r="M181" s="63"/>
      <c r="N181" s="63"/>
      <c r="O181" s="63"/>
      <c r="P181" s="63"/>
      <c r="Q181" s="63"/>
      <c r="R181" s="63"/>
      <c r="S181" s="63"/>
      <c r="BH181" s="3"/>
    </row>
    <row r="182" spans="2:60" x14ac:dyDescent="0.25">
      <c r="C182" s="29" t="s">
        <v>638</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639</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301</v>
      </c>
      <c r="G188" t="s">
        <v>302</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2079348.0494042593</v>
      </c>
      <c r="V188" s="123">
        <f>'Volume adjustments'!V114</f>
        <v>139408.40703008272</v>
      </c>
      <c r="W188" s="123">
        <f>'Volume adjustments'!W114</f>
        <v>2836286.6872894568</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303</v>
      </c>
      <c r="G189" t="s">
        <v>302</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42795.494899920915</v>
      </c>
      <c r="V189" s="123">
        <f>'Volume adjustments'!V125</f>
        <v>3005.9545846923684</v>
      </c>
      <c r="W189" s="123">
        <f>'Volume adjustments'!W125</f>
        <v>69142.948513646363</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640</v>
      </c>
      <c r="G191" t="s">
        <v>302</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2122143.5443041804</v>
      </c>
      <c r="V191" s="92">
        <f t="shared" si="48"/>
        <v>142414.36161477509</v>
      </c>
      <c r="W191" s="92">
        <f t="shared" si="48"/>
        <v>2905429.635803103</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641</v>
      </c>
      <c r="G192" t="s">
        <v>209</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2016.0363670889712</v>
      </c>
      <c r="V192" s="92">
        <f t="shared" si="49"/>
        <v>135.29364353403633</v>
      </c>
      <c r="W192" s="92">
        <f t="shared" si="49"/>
        <v>2760.1581540129478</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642</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261</v>
      </c>
      <c r="G198" t="s">
        <v>246</v>
      </c>
      <c r="H198" s="181"/>
      <c r="I198" t="s">
        <v>191</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643</v>
      </c>
    </row>
    <row r="199" spans="3:60" x14ac:dyDescent="0.25">
      <c r="D199" s="32"/>
      <c r="H199" s="187"/>
      <c r="J199" s="63"/>
      <c r="K199" s="63"/>
      <c r="L199" s="63"/>
      <c r="M199" s="63"/>
      <c r="N199" s="63"/>
      <c r="O199" s="63"/>
      <c r="P199" s="63"/>
      <c r="Q199" s="63"/>
      <c r="R199" s="63"/>
      <c r="S199" s="63"/>
      <c r="BH199" s="3"/>
    </row>
    <row r="200" spans="3:60" x14ac:dyDescent="0.25">
      <c r="C200" s="32"/>
      <c r="E200" t="s">
        <v>644</v>
      </c>
      <c r="G200" t="s">
        <v>209</v>
      </c>
      <c r="H200" s="63"/>
      <c r="I200" t="s">
        <v>191</v>
      </c>
      <c r="J200" s="124">
        <f t="shared" ref="J200:AB200" si="50">J59 / (hours_in_year * J61)</f>
        <v>1621.9343611151139</v>
      </c>
      <c r="K200" s="124">
        <f t="shared" si="50"/>
        <v>758.47837376545715</v>
      </c>
      <c r="L200" s="124">
        <f t="shared" si="50"/>
        <v>18.974153107643584</v>
      </c>
      <c r="M200" s="124">
        <f t="shared" si="50"/>
        <v>383.20829267235973</v>
      </c>
      <c r="N200" s="124">
        <f t="shared" si="50"/>
        <v>450.14356479214496</v>
      </c>
      <c r="O200" s="124">
        <f t="shared" si="50"/>
        <v>1.2355649137347562</v>
      </c>
      <c r="P200" s="124">
        <f t="shared" si="50"/>
        <v>4.5412846611573245</v>
      </c>
      <c r="Q200" s="124">
        <f t="shared" si="50"/>
        <v>9.9091823526604688E-5</v>
      </c>
      <c r="R200" s="124">
        <f t="shared" si="50"/>
        <v>0.85567562717183099</v>
      </c>
      <c r="S200" s="124">
        <f t="shared" si="50"/>
        <v>6.4206710553840285</v>
      </c>
      <c r="T200" s="124">
        <f t="shared" si="50"/>
        <v>47.477246922735723</v>
      </c>
      <c r="U200" s="124">
        <f t="shared" si="50"/>
        <v>744.56824385938012</v>
      </c>
      <c r="V200" s="124">
        <f t="shared" si="50"/>
        <v>56.959035328267738</v>
      </c>
      <c r="W200" s="124">
        <f t="shared" si="50"/>
        <v>1219.0015157339103</v>
      </c>
      <c r="X200" s="124">
        <f t="shared" si="50"/>
        <v>3.3266016583774847</v>
      </c>
      <c r="Y200" s="124">
        <f t="shared" si="50"/>
        <v>5.5212454695238167</v>
      </c>
      <c r="Z200" s="124">
        <f t="shared" si="50"/>
        <v>0.17290115048853505</v>
      </c>
      <c r="AA200" s="124">
        <f t="shared" si="50"/>
        <v>1.7071468910528758</v>
      </c>
      <c r="AB200" s="124">
        <f t="shared" si="50"/>
        <v>54.347356950126937</v>
      </c>
      <c r="AC200" s="77"/>
      <c r="AD200" s="77"/>
      <c r="AE200" s="77"/>
      <c r="AF200" s="77"/>
      <c r="AG200" s="77"/>
      <c r="AH200" s="77"/>
      <c r="AI200" s="77"/>
      <c r="AJ200" s="77"/>
      <c r="AK200" s="77"/>
      <c r="AL200" s="77"/>
      <c r="AM200" s="77"/>
      <c r="AN200" s="77"/>
      <c r="AO200" s="77"/>
      <c r="AP200" s="77"/>
      <c r="AR200" t="s">
        <v>643</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645</v>
      </c>
      <c r="G202" t="s">
        <v>209</v>
      </c>
      <c r="H202" s="63"/>
      <c r="I202" t="s">
        <v>191</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2016.0363670889715</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643</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646</v>
      </c>
      <c r="G204" t="s">
        <v>209</v>
      </c>
      <c r="H204" s="63"/>
      <c r="J204" s="92">
        <f t="shared" ref="J204:AP204" si="52">IF(J198, J$200 * J42 / $H53, 0)</f>
        <v>1621.9343611151139</v>
      </c>
      <c r="K204" s="92">
        <f t="shared" si="52"/>
        <v>758.47837376545715</v>
      </c>
      <c r="L204" s="92">
        <f t="shared" si="52"/>
        <v>0</v>
      </c>
      <c r="M204" s="92">
        <f t="shared" si="52"/>
        <v>383.20829267235973</v>
      </c>
      <c r="N204" s="92">
        <f t="shared" si="52"/>
        <v>450.14356479214496</v>
      </c>
      <c r="O204" s="92">
        <f t="shared" si="52"/>
        <v>0</v>
      </c>
      <c r="P204" s="92">
        <f t="shared" si="52"/>
        <v>4.5412846611573245</v>
      </c>
      <c r="Q204" s="92">
        <f t="shared" si="52"/>
        <v>0</v>
      </c>
      <c r="R204" s="92">
        <f t="shared" si="52"/>
        <v>0</v>
      </c>
      <c r="S204" s="92">
        <f t="shared" si="52"/>
        <v>6.4206710553840285</v>
      </c>
      <c r="T204" s="92">
        <f t="shared" si="52"/>
        <v>47.477246922735723</v>
      </c>
      <c r="U204" s="92">
        <f t="shared" si="52"/>
        <v>744.56824385938012</v>
      </c>
      <c r="V204" s="92">
        <f t="shared" si="52"/>
        <v>0</v>
      </c>
      <c r="W204" s="92">
        <f t="shared" si="52"/>
        <v>0</v>
      </c>
      <c r="X204" s="92">
        <f t="shared" si="52"/>
        <v>3.3266016583774847</v>
      </c>
      <c r="Y204" s="92">
        <f t="shared" si="52"/>
        <v>5.5212454695238167</v>
      </c>
      <c r="Z204" s="92">
        <f t="shared" si="52"/>
        <v>0.17290115048853505</v>
      </c>
      <c r="AA204" s="92">
        <f t="shared" si="52"/>
        <v>1.7071468910528758</v>
      </c>
      <c r="AB204" s="92">
        <f t="shared" si="52"/>
        <v>54.347356950126937</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647</v>
      </c>
      <c r="G206" t="s">
        <v>209</v>
      </c>
      <c r="H206" s="63"/>
      <c r="J206" s="92">
        <f t="shared" ref="J206:AP206" si="53">IF(J202 = 0, J204, J202)</f>
        <v>1621.9343611151139</v>
      </c>
      <c r="K206" s="92">
        <f t="shared" si="53"/>
        <v>758.47837376545715</v>
      </c>
      <c r="L206" s="92">
        <f t="shared" si="53"/>
        <v>0</v>
      </c>
      <c r="M206" s="92">
        <f t="shared" si="53"/>
        <v>383.20829267235973</v>
      </c>
      <c r="N206" s="92">
        <f t="shared" si="53"/>
        <v>450.14356479214496</v>
      </c>
      <c r="O206" s="92">
        <f t="shared" si="53"/>
        <v>0</v>
      </c>
      <c r="P206" s="92">
        <f t="shared" si="53"/>
        <v>4.5412846611573245</v>
      </c>
      <c r="Q206" s="92">
        <f t="shared" si="53"/>
        <v>0</v>
      </c>
      <c r="R206" s="92">
        <f t="shared" si="53"/>
        <v>0</v>
      </c>
      <c r="S206" s="92">
        <f t="shared" si="53"/>
        <v>6.4206710553840285</v>
      </c>
      <c r="T206" s="92">
        <f t="shared" si="53"/>
        <v>47.477246922735723</v>
      </c>
      <c r="U206" s="92">
        <f t="shared" si="53"/>
        <v>2016.0363670889715</v>
      </c>
      <c r="V206" s="92">
        <f t="shared" si="53"/>
        <v>0</v>
      </c>
      <c r="W206" s="92">
        <f t="shared" si="53"/>
        <v>0</v>
      </c>
      <c r="X206" s="92">
        <f t="shared" si="53"/>
        <v>3.3266016583774847</v>
      </c>
      <c r="Y206" s="92">
        <f t="shared" si="53"/>
        <v>5.5212454695238167</v>
      </c>
      <c r="Z206" s="92">
        <f t="shared" si="53"/>
        <v>0.17290115048853505</v>
      </c>
      <c r="AA206" s="92">
        <f t="shared" si="53"/>
        <v>1.7071468910528758</v>
      </c>
      <c r="AB206" s="92">
        <f t="shared" si="53"/>
        <v>54.347356950126937</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648</v>
      </c>
      <c r="G208" t="s">
        <v>209</v>
      </c>
      <c r="H208" s="63"/>
      <c r="I208" t="s">
        <v>191</v>
      </c>
      <c r="J208" s="92">
        <f t="shared" ref="J208:AP208" si="54">J150</f>
        <v>1376.215791878707</v>
      </c>
      <c r="K208" s="92">
        <f t="shared" si="54"/>
        <v>642.03591834202587</v>
      </c>
      <c r="L208" s="92">
        <f t="shared" si="54"/>
        <v>1.8907499739368909</v>
      </c>
      <c r="M208" s="92">
        <f t="shared" si="54"/>
        <v>249.77965194648493</v>
      </c>
      <c r="N208" s="92">
        <f t="shared" si="54"/>
        <v>369.61138563732703</v>
      </c>
      <c r="O208" s="92">
        <f t="shared" si="54"/>
        <v>0.10483270477805344</v>
      </c>
      <c r="P208" s="92">
        <f t="shared" si="54"/>
        <v>3.5670267392299948</v>
      </c>
      <c r="Q208" s="92">
        <f t="shared" si="54"/>
        <v>0</v>
      </c>
      <c r="R208" s="92">
        <f t="shared" si="54"/>
        <v>0</v>
      </c>
      <c r="S208" s="92">
        <f t="shared" si="54"/>
        <v>4.9368257741270414</v>
      </c>
      <c r="T208" s="92">
        <f t="shared" si="54"/>
        <v>36.484875797480846</v>
      </c>
      <c r="U208" s="92">
        <f t="shared" si="54"/>
        <v>595.88524900731841</v>
      </c>
      <c r="V208" s="92">
        <f t="shared" si="54"/>
        <v>0</v>
      </c>
      <c r="W208" s="92">
        <f t="shared" si="54"/>
        <v>0</v>
      </c>
      <c r="X208" s="92">
        <f t="shared" si="54"/>
        <v>4.016953643217529</v>
      </c>
      <c r="Y208" s="92">
        <f t="shared" si="54"/>
        <v>3.8700328051025465</v>
      </c>
      <c r="Z208" s="92">
        <f t="shared" si="54"/>
        <v>0.1208211856871956</v>
      </c>
      <c r="AA208" s="92">
        <f t="shared" si="54"/>
        <v>0.81467921265037546</v>
      </c>
      <c r="AB208" s="92">
        <f t="shared" si="54"/>
        <v>37.066757611984031</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643</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649</v>
      </c>
      <c r="G210" t="s">
        <v>204</v>
      </c>
      <c r="H210" s="188">
        <f>SUM(J206:AP206) / SUM(J208:AP208) - 1</f>
        <v>0.60934130473685189</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451</v>
      </c>
      <c r="J212" s="63"/>
      <c r="K212" s="63"/>
      <c r="L212" s="63"/>
      <c r="M212" s="63"/>
      <c r="N212" s="63"/>
      <c r="O212" s="63"/>
      <c r="P212" s="63"/>
      <c r="Q212" s="63"/>
      <c r="R212" s="63"/>
      <c r="S212" s="63"/>
      <c r="AR212" t="s">
        <v>643</v>
      </c>
      <c r="BH212" s="3"/>
    </row>
    <row r="213" spans="5:60" x14ac:dyDescent="0.25">
      <c r="E213" s="29" t="s">
        <v>650</v>
      </c>
      <c r="F213" s="29"/>
      <c r="J213" s="63"/>
      <c r="K213" s="63"/>
      <c r="L213" s="63"/>
      <c r="M213" s="63"/>
      <c r="N213" s="63"/>
      <c r="O213" s="63"/>
      <c r="P213" s="63"/>
      <c r="Q213" s="63"/>
      <c r="R213" s="63"/>
      <c r="S213" s="63"/>
      <c r="BH213" s="3"/>
    </row>
    <row r="214" spans="5:60" x14ac:dyDescent="0.25">
      <c r="E214" s="32"/>
      <c r="F214" s="23" t="s">
        <v>228</v>
      </c>
      <c r="G214" s="23" t="s">
        <v>204</v>
      </c>
      <c r="H214" s="110">
        <f t="array" ref="H214:H222">TRANSPOSE('Load &amp; loss characteristics'!K23:S23)</f>
        <v>2.4713742436156094E-2</v>
      </c>
      <c r="J214" s="63"/>
      <c r="K214" s="63"/>
      <c r="L214" s="63"/>
      <c r="M214" s="63"/>
      <c r="N214" s="63"/>
      <c r="O214" s="63"/>
      <c r="P214" s="63"/>
      <c r="Q214" s="63"/>
      <c r="R214" s="63"/>
      <c r="S214" s="63"/>
      <c r="T214" s="84"/>
      <c r="BH214" s="3"/>
    </row>
    <row r="215" spans="5:60" x14ac:dyDescent="0.25">
      <c r="E215" s="32"/>
      <c r="F215" t="s">
        <v>229</v>
      </c>
      <c r="G215" t="s">
        <v>204</v>
      </c>
      <c r="H215" s="25">
        <v>7.0839672179421997E-2</v>
      </c>
      <c r="J215" s="63"/>
      <c r="K215" s="63"/>
      <c r="L215" s="63"/>
      <c r="M215" s="63"/>
      <c r="N215" s="63"/>
      <c r="O215" s="63"/>
      <c r="P215" s="63"/>
      <c r="Q215" s="63"/>
      <c r="R215" s="63"/>
      <c r="S215" s="63"/>
      <c r="BH215" s="3"/>
    </row>
    <row r="216" spans="5:60" x14ac:dyDescent="0.25">
      <c r="E216" s="32"/>
      <c r="F216" t="s">
        <v>230</v>
      </c>
      <c r="G216" t="s">
        <v>204</v>
      </c>
      <c r="H216" s="25">
        <v>7.0839672179421997E-2</v>
      </c>
      <c r="J216" s="63"/>
      <c r="K216" s="63"/>
      <c r="L216" s="63"/>
      <c r="M216" s="63"/>
      <c r="N216" s="63"/>
      <c r="O216" s="63"/>
      <c r="P216" s="63"/>
      <c r="Q216" s="63"/>
      <c r="R216" s="63"/>
      <c r="S216" s="63"/>
      <c r="BH216" s="3"/>
    </row>
    <row r="217" spans="5:60" x14ac:dyDescent="0.25">
      <c r="E217" s="32"/>
      <c r="F217" t="s">
        <v>231</v>
      </c>
      <c r="G217" t="s">
        <v>204</v>
      </c>
      <c r="H217" s="25">
        <v>0.15545489876905783</v>
      </c>
      <c r="J217" s="63"/>
      <c r="K217" s="63"/>
      <c r="L217" s="63"/>
      <c r="M217" s="63"/>
      <c r="N217" s="63"/>
      <c r="O217" s="63"/>
      <c r="P217" s="63"/>
      <c r="Q217" s="63"/>
      <c r="R217" s="63"/>
      <c r="S217" s="63"/>
      <c r="BH217" s="3"/>
    </row>
    <row r="218" spans="5:60" x14ac:dyDescent="0.25">
      <c r="E218" s="32"/>
      <c r="F218" t="s">
        <v>232</v>
      </c>
      <c r="G218" t="s">
        <v>204</v>
      </c>
      <c r="H218" s="25">
        <v>0.15545489876905783</v>
      </c>
      <c r="J218" s="63"/>
      <c r="K218" s="63"/>
      <c r="L218" s="63"/>
      <c r="M218" s="63"/>
      <c r="N218" s="63"/>
      <c r="O218" s="63"/>
      <c r="P218" s="63"/>
      <c r="Q218" s="63"/>
      <c r="R218" s="63"/>
      <c r="S218" s="63"/>
      <c r="BH218" s="3"/>
    </row>
    <row r="219" spans="5:60" x14ac:dyDescent="0.25">
      <c r="E219" s="32"/>
      <c r="F219" t="s">
        <v>233</v>
      </c>
      <c r="G219" t="s">
        <v>204</v>
      </c>
      <c r="H219" s="25">
        <v>7.0839672179421997E-2</v>
      </c>
      <c r="J219" s="63"/>
      <c r="K219" s="63"/>
      <c r="L219" s="63"/>
      <c r="M219" s="63"/>
      <c r="N219" s="63"/>
      <c r="O219" s="63"/>
      <c r="P219" s="63"/>
      <c r="Q219" s="63"/>
      <c r="R219" s="63"/>
      <c r="S219" s="63"/>
      <c r="BH219" s="3"/>
    </row>
    <row r="220" spans="5:60" x14ac:dyDescent="0.25">
      <c r="E220" s="32"/>
      <c r="F220" t="s">
        <v>234</v>
      </c>
      <c r="G220" t="s">
        <v>204</v>
      </c>
      <c r="H220" s="25">
        <v>0.54830956435053779</v>
      </c>
      <c r="J220" s="63"/>
      <c r="K220" s="63"/>
      <c r="L220" s="63"/>
      <c r="M220" s="63"/>
      <c r="N220" s="63"/>
      <c r="O220" s="63"/>
      <c r="P220" s="63"/>
      <c r="Q220" s="63"/>
      <c r="R220" s="63"/>
      <c r="S220" s="63"/>
      <c r="BH220" s="3"/>
    </row>
    <row r="221" spans="5:60" x14ac:dyDescent="0.25">
      <c r="E221" s="32"/>
      <c r="F221" t="s">
        <v>235</v>
      </c>
      <c r="G221" t="s">
        <v>204</v>
      </c>
      <c r="H221" s="25">
        <v>0.54830956435053779</v>
      </c>
      <c r="J221" s="63"/>
      <c r="K221" s="63"/>
      <c r="L221" s="63"/>
      <c r="M221" s="63"/>
      <c r="N221" s="63"/>
      <c r="O221" s="63"/>
      <c r="P221" s="63"/>
      <c r="Q221" s="63"/>
      <c r="R221" s="63"/>
      <c r="S221" s="63"/>
      <c r="BH221" s="3"/>
    </row>
    <row r="222" spans="5:60" x14ac:dyDescent="0.25">
      <c r="E222" s="32"/>
      <c r="F222" s="37" t="s">
        <v>236</v>
      </c>
      <c r="G222" s="37" t="s">
        <v>204</v>
      </c>
      <c r="H222" s="144">
        <v>0.54830956435053779</v>
      </c>
      <c r="J222" s="63"/>
      <c r="K222" s="63"/>
      <c r="L222" s="63"/>
      <c r="M222" s="63"/>
      <c r="N222" s="63"/>
      <c r="O222" s="63"/>
      <c r="P222" s="63"/>
      <c r="Q222" s="63"/>
      <c r="R222" s="63"/>
      <c r="S222" s="63"/>
      <c r="BH222" s="3"/>
    </row>
    <row r="223" spans="5:60" x14ac:dyDescent="0.25">
      <c r="H223" s="181"/>
    </row>
    <row r="224" spans="5:60" x14ac:dyDescent="0.25">
      <c r="E224" s="32" t="s">
        <v>651</v>
      </c>
      <c r="J224" s="63"/>
      <c r="K224" s="63"/>
      <c r="L224" s="63"/>
      <c r="M224" s="63"/>
      <c r="N224" s="63"/>
      <c r="O224" s="63"/>
      <c r="P224" s="63"/>
      <c r="Q224" s="63"/>
      <c r="R224" s="63"/>
      <c r="S224" s="63"/>
      <c r="AR224" t="s">
        <v>643</v>
      </c>
      <c r="BH224" s="3"/>
    </row>
    <row r="225" spans="3:60" x14ac:dyDescent="0.25">
      <c r="E225" s="29" t="s">
        <v>652</v>
      </c>
      <c r="F225" s="29"/>
      <c r="J225" s="63"/>
      <c r="K225" s="63"/>
      <c r="L225" s="63"/>
      <c r="M225" s="63"/>
      <c r="N225" s="63"/>
      <c r="O225" s="63"/>
      <c r="P225" s="63"/>
      <c r="Q225" s="63"/>
      <c r="R225" s="63"/>
      <c r="S225" s="63"/>
      <c r="BH225" s="3"/>
    </row>
    <row r="226" spans="3:60" x14ac:dyDescent="0.25">
      <c r="C226" s="32"/>
      <c r="F226" s="23" t="s">
        <v>228</v>
      </c>
      <c r="G226" s="23" t="s">
        <v>204</v>
      </c>
      <c r="H226" s="189">
        <f t="shared" ref="H226:H234" si="55">IF(F226 = $F$234, $H$210, H214)</f>
        <v>2.4713742436156094E-2</v>
      </c>
      <c r="J226" s="63"/>
      <c r="K226" s="63"/>
      <c r="L226" s="63"/>
      <c r="M226" s="63"/>
      <c r="N226" s="63"/>
      <c r="O226" s="63"/>
      <c r="P226" s="63"/>
      <c r="Q226" s="63"/>
      <c r="R226" s="63"/>
      <c r="S226" s="63"/>
      <c r="BH226" s="3"/>
    </row>
    <row r="227" spans="3:60" x14ac:dyDescent="0.25">
      <c r="C227" s="32"/>
      <c r="F227" t="s">
        <v>229</v>
      </c>
      <c r="G227" t="s">
        <v>204</v>
      </c>
      <c r="H227" s="114">
        <f t="shared" si="55"/>
        <v>7.0839672179421997E-2</v>
      </c>
      <c r="J227" s="63"/>
      <c r="K227" s="63"/>
      <c r="L227" s="63"/>
      <c r="M227" s="63"/>
      <c r="N227" s="63"/>
      <c r="O227" s="63"/>
      <c r="P227" s="63"/>
      <c r="Q227" s="63"/>
      <c r="R227" s="63"/>
      <c r="S227" s="63"/>
      <c r="BH227" s="3"/>
    </row>
    <row r="228" spans="3:60" x14ac:dyDescent="0.25">
      <c r="C228" s="32"/>
      <c r="F228" t="s">
        <v>230</v>
      </c>
      <c r="G228" t="s">
        <v>204</v>
      </c>
      <c r="H228" s="114">
        <f t="shared" si="55"/>
        <v>7.0839672179421997E-2</v>
      </c>
      <c r="J228" s="63"/>
      <c r="K228" s="63"/>
      <c r="L228" s="63"/>
      <c r="M228" s="63"/>
      <c r="N228" s="63"/>
      <c r="O228" s="63"/>
      <c r="P228" s="63"/>
      <c r="Q228" s="63"/>
      <c r="R228" s="63"/>
      <c r="S228" s="63"/>
      <c r="BH228" s="3"/>
    </row>
    <row r="229" spans="3:60" x14ac:dyDescent="0.25">
      <c r="C229" s="32"/>
      <c r="F229" t="s">
        <v>231</v>
      </c>
      <c r="G229" t="s">
        <v>204</v>
      </c>
      <c r="H229" s="114">
        <f t="shared" si="55"/>
        <v>0.15545489876905783</v>
      </c>
      <c r="J229" s="63"/>
      <c r="K229" s="63"/>
      <c r="L229" s="63"/>
      <c r="M229" s="63"/>
      <c r="N229" s="63"/>
      <c r="O229" s="63"/>
      <c r="P229" s="63"/>
      <c r="Q229" s="63"/>
      <c r="R229" s="63"/>
      <c r="S229" s="63"/>
      <c r="BH229" s="3"/>
    </row>
    <row r="230" spans="3:60" x14ac:dyDescent="0.25">
      <c r="C230" s="32"/>
      <c r="F230" t="s">
        <v>232</v>
      </c>
      <c r="G230" t="s">
        <v>204</v>
      </c>
      <c r="H230" s="114">
        <f t="shared" si="55"/>
        <v>0.15545489876905783</v>
      </c>
      <c r="J230" s="63"/>
      <c r="K230" s="63"/>
      <c r="L230" s="63"/>
      <c r="M230" s="63"/>
      <c r="N230" s="63"/>
      <c r="O230" s="63"/>
      <c r="P230" s="63"/>
      <c r="Q230" s="63"/>
      <c r="R230" s="63"/>
      <c r="S230" s="63"/>
      <c r="BH230" s="3"/>
    </row>
    <row r="231" spans="3:60" x14ac:dyDescent="0.25">
      <c r="C231" s="32"/>
      <c r="F231" t="s">
        <v>233</v>
      </c>
      <c r="G231" t="s">
        <v>204</v>
      </c>
      <c r="H231" s="114">
        <f t="shared" si="55"/>
        <v>7.0839672179421997E-2</v>
      </c>
      <c r="J231" s="63"/>
      <c r="K231" s="63"/>
      <c r="L231" s="63"/>
      <c r="M231" s="63"/>
      <c r="N231" s="63"/>
      <c r="O231" s="63"/>
      <c r="P231" s="63"/>
      <c r="Q231" s="63"/>
      <c r="R231" s="63"/>
      <c r="S231" s="63"/>
      <c r="BH231" s="3"/>
    </row>
    <row r="232" spans="3:60" x14ac:dyDescent="0.25">
      <c r="C232" s="32"/>
      <c r="F232" t="s">
        <v>234</v>
      </c>
      <c r="G232" t="s">
        <v>204</v>
      </c>
      <c r="H232" s="114">
        <f t="shared" si="55"/>
        <v>0.54830956435053779</v>
      </c>
      <c r="J232" s="63"/>
      <c r="K232" s="63"/>
      <c r="L232" s="63"/>
      <c r="M232" s="63"/>
      <c r="N232" s="63"/>
      <c r="O232" s="63"/>
      <c r="P232" s="63"/>
      <c r="Q232" s="63"/>
      <c r="R232" s="63"/>
      <c r="S232" s="63"/>
      <c r="BH232" s="3"/>
    </row>
    <row r="233" spans="3:60" x14ac:dyDescent="0.25">
      <c r="C233" s="32"/>
      <c r="F233" t="s">
        <v>235</v>
      </c>
      <c r="G233" t="s">
        <v>204</v>
      </c>
      <c r="H233" s="114">
        <f t="shared" si="55"/>
        <v>0.54830956435053779</v>
      </c>
      <c r="J233" s="63"/>
      <c r="K233" s="63"/>
      <c r="L233" s="63"/>
      <c r="M233" s="63"/>
      <c r="N233" s="63"/>
      <c r="O233" s="63"/>
      <c r="P233" s="63"/>
      <c r="Q233" s="63"/>
      <c r="R233" s="63"/>
      <c r="S233" s="63"/>
      <c r="BH233" s="3"/>
    </row>
    <row r="234" spans="3:60" x14ac:dyDescent="0.25">
      <c r="C234" s="32"/>
      <c r="F234" s="37" t="s">
        <v>236</v>
      </c>
      <c r="G234" s="37" t="s">
        <v>204</v>
      </c>
      <c r="H234" s="146">
        <f t="shared" si="55"/>
        <v>0.60934130473685189</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653</v>
      </c>
      <c r="F238" s="29"/>
      <c r="H238" s="190"/>
    </row>
    <row r="239" spans="3:60" x14ac:dyDescent="0.25">
      <c r="C239" s="32"/>
      <c r="F239" s="23" t="s">
        <v>228</v>
      </c>
      <c r="G239" s="23" t="s">
        <v>209</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229</v>
      </c>
      <c r="G240" t="s">
        <v>209</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39.959154567403623</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230</v>
      </c>
      <c r="G241" t="s">
        <v>209</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231</v>
      </c>
      <c r="G242" t="s">
        <v>209</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451.49576213142973</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232</v>
      </c>
      <c r="G243" t="s">
        <v>209</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2244.1995235356353</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233</v>
      </c>
      <c r="G244" t="s">
        <v>209</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196.46584328973449</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234</v>
      </c>
      <c r="G245" t="s">
        <v>209</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270.97521315643189</v>
      </c>
      <c r="V245" s="92">
        <f t="shared" si="62"/>
        <v>88.309316303641708</v>
      </c>
      <c r="W245" s="92">
        <f t="shared" si="62"/>
        <v>1782.6914058822199</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235</v>
      </c>
      <c r="G246" t="s">
        <v>209</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1340.6414557309622</v>
      </c>
      <c r="V246" s="92">
        <f t="shared" si="63"/>
        <v>87.381520239324573</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236</v>
      </c>
      <c r="G247" s="37" t="s">
        <v>209</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1252.709018997446</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654</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228</v>
      </c>
      <c r="G252" s="132" t="s">
        <v>209</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229</v>
      </c>
      <c r="G253" s="63" t="s">
        <v>209</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1.2387722999136101E-2</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230</v>
      </c>
      <c r="G254" s="63" t="s">
        <v>209</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231</v>
      </c>
      <c r="G255" s="63" t="s">
        <v>209</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0.13996803729001925</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232</v>
      </c>
      <c r="G256" s="63" t="s">
        <v>209</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0.6957234794709779</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233</v>
      </c>
      <c r="G257" s="63" t="s">
        <v>209</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6.0906304745752503E-2</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234</v>
      </c>
      <c r="G258" s="63" t="s">
        <v>209</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0.55265151548085756</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235</v>
      </c>
      <c r="G259" s="63" t="s">
        <v>209</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6.4000007368145574E-5</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236</v>
      </c>
      <c r="G260" s="133" t="s">
        <v>209</v>
      </c>
      <c r="H260" s="133"/>
      <c r="I260" s="37"/>
      <c r="J260" s="82">
        <f t="shared" ref="J260:AP260" si="73">IF(AND(J$192 = 0, J$198), J$200 * J31 * J42 / (1 + $H234) / $H53, 0)</f>
        <v>1007.8249755606199</v>
      </c>
      <c r="K260" s="82">
        <f t="shared" si="73"/>
        <v>471.29740070238125</v>
      </c>
      <c r="L260" s="82">
        <f t="shared" si="73"/>
        <v>0</v>
      </c>
      <c r="M260" s="82">
        <f t="shared" si="73"/>
        <v>238.11499247825449</v>
      </c>
      <c r="N260" s="82">
        <f t="shared" si="73"/>
        <v>279.7067119741572</v>
      </c>
      <c r="O260" s="82">
        <f t="shared" si="73"/>
        <v>0</v>
      </c>
      <c r="P260" s="82">
        <f t="shared" si="73"/>
        <v>2.821828190074251</v>
      </c>
      <c r="Q260" s="82">
        <f t="shared" si="73"/>
        <v>0</v>
      </c>
      <c r="R260" s="82">
        <f t="shared" si="73"/>
        <v>0</v>
      </c>
      <c r="S260" s="82">
        <f t="shared" si="73"/>
        <v>3.9896267103104588</v>
      </c>
      <c r="T260" s="82">
        <f t="shared" si="73"/>
        <v>29.501042931660084</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655</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656</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657</v>
      </c>
      <c r="F268" s="29"/>
      <c r="H268" s="190" t="s">
        <v>658</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228</v>
      </c>
      <c r="G269" s="23" t="s">
        <v>209</v>
      </c>
      <c r="H269" s="104">
        <f t="shared" ref="H269:H277" si="74">SUM(J269:AP269)</f>
        <v>4603.46781554886</v>
      </c>
      <c r="I269" s="163"/>
      <c r="J269" s="163">
        <f t="shared" ref="J269:AP269" si="75">J239 + J252 + J168</f>
        <v>1578.8794610865295</v>
      </c>
      <c r="K269" s="163">
        <f t="shared" si="75"/>
        <v>725.66666152611197</v>
      </c>
      <c r="L269" s="163">
        <f t="shared" si="75"/>
        <v>1.6600853917930207</v>
      </c>
      <c r="M269" s="163">
        <f t="shared" si="75"/>
        <v>261.72273982713921</v>
      </c>
      <c r="N269" s="163">
        <f t="shared" si="75"/>
        <v>391.7235586829409</v>
      </c>
      <c r="O269" s="163">
        <f t="shared" si="75"/>
        <v>7.1618752761740706E-2</v>
      </c>
      <c r="P269" s="163">
        <f t="shared" si="75"/>
        <v>3.8088351421973354</v>
      </c>
      <c r="Q269" s="163">
        <f t="shared" si="75"/>
        <v>8.0757465871776662E-5</v>
      </c>
      <c r="R269" s="163">
        <f t="shared" si="75"/>
        <v>0.64264741528174718</v>
      </c>
      <c r="S269" s="163">
        <f t="shared" si="75"/>
        <v>5.5056931280440438</v>
      </c>
      <c r="T269" s="163">
        <f t="shared" si="75"/>
        <v>38.902226308582236</v>
      </c>
      <c r="U269" s="163">
        <f t="shared" si="75"/>
        <v>633.92845638250594</v>
      </c>
      <c r="V269" s="163">
        <f t="shared" si="75"/>
        <v>48.815914163243249</v>
      </c>
      <c r="W269" s="163">
        <f t="shared" si="75"/>
        <v>1035.5337919948167</v>
      </c>
      <c r="X269" s="163">
        <f t="shared" si="75"/>
        <v>4.3376236308487801</v>
      </c>
      <c r="Y269" s="163">
        <f t="shared" si="75"/>
        <v>4.7279296725404443</v>
      </c>
      <c r="Z269" s="163">
        <f t="shared" si="75"/>
        <v>0.15147144476703325</v>
      </c>
      <c r="AA269" s="163">
        <f t="shared" si="75"/>
        <v>0.70342107061009485</v>
      </c>
      <c r="AB269" s="163">
        <f t="shared" si="75"/>
        <v>44.629886468734369</v>
      </c>
      <c r="AC269" s="163">
        <f t="shared" si="75"/>
        <v>-0.17976913844246573</v>
      </c>
      <c r="AD269" s="163">
        <f t="shared" si="75"/>
        <v>0</v>
      </c>
      <c r="AE269" s="163">
        <f t="shared" si="75"/>
        <v>-3.8271301219398182</v>
      </c>
      <c r="AF269" s="163">
        <f t="shared" si="75"/>
        <v>0</v>
      </c>
      <c r="AG269" s="163">
        <f t="shared" si="75"/>
        <v>-2.1347666459569883</v>
      </c>
      <c r="AH269" s="163">
        <f t="shared" si="75"/>
        <v>0</v>
      </c>
      <c r="AI269" s="163">
        <f t="shared" si="75"/>
        <v>-0.43074567753664394</v>
      </c>
      <c r="AJ269" s="163">
        <f t="shared" si="75"/>
        <v>0</v>
      </c>
      <c r="AK269" s="163">
        <f t="shared" si="75"/>
        <v>-0.56234454358369579</v>
      </c>
      <c r="AL269" s="163">
        <f t="shared" si="75"/>
        <v>0</v>
      </c>
      <c r="AM269" s="163">
        <f t="shared" si="75"/>
        <v>-54.512724845609604</v>
      </c>
      <c r="AN269" s="163">
        <f t="shared" si="75"/>
        <v>0</v>
      </c>
      <c r="AO269" s="163">
        <f t="shared" si="75"/>
        <v>-116.29680632498402</v>
      </c>
      <c r="AP269" s="163">
        <f t="shared" si="75"/>
        <v>0</v>
      </c>
      <c r="BH269" s="3"/>
    </row>
    <row r="270" spans="2:60" x14ac:dyDescent="0.25">
      <c r="C270" s="32"/>
      <c r="F270" t="s">
        <v>229</v>
      </c>
      <c r="G270" t="s">
        <v>209</v>
      </c>
      <c r="H270" s="124">
        <f t="shared" si="74"/>
        <v>4578.1531525772771</v>
      </c>
      <c r="I270" s="92"/>
      <c r="J270" s="92">
        <f t="shared" ref="J270:AP270" si="76">J240 + J253 + J169</f>
        <v>1530.231174214872</v>
      </c>
      <c r="K270" s="92">
        <f t="shared" si="76"/>
        <v>707.003715628603</v>
      </c>
      <c r="L270" s="92">
        <f t="shared" si="76"/>
        <v>1.837536597137543</v>
      </c>
      <c r="M270" s="92">
        <f t="shared" si="76"/>
        <v>265.62963943416668</v>
      </c>
      <c r="N270" s="92">
        <f t="shared" si="76"/>
        <v>394.5461791496744</v>
      </c>
      <c r="O270" s="92">
        <f t="shared" si="76"/>
        <v>9.0109696536649159E-2</v>
      </c>
      <c r="P270" s="92">
        <f t="shared" si="76"/>
        <v>3.8232575233604082</v>
      </c>
      <c r="Q270" s="92">
        <f t="shared" si="76"/>
        <v>8.0727933415370307E-5</v>
      </c>
      <c r="R270" s="92">
        <f t="shared" si="76"/>
        <v>0.65163983855466845</v>
      </c>
      <c r="S270" s="92">
        <f t="shared" si="76"/>
        <v>5.4035419372055076</v>
      </c>
      <c r="T270" s="92">
        <f t="shared" si="76"/>
        <v>39.090455841833574</v>
      </c>
      <c r="U270" s="92">
        <f t="shared" si="76"/>
        <v>637.7192932997483</v>
      </c>
      <c r="V270" s="92">
        <f t="shared" si="76"/>
        <v>48.942941616512584</v>
      </c>
      <c r="W270" s="92">
        <f t="shared" si="76"/>
        <v>1063.3278560825008</v>
      </c>
      <c r="X270" s="92">
        <f t="shared" si="76"/>
        <v>4.3232481383567292</v>
      </c>
      <c r="Y270" s="92">
        <f t="shared" si="76"/>
        <v>4.6284402635215143</v>
      </c>
      <c r="Z270" s="92">
        <f t="shared" si="76"/>
        <v>0.14706797827545809</v>
      </c>
      <c r="AA270" s="92">
        <f t="shared" si="76"/>
        <v>0.72827507554062954</v>
      </c>
      <c r="AB270" s="92">
        <f t="shared" si="76"/>
        <v>43.74090127567468</v>
      </c>
      <c r="AC270" s="92">
        <f t="shared" si="76"/>
        <v>-0.17923144411013534</v>
      </c>
      <c r="AD270" s="92">
        <f t="shared" si="76"/>
        <v>0</v>
      </c>
      <c r="AE270" s="92">
        <f t="shared" si="76"/>
        <v>-3.8156830727216535</v>
      </c>
      <c r="AF270" s="92">
        <f t="shared" si="76"/>
        <v>0</v>
      </c>
      <c r="AG270" s="92">
        <f t="shared" si="76"/>
        <v>-2.1501888671805629</v>
      </c>
      <c r="AH270" s="92">
        <f t="shared" si="76"/>
        <v>0</v>
      </c>
      <c r="AI270" s="92">
        <f t="shared" si="76"/>
        <v>-0.42945730561978462</v>
      </c>
      <c r="AJ270" s="92">
        <f t="shared" si="76"/>
        <v>0</v>
      </c>
      <c r="AK270" s="92">
        <f t="shared" si="76"/>
        <v>-0.55773226188872127</v>
      </c>
      <c r="AL270" s="92">
        <f t="shared" si="76"/>
        <v>0</v>
      </c>
      <c r="AM270" s="92">
        <f t="shared" si="76"/>
        <v>-54.349675818155141</v>
      </c>
      <c r="AN270" s="92">
        <f t="shared" si="76"/>
        <v>0</v>
      </c>
      <c r="AO270" s="92">
        <f t="shared" si="76"/>
        <v>-112.23023297305471</v>
      </c>
      <c r="AP270" s="92">
        <f t="shared" si="76"/>
        <v>0</v>
      </c>
      <c r="BH270" s="3"/>
    </row>
    <row r="271" spans="2:60" x14ac:dyDescent="0.25">
      <c r="C271" s="32"/>
      <c r="F271" t="s">
        <v>230</v>
      </c>
      <c r="G271" t="s">
        <v>209</v>
      </c>
      <c r="H271" s="124">
        <f t="shared" si="74"/>
        <v>4199.4884151869201</v>
      </c>
      <c r="I271" s="92"/>
      <c r="J271" s="92">
        <f t="shared" ref="J271:AP271" si="77">J241 + J254 + J170</f>
        <v>1411.1751187815053</v>
      </c>
      <c r="K271" s="92">
        <f t="shared" si="77"/>
        <v>651.99694607781123</v>
      </c>
      <c r="L271" s="92">
        <f t="shared" si="77"/>
        <v>1.6945713624357388</v>
      </c>
      <c r="M271" s="92">
        <f t="shared" si="77"/>
        <v>244.96294696958188</v>
      </c>
      <c r="N271" s="92">
        <f t="shared" si="77"/>
        <v>363.8494370054899</v>
      </c>
      <c r="O271" s="92">
        <f t="shared" si="77"/>
        <v>8.3098922474059922E-2</v>
      </c>
      <c r="P271" s="92">
        <f t="shared" si="77"/>
        <v>3.5257979190161337</v>
      </c>
      <c r="Q271" s="92">
        <f t="shared" si="77"/>
        <v>7.4447085477049674E-5</v>
      </c>
      <c r="R271" s="92">
        <f t="shared" si="77"/>
        <v>0.59849939950461717</v>
      </c>
      <c r="S271" s="92">
        <f t="shared" si="77"/>
        <v>4.9831320022539893</v>
      </c>
      <c r="T271" s="92">
        <f t="shared" si="77"/>
        <v>36.049114405296223</v>
      </c>
      <c r="U271" s="92">
        <f t="shared" si="77"/>
        <v>588.10303608751565</v>
      </c>
      <c r="V271" s="92">
        <f t="shared" si="77"/>
        <v>45.135050581253019</v>
      </c>
      <c r="W271" s="92">
        <f t="shared" si="77"/>
        <v>958.12831655055857</v>
      </c>
      <c r="X271" s="92">
        <f t="shared" si="77"/>
        <v>3.9868879343003178</v>
      </c>
      <c r="Y271" s="92">
        <f t="shared" si="77"/>
        <v>4.2683353003831375</v>
      </c>
      <c r="Z271" s="92">
        <f t="shared" si="77"/>
        <v>0.13562569839704711</v>
      </c>
      <c r="AA271" s="92">
        <f t="shared" si="77"/>
        <v>0.67161333761152797</v>
      </c>
      <c r="AB271" s="92">
        <f t="shared" si="77"/>
        <v>40.337742815219173</v>
      </c>
      <c r="AC271" s="92">
        <f t="shared" si="77"/>
        <v>-0.16528676104201859</v>
      </c>
      <c r="AD271" s="92">
        <f t="shared" si="77"/>
        <v>0</v>
      </c>
      <c r="AE271" s="92">
        <f t="shared" si="77"/>
        <v>-3.5188127807834508</v>
      </c>
      <c r="AF271" s="92">
        <f t="shared" si="77"/>
        <v>0</v>
      </c>
      <c r="AG271" s="92">
        <f t="shared" si="77"/>
        <v>-1.9828984542829162</v>
      </c>
      <c r="AH271" s="92">
        <f t="shared" si="77"/>
        <v>0</v>
      </c>
      <c r="AI271" s="92">
        <f t="shared" si="77"/>
        <v>-0.39604438498028283</v>
      </c>
      <c r="AJ271" s="92">
        <f t="shared" si="77"/>
        <v>0</v>
      </c>
      <c r="AK271" s="92">
        <f t="shared" si="77"/>
        <v>-0.51433920846823444</v>
      </c>
      <c r="AL271" s="92">
        <f t="shared" si="77"/>
        <v>0</v>
      </c>
      <c r="AM271" s="92">
        <f t="shared" si="77"/>
        <v>-50.121126481280129</v>
      </c>
      <c r="AN271" s="92">
        <f t="shared" si="77"/>
        <v>0</v>
      </c>
      <c r="AO271" s="92">
        <f t="shared" si="77"/>
        <v>-103.49842233993569</v>
      </c>
      <c r="AP271" s="92">
        <f t="shared" si="77"/>
        <v>0</v>
      </c>
      <c r="BH271" s="3"/>
    </row>
    <row r="272" spans="2:60" x14ac:dyDescent="0.25">
      <c r="C272" s="32"/>
      <c r="F272" t="s">
        <v>231</v>
      </c>
      <c r="G272" t="s">
        <v>209</v>
      </c>
      <c r="H272" s="124">
        <f t="shared" si="74"/>
        <v>4376.0504525995084</v>
      </c>
      <c r="I272" s="92"/>
      <c r="J272" s="92">
        <f t="shared" ref="J272:AP272" si="78">J242 + J255 + J171</f>
        <v>1353.2818459283958</v>
      </c>
      <c r="K272" s="92">
        <f t="shared" si="78"/>
        <v>631.3367117667882</v>
      </c>
      <c r="L272" s="92">
        <f t="shared" si="78"/>
        <v>1.8592415738998402</v>
      </c>
      <c r="M272" s="92">
        <f t="shared" si="78"/>
        <v>245.61719932020881</v>
      </c>
      <c r="N272" s="92">
        <f t="shared" si="78"/>
        <v>363.45199726898522</v>
      </c>
      <c r="O272" s="92">
        <f t="shared" si="78"/>
        <v>0.10308572033027093</v>
      </c>
      <c r="P272" s="92">
        <f t="shared" si="78"/>
        <v>3.5075840276119714</v>
      </c>
      <c r="Q272" s="92">
        <f t="shared" si="78"/>
        <v>7.3480673958179745E-5</v>
      </c>
      <c r="R272" s="92">
        <f t="shared" si="78"/>
        <v>0.61923170566893082</v>
      </c>
      <c r="S272" s="92">
        <f t="shared" si="78"/>
        <v>4.8545560485955734</v>
      </c>
      <c r="T272" s="92">
        <f t="shared" si="78"/>
        <v>35.876873640783479</v>
      </c>
      <c r="U272" s="92">
        <f t="shared" si="78"/>
        <v>585.95512019033572</v>
      </c>
      <c r="V272" s="92">
        <f t="shared" si="78"/>
        <v>44.841507798085338</v>
      </c>
      <c r="W272" s="92">
        <f t="shared" si="78"/>
        <v>1214.8559673729403</v>
      </c>
      <c r="X272" s="92">
        <f t="shared" si="78"/>
        <v>3.9500131253989568</v>
      </c>
      <c r="Y272" s="92">
        <f t="shared" si="78"/>
        <v>3.805540649365116</v>
      </c>
      <c r="Z272" s="92">
        <f t="shared" si="78"/>
        <v>0.11880776122385617</v>
      </c>
      <c r="AA272" s="92">
        <f t="shared" si="78"/>
        <v>0.80110299216226444</v>
      </c>
      <c r="AB272" s="92">
        <f t="shared" si="78"/>
        <v>36.449058686682456</v>
      </c>
      <c r="AC272" s="92">
        <f t="shared" si="78"/>
        <v>-0.16398272347955686</v>
      </c>
      <c r="AD272" s="92">
        <f t="shared" si="78"/>
        <v>0</v>
      </c>
      <c r="AE272" s="92">
        <f t="shared" si="78"/>
        <v>-3.4910509442486704</v>
      </c>
      <c r="AF272" s="92">
        <f t="shared" si="78"/>
        <v>0</v>
      </c>
      <c r="AG272" s="92">
        <f t="shared" si="78"/>
        <v>-1.9833110361760062</v>
      </c>
      <c r="AH272" s="92">
        <f t="shared" si="78"/>
        <v>0</v>
      </c>
      <c r="AI272" s="92">
        <f t="shared" si="78"/>
        <v>-0.39291977444789394</v>
      </c>
      <c r="AJ272" s="92">
        <f t="shared" si="78"/>
        <v>0</v>
      </c>
      <c r="AK272" s="92">
        <f t="shared" si="78"/>
        <v>-0.5083216289500726</v>
      </c>
      <c r="AL272" s="92">
        <f t="shared" si="78"/>
        <v>0</v>
      </c>
      <c r="AM272" s="92">
        <f t="shared" si="78"/>
        <v>-49.72569353073748</v>
      </c>
      <c r="AN272" s="92">
        <f t="shared" si="78"/>
        <v>0</v>
      </c>
      <c r="AO272" s="92">
        <f t="shared" si="78"/>
        <v>-98.969786820587728</v>
      </c>
      <c r="AP272" s="92">
        <f t="shared" si="78"/>
        <v>0</v>
      </c>
      <c r="BH272" s="3"/>
    </row>
    <row r="273" spans="2:60" x14ac:dyDescent="0.25">
      <c r="C273" s="32"/>
      <c r="F273" t="s">
        <v>232</v>
      </c>
      <c r="G273" t="s">
        <v>209</v>
      </c>
      <c r="H273" s="124">
        <f t="shared" si="74"/>
        <v>5386.8788813976462</v>
      </c>
      <c r="I273" s="92"/>
      <c r="J273" s="92">
        <f t="shared" ref="J273:AP273" si="79">J243 + J256 + J172</f>
        <v>1345.3213644817583</v>
      </c>
      <c r="K273" s="92">
        <f t="shared" si="79"/>
        <v>627.62296640345414</v>
      </c>
      <c r="L273" s="92">
        <f t="shared" si="79"/>
        <v>1.848304858759253</v>
      </c>
      <c r="M273" s="92">
        <f t="shared" si="79"/>
        <v>244.17239226538405</v>
      </c>
      <c r="N273" s="92">
        <f t="shared" si="79"/>
        <v>361.31404434387355</v>
      </c>
      <c r="O273" s="92">
        <f t="shared" si="79"/>
        <v>0.10247933374009287</v>
      </c>
      <c r="P273" s="92">
        <f t="shared" si="79"/>
        <v>3.4869511803907249</v>
      </c>
      <c r="Q273" s="92">
        <f t="shared" si="79"/>
        <v>7.3048434699602211E-5</v>
      </c>
      <c r="R273" s="92">
        <f t="shared" si="79"/>
        <v>0.6957234794709779</v>
      </c>
      <c r="S273" s="92">
        <f t="shared" si="79"/>
        <v>4.8259998365450114</v>
      </c>
      <c r="T273" s="92">
        <f t="shared" si="79"/>
        <v>35.665833207602397</v>
      </c>
      <c r="U273" s="92">
        <f t="shared" si="79"/>
        <v>582.50832536568657</v>
      </c>
      <c r="V273" s="92">
        <f t="shared" si="79"/>
        <v>44.577734222802484</v>
      </c>
      <c r="W273" s="92">
        <f t="shared" si="79"/>
        <v>2244.1995235356353</v>
      </c>
      <c r="X273" s="92">
        <f t="shared" si="79"/>
        <v>3.9267777540730804</v>
      </c>
      <c r="Y273" s="92">
        <f t="shared" si="79"/>
        <v>3.7831551161335564</v>
      </c>
      <c r="Z273" s="92">
        <f t="shared" si="79"/>
        <v>0.11810889204018643</v>
      </c>
      <c r="AA273" s="92">
        <f t="shared" si="79"/>
        <v>0.79639062162013341</v>
      </c>
      <c r="AB273" s="92">
        <f t="shared" si="79"/>
        <v>36.234652459113732</v>
      </c>
      <c r="AC273" s="92">
        <f t="shared" si="79"/>
        <v>-0.16301811922379478</v>
      </c>
      <c r="AD273" s="92">
        <f t="shared" si="79"/>
        <v>0</v>
      </c>
      <c r="AE273" s="92">
        <f t="shared" si="79"/>
        <v>-3.4705153504589723</v>
      </c>
      <c r="AF273" s="92">
        <f t="shared" si="79"/>
        <v>0</v>
      </c>
      <c r="AG273" s="92">
        <f t="shared" si="79"/>
        <v>-1.9716445006690884</v>
      </c>
      <c r="AH273" s="92">
        <f t="shared" si="79"/>
        <v>0</v>
      </c>
      <c r="AI273" s="92">
        <f t="shared" si="79"/>
        <v>-0.390608481657024</v>
      </c>
      <c r="AJ273" s="92">
        <f t="shared" si="79"/>
        <v>0</v>
      </c>
      <c r="AK273" s="92">
        <f t="shared" si="79"/>
        <v>-0.50533150172095465</v>
      </c>
      <c r="AL273" s="92">
        <f t="shared" si="79"/>
        <v>0</v>
      </c>
      <c r="AM273" s="92">
        <f t="shared" si="79"/>
        <v>-49.433189451144905</v>
      </c>
      <c r="AN273" s="92">
        <f t="shared" si="79"/>
        <v>0</v>
      </c>
      <c r="AO273" s="92">
        <f t="shared" si="79"/>
        <v>-98.387611603996035</v>
      </c>
      <c r="AP273" s="92">
        <f t="shared" si="79"/>
        <v>0</v>
      </c>
      <c r="BH273" s="3"/>
    </row>
    <row r="274" spans="2:60" x14ac:dyDescent="0.25">
      <c r="C274" s="32"/>
      <c r="F274" t="s">
        <v>233</v>
      </c>
      <c r="G274" t="s">
        <v>209</v>
      </c>
      <c r="H274" s="124">
        <f t="shared" si="74"/>
        <v>455.85028762772743</v>
      </c>
      <c r="I274" s="92"/>
      <c r="J274" s="92">
        <f t="shared" ref="J274:AP274" si="80">J244 + J257 + J173</f>
        <v>112.92127278757032</v>
      </c>
      <c r="K274" s="92">
        <f t="shared" si="80"/>
        <v>52.172351981579041</v>
      </c>
      <c r="L274" s="92">
        <f t="shared" si="80"/>
        <v>0.13559844737117868</v>
      </c>
      <c r="M274" s="92">
        <f t="shared" si="80"/>
        <v>19.601768334382147</v>
      </c>
      <c r="N274" s="92">
        <f t="shared" si="80"/>
        <v>29.114984372157345</v>
      </c>
      <c r="O274" s="92">
        <f t="shared" si="80"/>
        <v>6.6495192327008157E-3</v>
      </c>
      <c r="P274" s="92">
        <f t="shared" si="80"/>
        <v>0.28213195039241112</v>
      </c>
      <c r="Q274" s="92">
        <f t="shared" si="80"/>
        <v>5.9572051232396396E-6</v>
      </c>
      <c r="R274" s="92">
        <f t="shared" si="80"/>
        <v>6.0906304745752503E-2</v>
      </c>
      <c r="S274" s="92">
        <f t="shared" si="80"/>
        <v>0.39874683210746026</v>
      </c>
      <c r="T274" s="92">
        <f t="shared" si="80"/>
        <v>2.8846256055206569</v>
      </c>
      <c r="U274" s="92">
        <f t="shared" si="80"/>
        <v>47.059604780006701</v>
      </c>
      <c r="V274" s="92">
        <f t="shared" si="80"/>
        <v>3.6116760359035127</v>
      </c>
      <c r="W274" s="92">
        <f t="shared" si="80"/>
        <v>196.46584328973449</v>
      </c>
      <c r="X274" s="92">
        <f t="shared" si="80"/>
        <v>0.31902805967223458</v>
      </c>
      <c r="Y274" s="92">
        <f t="shared" si="80"/>
        <v>0.34154928639866899</v>
      </c>
      <c r="Z274" s="92">
        <f t="shared" si="80"/>
        <v>1.0852676100838302E-2</v>
      </c>
      <c r="AA274" s="92">
        <f t="shared" si="80"/>
        <v>5.3742042284366742E-2</v>
      </c>
      <c r="AB274" s="92">
        <f t="shared" si="80"/>
        <v>3.2277987327364968</v>
      </c>
      <c r="AC274" s="92">
        <f t="shared" si="80"/>
        <v>-1.3226134151171616E-2</v>
      </c>
      <c r="AD274" s="92">
        <f t="shared" si="80"/>
        <v>0</v>
      </c>
      <c r="AE274" s="92">
        <f t="shared" si="80"/>
        <v>-0.28157300438398614</v>
      </c>
      <c r="AF274" s="92">
        <f t="shared" si="80"/>
        <v>0</v>
      </c>
      <c r="AG274" s="92">
        <f t="shared" si="80"/>
        <v>-0.15867018507204936</v>
      </c>
      <c r="AH274" s="92">
        <f t="shared" si="80"/>
        <v>0</v>
      </c>
      <c r="AI274" s="92">
        <f t="shared" si="80"/>
        <v>-3.1691202202430824E-2</v>
      </c>
      <c r="AJ274" s="92">
        <f t="shared" si="80"/>
        <v>0</v>
      </c>
      <c r="AK274" s="92">
        <f t="shared" si="80"/>
        <v>-4.115707348563101E-2</v>
      </c>
      <c r="AL274" s="92">
        <f t="shared" si="80"/>
        <v>0</v>
      </c>
      <c r="AM274" s="92">
        <f t="shared" si="80"/>
        <v>-4.0106584367076392</v>
      </c>
      <c r="AN274" s="92">
        <f t="shared" si="80"/>
        <v>0</v>
      </c>
      <c r="AO274" s="92">
        <f t="shared" si="80"/>
        <v>-8.2818733313711341</v>
      </c>
      <c r="AP274" s="92">
        <f t="shared" si="80"/>
        <v>0</v>
      </c>
      <c r="BH274" s="3"/>
    </row>
    <row r="275" spans="2:60" x14ac:dyDescent="0.25">
      <c r="C275" s="32"/>
      <c r="F275" t="s">
        <v>234</v>
      </c>
      <c r="G275" t="s">
        <v>209</v>
      </c>
      <c r="H275" s="124">
        <f t="shared" si="74"/>
        <v>5472.8557588576441</v>
      </c>
      <c r="I275" s="92"/>
      <c r="J275" s="92">
        <f t="shared" ref="J275:AP275" si="81">J245 + J258 + J174</f>
        <v>1432.008323981898</v>
      </c>
      <c r="K275" s="92">
        <f t="shared" si="81"/>
        <v>668.06440151805396</v>
      </c>
      <c r="L275" s="92">
        <f t="shared" si="81"/>
        <v>1.9674019999073054</v>
      </c>
      <c r="M275" s="92">
        <f t="shared" si="81"/>
        <v>259.90585405242348</v>
      </c>
      <c r="N275" s="92">
        <f t="shared" si="81"/>
        <v>384.59563100100252</v>
      </c>
      <c r="O275" s="92">
        <f t="shared" si="81"/>
        <v>0.10908267929608265</v>
      </c>
      <c r="P275" s="92">
        <f t="shared" si="81"/>
        <v>3.7116359313609406</v>
      </c>
      <c r="Q275" s="92">
        <f t="shared" si="81"/>
        <v>7.7755374518990531E-5</v>
      </c>
      <c r="R275" s="92">
        <f t="shared" si="81"/>
        <v>0.55265151548085756</v>
      </c>
      <c r="S275" s="92">
        <f t="shared" si="81"/>
        <v>5.1369673595646237</v>
      </c>
      <c r="T275" s="92">
        <f t="shared" si="81"/>
        <v>37.963992383865211</v>
      </c>
      <c r="U275" s="92">
        <f t="shared" si="81"/>
        <v>767.00942043819964</v>
      </c>
      <c r="V275" s="92">
        <f t="shared" si="81"/>
        <v>88.309316303641708</v>
      </c>
      <c r="W275" s="92">
        <f t="shared" si="81"/>
        <v>1782.6914058822199</v>
      </c>
      <c r="X275" s="92">
        <f t="shared" si="81"/>
        <v>4.1798031152398609</v>
      </c>
      <c r="Y275" s="92">
        <f t="shared" si="81"/>
        <v>4.0269260269310285</v>
      </c>
      <c r="Z275" s="92">
        <f t="shared" si="81"/>
        <v>0.12571934186370354</v>
      </c>
      <c r="AA275" s="92">
        <f t="shared" si="81"/>
        <v>0.84770674829836368</v>
      </c>
      <c r="AB275" s="92">
        <f t="shared" si="81"/>
        <v>38.569464001659057</v>
      </c>
      <c r="AC275" s="92">
        <f t="shared" si="81"/>
        <v>-0.17352233440392442</v>
      </c>
      <c r="AD275" s="92">
        <f t="shared" si="81"/>
        <v>0</v>
      </c>
      <c r="AE275" s="92">
        <f t="shared" si="81"/>
        <v>-3.694141044343453</v>
      </c>
      <c r="AF275" s="92">
        <f t="shared" si="81"/>
        <v>0</v>
      </c>
      <c r="AG275" s="92">
        <f t="shared" si="81"/>
        <v>-2.0986891395862846</v>
      </c>
      <c r="AH275" s="92">
        <f t="shared" si="81"/>
        <v>0</v>
      </c>
      <c r="AI275" s="92">
        <f t="shared" si="81"/>
        <v>-0.41577768101992651</v>
      </c>
      <c r="AJ275" s="92">
        <f t="shared" si="81"/>
        <v>0</v>
      </c>
      <c r="AK275" s="92">
        <f t="shared" si="81"/>
        <v>-0.53789297928338353</v>
      </c>
      <c r="AL275" s="92">
        <f t="shared" si="81"/>
        <v>0</v>
      </c>
      <c r="AM275" s="92">
        <f t="shared" si="81"/>
        <v>0</v>
      </c>
      <c r="AN275" s="92">
        <f t="shared" si="81"/>
        <v>0</v>
      </c>
      <c r="AO275" s="92">
        <f t="shared" si="81"/>
        <v>0</v>
      </c>
      <c r="AP275" s="92">
        <f t="shared" si="81"/>
        <v>0</v>
      </c>
      <c r="BH275" s="3"/>
    </row>
    <row r="276" spans="2:60" x14ac:dyDescent="0.25">
      <c r="C276" s="32"/>
      <c r="F276" t="s">
        <v>235</v>
      </c>
      <c r="G276" t="s">
        <v>209</v>
      </c>
      <c r="H276" s="124">
        <f t="shared" si="74"/>
        <v>4233.4819069210698</v>
      </c>
      <c r="I276" s="92"/>
      <c r="J276" s="92">
        <f t="shared" ref="J276:AP276" si="82">J246 + J259 + J175</f>
        <v>1416.9633463660425</v>
      </c>
      <c r="K276" s="92">
        <f t="shared" si="82"/>
        <v>661.04557781538108</v>
      </c>
      <c r="L276" s="92">
        <f t="shared" si="82"/>
        <v>1.9467320648557485</v>
      </c>
      <c r="M276" s="92">
        <f t="shared" si="82"/>
        <v>257.17522903372566</v>
      </c>
      <c r="N276" s="92">
        <f t="shared" si="82"/>
        <v>380.55498922353257</v>
      </c>
      <c r="O276" s="92">
        <f t="shared" si="82"/>
        <v>0.10793663395486307</v>
      </c>
      <c r="P276" s="92">
        <f t="shared" si="82"/>
        <v>3.672640711451705</v>
      </c>
      <c r="Q276" s="92">
        <f t="shared" si="82"/>
        <v>6.4000007368145574E-5</v>
      </c>
      <c r="R276" s="92">
        <f t="shared" si="82"/>
        <v>0</v>
      </c>
      <c r="S276" s="92">
        <f t="shared" si="82"/>
        <v>5.0829973108968014</v>
      </c>
      <c r="T276" s="92">
        <f t="shared" si="82"/>
        <v>37.565134775247714</v>
      </c>
      <c r="U276" s="92">
        <f t="shared" si="82"/>
        <v>1340.6414557309622</v>
      </c>
      <c r="V276" s="92">
        <f t="shared" si="82"/>
        <v>87.381520239324573</v>
      </c>
      <c r="W276" s="92">
        <f t="shared" si="82"/>
        <v>0</v>
      </c>
      <c r="X276" s="92">
        <f t="shared" si="82"/>
        <v>4.1358892334178572</v>
      </c>
      <c r="Y276" s="92">
        <f t="shared" si="82"/>
        <v>3.9846183036299387</v>
      </c>
      <c r="Z276" s="92">
        <f t="shared" si="82"/>
        <v>0.12439850828156339</v>
      </c>
      <c r="AA276" s="92">
        <f t="shared" si="82"/>
        <v>0.83880056469637521</v>
      </c>
      <c r="AB276" s="92">
        <f t="shared" si="82"/>
        <v>38.164245182157394</v>
      </c>
      <c r="AC276" s="92">
        <f t="shared" si="82"/>
        <v>-0.17169927262890708</v>
      </c>
      <c r="AD276" s="92">
        <f t="shared" si="82"/>
        <v>0</v>
      </c>
      <c r="AE276" s="92">
        <f t="shared" si="82"/>
        <v>-3.655329629359902</v>
      </c>
      <c r="AF276" s="92">
        <f t="shared" si="82"/>
        <v>0</v>
      </c>
      <c r="AG276" s="92">
        <f t="shared" si="82"/>
        <v>-2.0766398745094468</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236</v>
      </c>
      <c r="G277" s="37" t="s">
        <v>209</v>
      </c>
      <c r="H277" s="134">
        <f t="shared" si="74"/>
        <v>3331.8548420035459</v>
      </c>
      <c r="I277" s="82"/>
      <c r="J277" s="82">
        <f t="shared" ref="J277:AP277" si="83">J247 + J260 + J176</f>
        <v>1007.8249755606199</v>
      </c>
      <c r="K277" s="82">
        <f t="shared" si="83"/>
        <v>471.29740070238125</v>
      </c>
      <c r="L277" s="82">
        <f t="shared" si="83"/>
        <v>0</v>
      </c>
      <c r="M277" s="82">
        <f t="shared" si="83"/>
        <v>238.11499247825449</v>
      </c>
      <c r="N277" s="82">
        <f t="shared" si="83"/>
        <v>279.7067119741572</v>
      </c>
      <c r="O277" s="82">
        <f t="shared" si="83"/>
        <v>0</v>
      </c>
      <c r="P277" s="82">
        <f t="shared" si="83"/>
        <v>2.821828190074251</v>
      </c>
      <c r="Q277" s="82">
        <f t="shared" si="83"/>
        <v>0</v>
      </c>
      <c r="R277" s="82">
        <f t="shared" si="83"/>
        <v>0</v>
      </c>
      <c r="S277" s="82">
        <f t="shared" si="83"/>
        <v>3.9896267103104588</v>
      </c>
      <c r="T277" s="82">
        <f t="shared" si="83"/>
        <v>29.501042931660084</v>
      </c>
      <c r="U277" s="82">
        <f t="shared" si="83"/>
        <v>1252.709018997446</v>
      </c>
      <c r="V277" s="82">
        <f t="shared" si="83"/>
        <v>0</v>
      </c>
      <c r="W277" s="82">
        <f t="shared" si="83"/>
        <v>0</v>
      </c>
      <c r="X277" s="82">
        <f t="shared" si="83"/>
        <v>4.016953643217529</v>
      </c>
      <c r="Y277" s="82">
        <f t="shared" si="83"/>
        <v>3.8700328051025465</v>
      </c>
      <c r="Z277" s="82">
        <f t="shared" si="83"/>
        <v>0.1208211856871956</v>
      </c>
      <c r="AA277" s="82">
        <f t="shared" si="83"/>
        <v>0.81467921265037546</v>
      </c>
      <c r="AB277" s="82">
        <f t="shared" si="83"/>
        <v>37.066757611984031</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282</v>
      </c>
      <c r="G281" s="6" t="s">
        <v>57</v>
      </c>
      <c r="H281" s="26">
        <f t="array" ref="H281">SUM(IF(ISERROR(H23:AP277), 1))</f>
        <v>0</v>
      </c>
    </row>
    <row r="283" spans="2:60" x14ac:dyDescent="0.25">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WPD EMEB - [enter data version name]</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659</v>
      </c>
    </row>
    <row r="10" spans="1:60" x14ac:dyDescent="0.25">
      <c r="C10" s="29" t="s">
        <v>660</v>
      </c>
    </row>
    <row r="11" spans="1:60" x14ac:dyDescent="0.25">
      <c r="D11" s="32"/>
      <c r="L11" s="63"/>
      <c r="M11" s="63"/>
      <c r="BH11" s="3"/>
    </row>
    <row r="12" spans="1:60" x14ac:dyDescent="0.25">
      <c r="B12" s="30" t="s">
        <v>661</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662</v>
      </c>
      <c r="G16" s="28" t="s">
        <v>249</v>
      </c>
      <c r="J16" s="123">
        <f>'Volume adjustments'!J103</f>
        <v>1783033.6868262473</v>
      </c>
      <c r="K16" s="123">
        <f>'Volume adjustments'!K103</f>
        <v>745456.57596275606</v>
      </c>
      <c r="L16" s="123">
        <f>'Volume adjustments'!L103</f>
        <v>0</v>
      </c>
      <c r="M16" s="123">
        <f>'Volume adjustments'!M103</f>
        <v>97102.427883543351</v>
      </c>
      <c r="N16" s="123">
        <f>'Volume adjustments'!N103</f>
        <v>82324.027570563325</v>
      </c>
      <c r="O16" s="123">
        <f>'Volume adjustments'!O103</f>
        <v>0</v>
      </c>
      <c r="P16" s="123">
        <f>'Volume adjustments'!P103</f>
        <v>325.4825015624246</v>
      </c>
      <c r="Q16" s="123">
        <f>'Volume adjustments'!Q103</f>
        <v>0.83287671232876703</v>
      </c>
      <c r="R16" s="123">
        <f>'Volume adjustments'!R103</f>
        <v>36.832876712328769</v>
      </c>
      <c r="S16" s="123">
        <f>'Volume adjustments'!S103</f>
        <v>6670.3767165712325</v>
      </c>
      <c r="T16" s="123">
        <f>'Volume adjustments'!T103</f>
        <v>2713.0497280411923</v>
      </c>
      <c r="U16" s="123">
        <f>'Volume adjustments'!U103</f>
        <v>15240.860311099359</v>
      </c>
      <c r="V16" s="123">
        <f>'Volume adjustments'!V103</f>
        <v>383.68444090100576</v>
      </c>
      <c r="W16" s="123">
        <f>'Volume adjustments'!W103</f>
        <v>3565.7984845620308</v>
      </c>
      <c r="X16" s="123">
        <f>'Volume adjustments'!X103</f>
        <v>1612</v>
      </c>
      <c r="Y16" s="123">
        <f>'Volume adjustments'!Y103</f>
        <v>1312</v>
      </c>
      <c r="Z16" s="123">
        <f>'Volume adjustments'!Z103</f>
        <v>197</v>
      </c>
      <c r="AA16" s="123">
        <f>'Volume adjustments'!AA103</f>
        <v>240</v>
      </c>
      <c r="AB16" s="123">
        <f>'Volume adjustments'!AB103</f>
        <v>27.095890410958901</v>
      </c>
      <c r="AC16" s="123">
        <f>'Volume adjustments'!AC103</f>
        <v>0</v>
      </c>
      <c r="AD16" s="123">
        <f>'Volume adjustments'!AD103</f>
        <v>0</v>
      </c>
      <c r="AE16" s="123">
        <f>'Volume adjustments'!AE103</f>
        <v>529.51229260273976</v>
      </c>
      <c r="AF16" s="123">
        <f>'Volume adjustments'!AF103</f>
        <v>0</v>
      </c>
      <c r="AG16" s="123">
        <f>'Volume adjustments'!AG103</f>
        <v>104.10217808219178</v>
      </c>
      <c r="AH16" s="123">
        <f>'Volume adjustments'!AH103</f>
        <v>0</v>
      </c>
      <c r="AI16" s="123">
        <f>'Volume adjustments'!AI103</f>
        <v>28.933541095890419</v>
      </c>
      <c r="AJ16" s="123">
        <f>'Volume adjustments'!AJ103</f>
        <v>0</v>
      </c>
      <c r="AK16" s="123">
        <f>'Volume adjustments'!AK103</f>
        <v>6.8061575342465748</v>
      </c>
      <c r="AL16" s="123">
        <f>'Volume adjustments'!AL103</f>
        <v>0</v>
      </c>
      <c r="AM16" s="123">
        <f>'Volume adjustments'!AM103</f>
        <v>225.48004931506853</v>
      </c>
      <c r="AN16" s="123">
        <f>'Volume adjustments'!AN103</f>
        <v>0</v>
      </c>
      <c r="AO16" s="123">
        <f>'Volume adjustments'!AO103</f>
        <v>232.44540410958902</v>
      </c>
      <c r="AP16" s="123">
        <f>'Volume adjustments'!AP103</f>
        <v>0</v>
      </c>
    </row>
    <row r="17" spans="5:42" x14ac:dyDescent="0.25">
      <c r="E17" s="28" t="s">
        <v>663</v>
      </c>
      <c r="G17" s="28" t="s">
        <v>244</v>
      </c>
      <c r="J17" s="123">
        <f>'Volume adjustments'!J92</f>
        <v>5883290.5674295351</v>
      </c>
      <c r="K17" s="123">
        <f>'Volume adjustments'!K92</f>
        <v>3272235.1699916422</v>
      </c>
      <c r="L17" s="123">
        <f>'Volume adjustments'!L92</f>
        <v>23777.812108679751</v>
      </c>
      <c r="M17" s="123">
        <f>'Volume adjustments'!M92</f>
        <v>1161806.4742133119</v>
      </c>
      <c r="N17" s="123">
        <f>'Volume adjustments'!N92</f>
        <v>1953714.7385894693</v>
      </c>
      <c r="O17" s="123">
        <f>'Volume adjustments'!O92</f>
        <v>2608.5296353034564</v>
      </c>
      <c r="P17" s="123">
        <f>'Volume adjustments'!P92</f>
        <v>19827.344635466758</v>
      </c>
      <c r="Q17" s="123">
        <f>'Volume adjustments'!Q92</f>
        <v>0.43263699199999994</v>
      </c>
      <c r="R17" s="123">
        <f>'Volume adjustments'!R92</f>
        <v>3391.4580085967359</v>
      </c>
      <c r="S17" s="123">
        <f>'Volume adjustments'!S92</f>
        <v>24672.108351717048</v>
      </c>
      <c r="T17" s="123">
        <f>'Volume adjustments'!T92</f>
        <v>182263.36404146647</v>
      </c>
      <c r="U17" s="123">
        <f>'Volume adjustments'!U92</f>
        <v>3580440.0666374937</v>
      </c>
      <c r="V17" s="123">
        <f>'Volume adjustments'!V92</f>
        <v>292841.19922875345</v>
      </c>
      <c r="W17" s="123">
        <f>'Volume adjustments'!W92</f>
        <v>7670280.4057608265</v>
      </c>
      <c r="X17" s="123">
        <f>'Volume adjustments'!X92</f>
        <v>29141.030527383642</v>
      </c>
      <c r="Y17" s="123">
        <f>'Volume adjustments'!Y92</f>
        <v>22896.214955475487</v>
      </c>
      <c r="Z17" s="123">
        <f>'Volume adjustments'!Z92</f>
        <v>395.39698261741404</v>
      </c>
      <c r="AA17" s="123">
        <f>'Volume adjustments'!AA92</f>
        <v>7682.0746191750686</v>
      </c>
      <c r="AB17" s="123">
        <f>'Volume adjustments'!AB92</f>
        <v>209948.39450188447</v>
      </c>
      <c r="AC17" s="123">
        <f>'Volume adjustments'!AC92</f>
        <v>1460.8327019999997</v>
      </c>
      <c r="AD17" s="123">
        <f>'Volume adjustments'!AD92</f>
        <v>0</v>
      </c>
      <c r="AE17" s="123">
        <f>'Volume adjustments'!AE92</f>
        <v>31099.870007600002</v>
      </c>
      <c r="AF17" s="123">
        <f>'Volume adjustments'!AF92</f>
        <v>0</v>
      </c>
      <c r="AG17" s="123">
        <f>'Volume adjustments'!AG92</f>
        <v>16460.717142603458</v>
      </c>
      <c r="AH17" s="123">
        <f>'Volume adjustments'!AH92</f>
        <v>0</v>
      </c>
      <c r="AI17" s="123">
        <f>'Volume adjustments'!AI92</f>
        <v>3603.9466430000011</v>
      </c>
      <c r="AJ17" s="123">
        <f>'Volume adjustments'!AJ92</f>
        <v>0</v>
      </c>
      <c r="AK17" s="123">
        <f>'Volume adjustments'!AK92</f>
        <v>4910.2277946388513</v>
      </c>
      <c r="AL17" s="123">
        <f>'Volume adjustments'!AL92</f>
        <v>0</v>
      </c>
      <c r="AM17" s="123">
        <f>'Volume adjustments'!AM92</f>
        <v>460937.71201500011</v>
      </c>
      <c r="AN17" s="123">
        <f>'Volume adjustments'!AN92</f>
        <v>0</v>
      </c>
      <c r="AO17" s="123">
        <f>'Volume adjustments'!AO92</f>
        <v>730132.21227803966</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664</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665</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437</v>
      </c>
      <c r="G21" s="23" t="s">
        <v>320</v>
      </c>
      <c r="H21" s="191"/>
      <c r="I21" s="23"/>
      <c r="J21" s="127">
        <f>'Inputs by customer type'!J71</f>
        <v>233.25987618636759</v>
      </c>
      <c r="K21" s="127">
        <f>'Inputs by customer type'!K71</f>
        <v>233.25987618636759</v>
      </c>
      <c r="L21" s="127">
        <f>'Inputs by customer type'!L71</f>
        <v>0</v>
      </c>
      <c r="M21" s="127">
        <f>'Inputs by customer type'!M71</f>
        <v>683.9497454702331</v>
      </c>
      <c r="N21" s="127">
        <f>'Inputs by customer type'!N71</f>
        <v>683.9497454702331</v>
      </c>
      <c r="O21" s="127">
        <f>'Inputs by customer type'!O71</f>
        <v>0</v>
      </c>
      <c r="P21" s="127">
        <f>'Inputs by customer type'!P71</f>
        <v>791.92323986195004</v>
      </c>
      <c r="Q21" s="127">
        <f>'Inputs by customer type'!Q71</f>
        <v>570.92474547023312</v>
      </c>
      <c r="R21" s="127">
        <f>'Inputs by customer type'!R71</f>
        <v>0</v>
      </c>
      <c r="S21" s="127">
        <f>'Inputs by customer type'!S71</f>
        <v>233.25987618636759</v>
      </c>
      <c r="T21" s="127">
        <f>'Inputs by customer type'!T71</f>
        <v>683.9497454702331</v>
      </c>
      <c r="U21" s="127">
        <f>'Inputs by customer type'!U71</f>
        <v>1364.5739016393445</v>
      </c>
      <c r="V21" s="127">
        <f>'Inputs by customer type'!V71</f>
        <v>1065.1965724762726</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438</v>
      </c>
      <c r="G22" t="s">
        <v>320</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9833.7196902502164</v>
      </c>
      <c r="S22" s="123">
        <f>'Inputs by customer type'!S72</f>
        <v>0</v>
      </c>
      <c r="T22" s="123">
        <f>'Inputs by customer type'!T72</f>
        <v>0</v>
      </c>
      <c r="U22" s="123">
        <f>'Inputs by customer type'!U72</f>
        <v>0</v>
      </c>
      <c r="V22" s="123">
        <f>'Inputs by customer type'!V72</f>
        <v>0</v>
      </c>
      <c r="W22" s="123">
        <f>'Inputs by customer type'!W72</f>
        <v>9833.7196902502164</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6154.361518550475</v>
      </c>
      <c r="AN22" s="123">
        <f>'Inputs by customer type'!AN72</f>
        <v>6154.361518550475</v>
      </c>
      <c r="AO22" s="123">
        <f>'Inputs by customer type'!AO72</f>
        <v>6154.361518550475</v>
      </c>
      <c r="AP22" s="123">
        <f>'Inputs by customer type'!AP72</f>
        <v>6154.361518550475</v>
      </c>
    </row>
    <row r="23" spans="5:42" x14ac:dyDescent="0.25">
      <c r="E23" s="91"/>
      <c r="F23" s="37" t="s">
        <v>666</v>
      </c>
      <c r="G23" s="37" t="s">
        <v>323</v>
      </c>
      <c r="H23" s="37"/>
      <c r="I23" s="37"/>
      <c r="J23" s="81"/>
      <c r="K23" s="81"/>
      <c r="L23" s="81"/>
      <c r="M23" s="81"/>
      <c r="N23" s="81"/>
      <c r="O23" s="81"/>
      <c r="P23" s="81"/>
      <c r="Q23" s="81"/>
      <c r="R23" s="81"/>
      <c r="S23" s="81"/>
      <c r="T23" s="81"/>
      <c r="U23" s="81"/>
      <c r="V23" s="81"/>
      <c r="W23" s="81"/>
      <c r="X23" s="128">
        <f>'Inputs by customer type'!X74</f>
        <v>263.68548631578949</v>
      </c>
      <c r="Y23" s="128">
        <f>'Inputs by customer type'!Y74</f>
        <v>263.68548631578949</v>
      </c>
      <c r="Z23" s="128">
        <f>'Inputs by customer type'!Z74</f>
        <v>263.68548631578949</v>
      </c>
      <c r="AA23" s="128">
        <f>'Inputs by customer type'!AA74</f>
        <v>263.68548631578949</v>
      </c>
      <c r="AB23" s="128">
        <f>'Inputs by customer type'!AB74</f>
        <v>263.68548631578949</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667</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668</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437</v>
      </c>
      <c r="G27" s="23" t="s">
        <v>336</v>
      </c>
      <c r="H27" s="132"/>
      <c r="I27" s="23"/>
      <c r="J27" s="129">
        <f t="shared" ref="J27:AP27" si="0">J21 * J$16</f>
        <v>415910217.02521294</v>
      </c>
      <c r="K27" s="129">
        <f t="shared" si="0"/>
        <v>173885108.611386</v>
      </c>
      <c r="L27" s="129">
        <f t="shared" si="0"/>
        <v>0</v>
      </c>
      <c r="M27" s="129">
        <f t="shared" si="0"/>
        <v>66413180.835491143</v>
      </c>
      <c r="N27" s="129">
        <f t="shared" si="0"/>
        <v>56305497.702971235</v>
      </c>
      <c r="O27" s="129">
        <f t="shared" si="0"/>
        <v>0</v>
      </c>
      <c r="P27" s="129">
        <f t="shared" si="0"/>
        <v>257757.15715568751</v>
      </c>
      <c r="Q27" s="129">
        <f t="shared" si="0"/>
        <v>475.50992499438587</v>
      </c>
      <c r="R27" s="129">
        <f t="shared" si="0"/>
        <v>0</v>
      </c>
      <c r="S27" s="129">
        <f t="shared" si="0"/>
        <v>1555931.2470238348</v>
      </c>
      <c r="T27" s="129">
        <f t="shared" si="0"/>
        <v>1855589.6709418586</v>
      </c>
      <c r="U27" s="129">
        <f t="shared" si="0"/>
        <v>20797280.219057087</v>
      </c>
      <c r="V27" s="129">
        <f t="shared" si="0"/>
        <v>408699.35136022634</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438</v>
      </c>
      <c r="G28" t="s">
        <v>336</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362204.18497458607</v>
      </c>
      <c r="S28" s="101">
        <f t="shared" si="1"/>
        <v>0</v>
      </c>
      <c r="T28" s="101">
        <f t="shared" si="1"/>
        <v>0</v>
      </c>
      <c r="U28" s="101">
        <f t="shared" si="1"/>
        <v>0</v>
      </c>
      <c r="V28" s="101">
        <f t="shared" si="1"/>
        <v>0</v>
      </c>
      <c r="W28" s="101">
        <f t="shared" si="1"/>
        <v>35065062.769102022</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1387685.7387055212</v>
      </c>
      <c r="AN28" s="101">
        <f t="shared" si="1"/>
        <v>0</v>
      </c>
      <c r="AO28" s="101">
        <f t="shared" si="1"/>
        <v>1430553.0502159691</v>
      </c>
      <c r="AP28" s="101">
        <f t="shared" si="1"/>
        <v>0</v>
      </c>
    </row>
    <row r="29" spans="5:42" x14ac:dyDescent="0.25">
      <c r="F29" s="37" t="s">
        <v>666</v>
      </c>
      <c r="G29" s="37" t="s">
        <v>336</v>
      </c>
      <c r="H29" s="133"/>
      <c r="I29" s="37"/>
      <c r="J29" s="81"/>
      <c r="K29" s="81"/>
      <c r="L29" s="81"/>
      <c r="M29" s="81"/>
      <c r="N29" s="81"/>
      <c r="O29" s="81"/>
      <c r="P29" s="81"/>
      <c r="Q29" s="81"/>
      <c r="R29" s="81"/>
      <c r="S29" s="81"/>
      <c r="T29" s="81"/>
      <c r="U29" s="81"/>
      <c r="V29" s="81"/>
      <c r="W29" s="81"/>
      <c r="X29" s="103">
        <f>X23 * X$17</f>
        <v>7684066.8063564235</v>
      </c>
      <c r="Y29" s="103">
        <f>Y23 * Y$17</f>
        <v>6037399.5753254062</v>
      </c>
      <c r="Z29" s="103">
        <f>Z23 * Z$17</f>
        <v>104260.44564926859</v>
      </c>
      <c r="AA29" s="103">
        <f>AA23 * AA$17</f>
        <v>2025651.5818713612</v>
      </c>
      <c r="AB29" s="103">
        <f>AB23 * AB$17</f>
        <v>55360344.505448632</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670</v>
      </c>
      <c r="H32" s="131" t="s">
        <v>658</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671</v>
      </c>
      <c r="G33" s="23"/>
      <c r="H33" s="104">
        <f>SUM(J33:AP33)</f>
        <v>808601460.24517596</v>
      </c>
      <c r="I33" s="23"/>
      <c r="J33" s="163">
        <f t="shared" ref="J33:AP33" si="2">J27 +J29</f>
        <v>415910217.02521294</v>
      </c>
      <c r="K33" s="163">
        <f t="shared" si="2"/>
        <v>173885108.611386</v>
      </c>
      <c r="L33" s="163">
        <f t="shared" si="2"/>
        <v>0</v>
      </c>
      <c r="M33" s="163">
        <f t="shared" si="2"/>
        <v>66413180.835491143</v>
      </c>
      <c r="N33" s="163">
        <f t="shared" si="2"/>
        <v>56305497.702971235</v>
      </c>
      <c r="O33" s="163">
        <f t="shared" si="2"/>
        <v>0</v>
      </c>
      <c r="P33" s="163">
        <f t="shared" si="2"/>
        <v>257757.15715568751</v>
      </c>
      <c r="Q33" s="163">
        <f t="shared" si="2"/>
        <v>475.50992499438587</v>
      </c>
      <c r="R33" s="163">
        <f t="shared" si="2"/>
        <v>0</v>
      </c>
      <c r="S33" s="163">
        <f t="shared" si="2"/>
        <v>1555931.2470238348</v>
      </c>
      <c r="T33" s="163">
        <f t="shared" si="2"/>
        <v>1855589.6709418586</v>
      </c>
      <c r="U33" s="163">
        <f t="shared" si="2"/>
        <v>20797280.219057087</v>
      </c>
      <c r="V33" s="163">
        <f t="shared" si="2"/>
        <v>408699.35136022634</v>
      </c>
      <c r="W33" s="163">
        <f t="shared" si="2"/>
        <v>0</v>
      </c>
      <c r="X33" s="163">
        <f t="shared" si="2"/>
        <v>7684066.8063564235</v>
      </c>
      <c r="Y33" s="163">
        <f t="shared" si="2"/>
        <v>6037399.5753254062</v>
      </c>
      <c r="Z33" s="163">
        <f t="shared" si="2"/>
        <v>104260.44564926859</v>
      </c>
      <c r="AA33" s="163">
        <f t="shared" si="2"/>
        <v>2025651.5818713612</v>
      </c>
      <c r="AB33" s="163">
        <f t="shared" si="2"/>
        <v>55360344.505448632</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672</v>
      </c>
      <c r="G34" s="37"/>
      <c r="H34" s="134">
        <f>SUM(J34:AP34)</f>
        <v>38245505.742998101</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362204.18497458607</v>
      </c>
      <c r="S34" s="82">
        <f t="shared" si="3"/>
        <v>0</v>
      </c>
      <c r="T34" s="82">
        <f t="shared" si="3"/>
        <v>0</v>
      </c>
      <c r="U34" s="82">
        <f t="shared" si="3"/>
        <v>0</v>
      </c>
      <c r="V34" s="82">
        <f t="shared" si="3"/>
        <v>0</v>
      </c>
      <c r="W34" s="82">
        <f t="shared" si="3"/>
        <v>35065062.769102022</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1387685.7387055212</v>
      </c>
      <c r="AN34" s="82">
        <f t="shared" si="3"/>
        <v>0</v>
      </c>
      <c r="AO34" s="82">
        <f t="shared" si="3"/>
        <v>1430553.0502159691</v>
      </c>
      <c r="AP34" s="82">
        <f t="shared" si="3"/>
        <v>0</v>
      </c>
    </row>
    <row r="36" spans="2:60" x14ac:dyDescent="0.25">
      <c r="B36" s="30" t="s">
        <v>281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282</v>
      </c>
      <c r="G38" s="6" t="s">
        <v>57</v>
      </c>
      <c r="H38" s="26">
        <f t="array" ref="H38">SUM(IF(ISERROR(H16:AP35), 1))</f>
        <v>0</v>
      </c>
    </row>
    <row r="40" spans="2:60" x14ac:dyDescent="0.25">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WPD EMEB - [enter data version name]</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96"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3"/>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673</v>
      </c>
      <c r="D9" s="29"/>
    </row>
    <row r="10" spans="1:23" x14ac:dyDescent="0.25">
      <c r="C10" s="29" t="s">
        <v>674</v>
      </c>
      <c r="D10" s="29"/>
    </row>
    <row r="11" spans="1:23" x14ac:dyDescent="0.25">
      <c r="C11" s="29"/>
      <c r="D11" s="29" t="s">
        <v>675</v>
      </c>
    </row>
    <row r="12" spans="1:23" x14ac:dyDescent="0.25">
      <c r="C12" s="29"/>
      <c r="D12" s="29" t="s">
        <v>676</v>
      </c>
    </row>
    <row r="13" spans="1:23" x14ac:dyDescent="0.25">
      <c r="C13" s="29" t="s">
        <v>677</v>
      </c>
      <c r="D13" s="29"/>
    </row>
    <row r="15" spans="1:23" x14ac:dyDescent="0.25">
      <c r="B15" s="30" t="s">
        <v>678</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679</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680</v>
      </c>
      <c r="I21" s="3" t="s">
        <v>191</v>
      </c>
      <c r="J21" s="3"/>
      <c r="K21" s="3"/>
      <c r="L21" s="3"/>
      <c r="M21" s="3"/>
      <c r="N21" s="3"/>
      <c r="O21" s="3"/>
      <c r="P21" s="3"/>
      <c r="Q21" s="3"/>
      <c r="R21" s="3"/>
      <c r="S21" s="3"/>
      <c r="T21" s="3"/>
      <c r="U21" s="3"/>
      <c r="W21" s="3" t="s">
        <v>202</v>
      </c>
    </row>
    <row r="22" spans="3:25" x14ac:dyDescent="0.25">
      <c r="D22" s="29"/>
    </row>
    <row r="23" spans="3:25" x14ac:dyDescent="0.25">
      <c r="D23" s="91"/>
      <c r="E23" s="28" t="s">
        <v>414</v>
      </c>
      <c r="G23" s="28" t="s">
        <v>204</v>
      </c>
      <c r="H23" s="119">
        <f>'General inputs'!H89</f>
        <v>3.73E-2</v>
      </c>
      <c r="I23" s="3"/>
      <c r="J23" s="3"/>
      <c r="K23" s="3"/>
      <c r="L23" s="3"/>
      <c r="M23" s="3"/>
      <c r="N23" s="3"/>
      <c r="O23" s="3"/>
      <c r="P23" s="3"/>
      <c r="Q23" s="3"/>
      <c r="R23" s="3"/>
      <c r="S23" s="3"/>
      <c r="T23" s="3"/>
      <c r="U23" s="3"/>
    </row>
    <row r="24" spans="3:25" x14ac:dyDescent="0.25">
      <c r="D24" s="91"/>
      <c r="E24" s="28" t="s">
        <v>200</v>
      </c>
      <c r="G24" s="28" t="s">
        <v>201</v>
      </c>
      <c r="H24" s="52">
        <f>'Fixed inputs'!H35</f>
        <v>40</v>
      </c>
      <c r="I24" s="3"/>
      <c r="J24" s="3"/>
      <c r="K24" s="3"/>
      <c r="L24" s="3"/>
      <c r="M24" s="3"/>
      <c r="N24" s="3"/>
      <c r="O24" s="3"/>
      <c r="P24" s="3"/>
      <c r="Q24" s="3"/>
      <c r="R24" s="3"/>
      <c r="S24" s="3"/>
      <c r="T24" s="3"/>
      <c r="U24" s="3"/>
      <c r="W24" s="3"/>
    </row>
    <row r="25" spans="3:25" x14ac:dyDescent="0.25">
      <c r="E25" s="28" t="s">
        <v>681</v>
      </c>
      <c r="G25" s="28" t="s">
        <v>204</v>
      </c>
      <c r="H25" s="193">
        <f>H23 / (1 - (1 + H23) ^ -H24)</f>
        <v>4.8511696964659567E-2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682</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683</v>
      </c>
      <c r="F31" s="122"/>
      <c r="G31" s="28" t="s">
        <v>684</v>
      </c>
      <c r="H31" s="3"/>
      <c r="I31" s="3"/>
      <c r="J31" s="79"/>
      <c r="K31" s="123">
        <f>'Load &amp; loss characteristics'!K29</f>
        <v>1</v>
      </c>
      <c r="L31" s="123">
        <f>'Load &amp; loss characteristics'!L29</f>
        <v>1.0029999999999999</v>
      </c>
      <c r="M31" s="123">
        <f>'Load &amp; loss characteristics'!M29</f>
        <v>1.006</v>
      </c>
      <c r="N31" s="123">
        <f>'Load &amp; loss characteristics'!N29</f>
        <v>1.014</v>
      </c>
      <c r="O31" s="123">
        <f>'Load &amp; loss characteristics'!O29</f>
        <v>1.02</v>
      </c>
      <c r="P31" s="123">
        <f>'Load &amp; loss characteristics'!P29</f>
        <v>1.02</v>
      </c>
      <c r="Q31" s="123">
        <f>'Load &amp; loss characteristics'!Q29</f>
        <v>1.036</v>
      </c>
      <c r="R31" s="123">
        <f>'Load &amp; loss characteristics'!R29</f>
        <v>1.0469999999999999</v>
      </c>
      <c r="S31" s="123">
        <f>'Load &amp; loss characteristics'!S29</f>
        <v>1.0780000000000001</v>
      </c>
      <c r="T31" s="79"/>
      <c r="U31" s="79"/>
    </row>
    <row r="32" spans="3:25" x14ac:dyDescent="0.25">
      <c r="E32" t="s">
        <v>685</v>
      </c>
      <c r="F32" s="194"/>
      <c r="G32" s="28" t="s">
        <v>204</v>
      </c>
      <c r="H32" s="3"/>
      <c r="I32" s="3"/>
      <c r="J32" s="195"/>
      <c r="K32" s="196">
        <f>'Load &amp; loss characteristics'!$K$23</f>
        <v>2.4713742436156094E-2</v>
      </c>
      <c r="L32" s="197"/>
      <c r="M32" s="197"/>
      <c r="N32" s="197"/>
      <c r="O32" s="197"/>
      <c r="P32" s="195"/>
      <c r="Q32" s="197"/>
      <c r="R32" s="197"/>
      <c r="S32" s="197"/>
      <c r="T32" s="195"/>
      <c r="U32" s="195"/>
      <c r="Y32" s="198"/>
    </row>
    <row r="33" spans="3:23" x14ac:dyDescent="0.25">
      <c r="E33" t="s">
        <v>686</v>
      </c>
      <c r="F33" s="122"/>
      <c r="G33" s="28" t="s">
        <v>204</v>
      </c>
      <c r="H33" s="3"/>
      <c r="I33" s="3"/>
      <c r="J33" s="70"/>
      <c r="K33" s="193">
        <f xml:space="preserve"> 1 / (1 + K32)</f>
        <v>0.97588229628168977</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687</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208</v>
      </c>
      <c r="F39" s="122"/>
      <c r="G39" s="28" t="s">
        <v>209</v>
      </c>
      <c r="H39" s="123">
        <f>'Fixed inputs'!H41</f>
        <v>500</v>
      </c>
      <c r="I39" s="3"/>
      <c r="J39" s="79"/>
      <c r="K39" s="79"/>
      <c r="L39" s="79"/>
      <c r="M39" s="79"/>
      <c r="N39" s="79"/>
      <c r="O39" s="79"/>
      <c r="P39" s="79"/>
      <c r="Q39" s="79"/>
      <c r="R39" s="79"/>
      <c r="S39" s="79"/>
      <c r="T39" s="79"/>
      <c r="U39" s="79"/>
      <c r="W39" s="3"/>
    </row>
    <row r="40" spans="3:23" x14ac:dyDescent="0.25">
      <c r="E40" t="s">
        <v>688</v>
      </c>
      <c r="F40" s="122"/>
      <c r="G40" s="28" t="s">
        <v>209</v>
      </c>
      <c r="H40" s="3"/>
      <c r="I40" s="3" t="s">
        <v>191</v>
      </c>
      <c r="J40" s="79"/>
      <c r="K40" s="199">
        <f t="shared" ref="K40:S40" si="0">$H$39 * $K$33 / K31</f>
        <v>487.94114814084486</v>
      </c>
      <c r="L40" s="199">
        <f t="shared" si="0"/>
        <v>486.48170303174965</v>
      </c>
      <c r="M40" s="199">
        <f t="shared" si="0"/>
        <v>485.03096236664499</v>
      </c>
      <c r="N40" s="199">
        <f t="shared" si="0"/>
        <v>481.20428810734205</v>
      </c>
      <c r="O40" s="199">
        <f t="shared" si="0"/>
        <v>478.37367464788713</v>
      </c>
      <c r="P40" s="199">
        <f t="shared" si="0"/>
        <v>478.37367464788713</v>
      </c>
      <c r="Q40" s="199">
        <f t="shared" si="0"/>
        <v>470.98566422861472</v>
      </c>
      <c r="R40" s="199">
        <f t="shared" si="0"/>
        <v>466.03739077444595</v>
      </c>
      <c r="S40" s="199">
        <f t="shared" si="0"/>
        <v>452.63557341451281</v>
      </c>
      <c r="T40" s="79"/>
      <c r="U40" s="79"/>
      <c r="W40" s="3" t="s">
        <v>689</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690</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341</v>
      </c>
      <c r="G46" s="28" t="s">
        <v>204</v>
      </c>
      <c r="H46" s="3"/>
      <c r="I46" s="3"/>
      <c r="J46" s="197"/>
      <c r="K46" s="197"/>
      <c r="L46" s="197"/>
      <c r="M46" s="197"/>
      <c r="N46" s="197"/>
      <c r="O46" s="197"/>
      <c r="P46" s="196">
        <f>'Inputs by network level'!P17</f>
        <v>7.5044342711319545E-2</v>
      </c>
      <c r="Q46" s="197"/>
      <c r="R46" s="197"/>
      <c r="S46" s="197"/>
      <c r="T46" s="197"/>
      <c r="U46" s="197"/>
      <c r="W46" s="3"/>
    </row>
    <row r="47" spans="3:23" x14ac:dyDescent="0.25">
      <c r="E47" s="28" t="s">
        <v>691</v>
      </c>
      <c r="G47" s="28" t="s">
        <v>204</v>
      </c>
      <c r="H47" s="3"/>
      <c r="I47" s="3"/>
      <c r="J47" s="197"/>
      <c r="K47" s="197"/>
      <c r="L47" s="197"/>
      <c r="M47" s="193">
        <f>IF(M46 = "", 1 - $P$46, M46)</f>
        <v>0.92495565728868046</v>
      </c>
      <c r="N47" s="193">
        <f>IF(N46 = "", 1 - $P$46, N46)</f>
        <v>0.92495565728868046</v>
      </c>
      <c r="O47" s="193">
        <f>IF(O46 = "", 1 - $P$46, O46)</f>
        <v>0.92495565728868046</v>
      </c>
      <c r="P47" s="193">
        <f>IF(P46 = "", 1 - $P$46, P46)</f>
        <v>7.5044342711319545E-2</v>
      </c>
      <c r="Q47" s="197"/>
      <c r="R47" s="197"/>
      <c r="S47" s="197"/>
      <c r="T47" s="197"/>
      <c r="U47" s="197"/>
      <c r="W47" s="3"/>
    </row>
    <row r="48" spans="3:23" x14ac:dyDescent="0.25">
      <c r="E48" s="28" t="s">
        <v>692</v>
      </c>
      <c r="G48" s="28" t="s">
        <v>209</v>
      </c>
      <c r="H48" s="3"/>
      <c r="I48" s="3"/>
      <c r="J48" s="79"/>
      <c r="K48" s="101">
        <f t="shared" ref="K48:S48" si="1">IF(K47 = "", K40, K47 * K40)</f>
        <v>487.94114814084486</v>
      </c>
      <c r="L48" s="101">
        <f t="shared" si="1"/>
        <v>486.48170303174965</v>
      </c>
      <c r="M48" s="101">
        <f t="shared" si="1"/>
        <v>448.63213260120136</v>
      </c>
      <c r="N48" s="101">
        <f t="shared" si="1"/>
        <v>445.09262859645816</v>
      </c>
      <c r="O48" s="101">
        <f t="shared" si="1"/>
        <v>442.4744366635378</v>
      </c>
      <c r="P48" s="101">
        <f t="shared" si="1"/>
        <v>35.899237984349313</v>
      </c>
      <c r="Q48" s="101">
        <f t="shared" si="1"/>
        <v>470.98566422861472</v>
      </c>
      <c r="R48" s="101">
        <f t="shared" si="1"/>
        <v>466.03739077444595</v>
      </c>
      <c r="S48" s="101">
        <f t="shared" si="1"/>
        <v>452.63557341451281</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693</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694</v>
      </c>
      <c r="F54" s="194"/>
      <c r="G54" s="28" t="s">
        <v>336</v>
      </c>
      <c r="H54" s="3"/>
      <c r="I54" s="3"/>
      <c r="J54" s="79"/>
      <c r="K54" s="79"/>
      <c r="L54" s="123">
        <f>'Inputs by network level'!L33</f>
        <v>56512948.068421364</v>
      </c>
      <c r="M54" s="123">
        <f>'Inputs by network level'!M33</f>
        <v>29527488.045204874</v>
      </c>
      <c r="N54" s="123">
        <f>'Inputs by network level'!N33</f>
        <v>36477213.59385708</v>
      </c>
      <c r="O54" s="123">
        <f>'Inputs by network level'!O33</f>
        <v>58681418.184886076</v>
      </c>
      <c r="P54" s="123">
        <f>'Inputs by network level'!P33</f>
        <v>4941386.7035329845</v>
      </c>
      <c r="Q54" s="123">
        <f>'Inputs by network level'!Q33</f>
        <v>135191940.65808666</v>
      </c>
      <c r="R54" s="123">
        <f>'Inputs by network level'!R33</f>
        <v>61884400.357973963</v>
      </c>
      <c r="S54" s="123">
        <f>'Inputs by network level'!S33</f>
        <v>123348394.69804354</v>
      </c>
      <c r="T54" s="79"/>
      <c r="U54" s="79"/>
      <c r="W54" s="3"/>
    </row>
    <row r="55" spans="2:23" x14ac:dyDescent="0.25">
      <c r="E55" t="s">
        <v>695</v>
      </c>
      <c r="F55" s="194"/>
      <c r="G55" s="28" t="s">
        <v>696</v>
      </c>
      <c r="H55" s="3"/>
      <c r="I55" s="3"/>
      <c r="J55" s="79"/>
      <c r="K55" s="79"/>
      <c r="L55" s="101">
        <f t="shared" ref="L55:S55" si="2">IF(L48 = 0, 0, L54 / (L48 * thousand))</f>
        <v>116.16664658965215</v>
      </c>
      <c r="M55" s="101">
        <f t="shared" si="2"/>
        <v>65.816703484884982</v>
      </c>
      <c r="N55" s="101">
        <f t="shared" si="2"/>
        <v>81.954207394724193</v>
      </c>
      <c r="O55" s="101">
        <f t="shared" si="2"/>
        <v>132.6210359797758</v>
      </c>
      <c r="P55" s="101">
        <f t="shared" si="2"/>
        <v>137.64600534661039</v>
      </c>
      <c r="Q55" s="101">
        <f t="shared" si="2"/>
        <v>287.04045775895418</v>
      </c>
      <c r="R55" s="101">
        <f t="shared" si="2"/>
        <v>132.78848775446204</v>
      </c>
      <c r="S55" s="101">
        <f t="shared" si="2"/>
        <v>272.51149035315444</v>
      </c>
      <c r="T55" s="79"/>
      <c r="U55" s="79"/>
      <c r="W55" s="3"/>
    </row>
    <row r="56" spans="2:23" x14ac:dyDescent="0.25">
      <c r="E56" t="s">
        <v>697</v>
      </c>
      <c r="F56" s="194"/>
      <c r="G56" s="28" t="s">
        <v>698</v>
      </c>
      <c r="H56" s="3"/>
      <c r="I56" s="3" t="s">
        <v>191</v>
      </c>
      <c r="J56" s="79"/>
      <c r="K56" s="79"/>
      <c r="L56" s="101">
        <f t="shared" ref="L56:S56" si="3">L55 * $H$25</f>
        <v>5.635441156757909</v>
      </c>
      <c r="M56" s="101">
        <f t="shared" si="3"/>
        <v>3.1928799746715937</v>
      </c>
      <c r="N56" s="101">
        <f t="shared" si="3"/>
        <v>3.9757376741117225</v>
      </c>
      <c r="O56" s="101">
        <f t="shared" si="3"/>
        <v>6.4336715085900966</v>
      </c>
      <c r="P56" s="101">
        <f t="shared" si="3"/>
        <v>6.677441299770674</v>
      </c>
      <c r="Q56" s="101">
        <f t="shared" si="3"/>
        <v>13.92481970339955</v>
      </c>
      <c r="R56" s="101">
        <f t="shared" si="3"/>
        <v>6.44179487833987</v>
      </c>
      <c r="S56" s="101">
        <f t="shared" si="3"/>
        <v>13.219994839399977</v>
      </c>
      <c r="T56" s="79"/>
      <c r="U56" s="79"/>
      <c r="W56" s="3" t="s">
        <v>699</v>
      </c>
    </row>
    <row r="57" spans="2:23" x14ac:dyDescent="0.25">
      <c r="H57" s="3"/>
      <c r="I57" s="3"/>
      <c r="J57" s="130"/>
      <c r="K57" s="130"/>
      <c r="L57" s="130"/>
      <c r="M57" s="130"/>
      <c r="N57" s="130"/>
      <c r="O57" s="130"/>
      <c r="P57" s="130"/>
      <c r="Q57" s="130"/>
      <c r="R57" s="130"/>
      <c r="S57" s="130"/>
      <c r="T57" s="130"/>
      <c r="U57" s="130"/>
      <c r="W57" s="3"/>
    </row>
    <row r="58" spans="2:23" x14ac:dyDescent="0.25">
      <c r="B58" s="30" t="s">
        <v>700</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701</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702</v>
      </c>
      <c r="G64" t="s">
        <v>209</v>
      </c>
      <c r="J64" s="79"/>
      <c r="K64" s="123">
        <f t="array" ref="K64:S64">TRANSPOSE('System peak demand'!H269:H277)</f>
        <v>4603.46781554886</v>
      </c>
      <c r="L64" s="123">
        <v>4578.1531525772771</v>
      </c>
      <c r="M64" s="123">
        <v>4199.4884151869201</v>
      </c>
      <c r="N64" s="123">
        <v>4376.0504525995084</v>
      </c>
      <c r="O64" s="123">
        <v>5386.8788813976462</v>
      </c>
      <c r="P64" s="123">
        <v>455.85028762772743</v>
      </c>
      <c r="Q64" s="123">
        <v>5472.8557588576441</v>
      </c>
      <c r="R64" s="123">
        <v>4233.4819069210698</v>
      </c>
      <c r="S64" s="123">
        <v>3331.8548420035459</v>
      </c>
      <c r="T64" s="79"/>
      <c r="U64" s="79"/>
    </row>
    <row r="65" spans="3:24" x14ac:dyDescent="0.25">
      <c r="E65" s="28" t="s">
        <v>703</v>
      </c>
      <c r="F65" s="28"/>
      <c r="G65" s="28" t="s">
        <v>209</v>
      </c>
      <c r="H65" s="105"/>
      <c r="J65" s="101">
        <f>K64</f>
        <v>4603.46781554886</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702</v>
      </c>
      <c r="F67" s="28"/>
      <c r="G67" s="28" t="s">
        <v>633</v>
      </c>
      <c r="H67" s="105"/>
      <c r="J67" s="101">
        <f t="shared" ref="J67:S67" si="4">SUM(J64:J65) * thousand</f>
        <v>4603467.8155488605</v>
      </c>
      <c r="K67" s="101">
        <f t="shared" si="4"/>
        <v>4603467.8155488605</v>
      </c>
      <c r="L67" s="101">
        <f t="shared" si="4"/>
        <v>4578153.1525772773</v>
      </c>
      <c r="M67" s="101">
        <f t="shared" si="4"/>
        <v>4199488.4151869202</v>
      </c>
      <c r="N67" s="101">
        <f t="shared" si="4"/>
        <v>4376050.4525995087</v>
      </c>
      <c r="O67" s="101">
        <f t="shared" si="4"/>
        <v>5386878.8813976459</v>
      </c>
      <c r="P67" s="101">
        <f t="shared" si="4"/>
        <v>455850.28762772743</v>
      </c>
      <c r="Q67" s="101">
        <f t="shared" si="4"/>
        <v>5472855.7588576442</v>
      </c>
      <c r="R67" s="101">
        <f t="shared" si="4"/>
        <v>4233481.9069210701</v>
      </c>
      <c r="S67" s="101">
        <f t="shared" si="4"/>
        <v>3331854.8420035457</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704</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705</v>
      </c>
      <c r="F73" s="28"/>
      <c r="G73" s="28" t="s">
        <v>336</v>
      </c>
      <c r="J73" s="79"/>
      <c r="K73" s="79"/>
      <c r="L73" s="101">
        <f t="shared" ref="L73:S73" si="5">L67 * L55</f>
        <v>531828699.3087464</v>
      </c>
      <c r="M73" s="101">
        <f t="shared" si="5"/>
        <v>276396483.81056708</v>
      </c>
      <c r="N73" s="101">
        <f t="shared" si="5"/>
        <v>358635746.36211681</v>
      </c>
      <c r="O73" s="101">
        <f t="shared" si="5"/>
        <v>714413457.94853163</v>
      </c>
      <c r="P73" s="101">
        <f t="shared" si="5"/>
        <v>62745971.128060058</v>
      </c>
      <c r="Q73" s="101">
        <f t="shared" si="5"/>
        <v>1570931022.2712266</v>
      </c>
      <c r="R73" s="101">
        <f t="shared" si="5"/>
        <v>562157660.35592508</v>
      </c>
      <c r="S73" s="101">
        <f t="shared" si="5"/>
        <v>907968728.63476014</v>
      </c>
      <c r="T73" s="79"/>
      <c r="U73" s="79"/>
      <c r="X73" s="63"/>
    </row>
    <row r="74" spans="3:24" x14ac:dyDescent="0.25">
      <c r="E74" s="28" t="s">
        <v>706</v>
      </c>
      <c r="F74" s="28"/>
      <c r="G74" s="28" t="s">
        <v>336</v>
      </c>
      <c r="J74" s="79"/>
      <c r="K74" s="79"/>
      <c r="L74" s="79"/>
      <c r="M74" s="79"/>
      <c r="N74" s="79"/>
      <c r="O74" s="79"/>
      <c r="P74" s="79"/>
      <c r="Q74" s="79"/>
      <c r="R74" s="79"/>
      <c r="S74" s="79"/>
      <c r="T74" s="123">
        <f>'Service model assets'!H33</f>
        <v>808601460.24517596</v>
      </c>
      <c r="U74" s="123">
        <f>'Service model assets'!H34</f>
        <v>38245505.742998101</v>
      </c>
      <c r="X74" s="63"/>
    </row>
    <row r="75" spans="3:24" x14ac:dyDescent="0.25">
      <c r="J75" s="92"/>
      <c r="K75" s="92"/>
      <c r="L75" s="92"/>
      <c r="M75" s="92"/>
      <c r="N75" s="92"/>
      <c r="O75" s="92"/>
      <c r="P75" s="92"/>
      <c r="Q75" s="92"/>
      <c r="R75" s="92"/>
      <c r="S75" s="92"/>
      <c r="T75" s="92"/>
      <c r="U75" s="92"/>
      <c r="X75" s="63"/>
    </row>
    <row r="76" spans="3:24" x14ac:dyDescent="0.25">
      <c r="E76" s="28" t="s">
        <v>707</v>
      </c>
      <c r="F76" s="28"/>
      <c r="G76" s="28" t="s">
        <v>336</v>
      </c>
      <c r="I76" t="s">
        <v>191</v>
      </c>
      <c r="J76" s="79"/>
      <c r="K76" s="101">
        <f t="shared" ref="K76:U76" si="6">K73 + K74</f>
        <v>0</v>
      </c>
      <c r="L76" s="101">
        <f t="shared" si="6"/>
        <v>531828699.3087464</v>
      </c>
      <c r="M76" s="101">
        <f t="shared" si="6"/>
        <v>276396483.81056708</v>
      </c>
      <c r="N76" s="101">
        <f t="shared" si="6"/>
        <v>358635746.36211681</v>
      </c>
      <c r="O76" s="101">
        <f t="shared" si="6"/>
        <v>714413457.94853163</v>
      </c>
      <c r="P76" s="101">
        <f t="shared" si="6"/>
        <v>62745971.128060058</v>
      </c>
      <c r="Q76" s="101">
        <f t="shared" si="6"/>
        <v>1570931022.2712266</v>
      </c>
      <c r="R76" s="101">
        <f t="shared" si="6"/>
        <v>562157660.35592508</v>
      </c>
      <c r="S76" s="101">
        <f t="shared" si="6"/>
        <v>907968728.63476014</v>
      </c>
      <c r="T76" s="101">
        <f t="shared" si="6"/>
        <v>808601460.24517596</v>
      </c>
      <c r="U76" s="101">
        <f t="shared" si="6"/>
        <v>38245505.742998101</v>
      </c>
      <c r="W76" s="3" t="s">
        <v>708</v>
      </c>
      <c r="X76" s="63"/>
    </row>
    <row r="77" spans="3:24" x14ac:dyDescent="0.25">
      <c r="L77" s="63"/>
      <c r="M77" s="63"/>
      <c r="N77" s="63"/>
      <c r="O77" s="63"/>
      <c r="P77" s="63"/>
      <c r="Q77" s="63"/>
      <c r="R77" s="63"/>
      <c r="S77" s="63"/>
      <c r="T77" s="63"/>
      <c r="U77" s="63"/>
      <c r="X77" s="63"/>
    </row>
    <row r="78" spans="3:24" x14ac:dyDescent="0.25">
      <c r="E78" s="28" t="s">
        <v>709</v>
      </c>
      <c r="F78" s="28"/>
      <c r="G78" s="28" t="s">
        <v>204</v>
      </c>
      <c r="J78" s="197"/>
      <c r="K78" s="148">
        <f t="shared" ref="K78:U78" si="7">K76 / SUM($K$76:$U$76)</f>
        <v>0</v>
      </c>
      <c r="L78" s="148">
        <f t="shared" si="7"/>
        <v>9.1192654809708007E-2</v>
      </c>
      <c r="M78" s="148">
        <f t="shared" si="7"/>
        <v>4.7393698706961765E-2</v>
      </c>
      <c r="N78" s="148">
        <f t="shared" si="7"/>
        <v>6.1495263160734531E-2</v>
      </c>
      <c r="O78" s="148">
        <f t="shared" si="7"/>
        <v>0.12250045916436848</v>
      </c>
      <c r="P78" s="148">
        <f t="shared" si="7"/>
        <v>1.0759050222784739E-2</v>
      </c>
      <c r="Q78" s="148">
        <f t="shared" si="7"/>
        <v>0.26936750617265098</v>
      </c>
      <c r="R78" s="148">
        <f t="shared" si="7"/>
        <v>9.639316106126479E-2</v>
      </c>
      <c r="S78" s="148">
        <f t="shared" si="7"/>
        <v>0.15568937696671872</v>
      </c>
      <c r="T78" s="148">
        <f t="shared" si="7"/>
        <v>0.13865087374676674</v>
      </c>
      <c r="U78" s="148">
        <f t="shared" si="7"/>
        <v>6.5579559880411522E-3</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710</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206</v>
      </c>
      <c r="F84" s="28"/>
      <c r="G84" s="28" t="s">
        <v>204</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421</v>
      </c>
      <c r="F86" s="28"/>
      <c r="G86" s="28" t="s">
        <v>418</v>
      </c>
      <c r="H86" s="123">
        <f>'General inputs'!H100</f>
        <v>43916287.543416791</v>
      </c>
      <c r="L86" s="63"/>
      <c r="M86" s="63"/>
      <c r="N86" s="63"/>
      <c r="O86" s="63"/>
      <c r="P86" s="63"/>
      <c r="Q86" s="63"/>
      <c r="R86" s="63"/>
      <c r="S86" s="63"/>
      <c r="T86" s="63"/>
      <c r="U86" s="63"/>
    </row>
    <row r="87" spans="3:23" x14ac:dyDescent="0.25">
      <c r="E87" s="28" t="s">
        <v>422</v>
      </c>
      <c r="F87" s="28"/>
      <c r="G87" s="28" t="s">
        <v>418</v>
      </c>
      <c r="H87" s="123">
        <f>'General inputs'!H101</f>
        <v>129435808.03593904</v>
      </c>
      <c r="L87" s="63"/>
      <c r="M87" s="63"/>
      <c r="N87" s="63"/>
      <c r="O87" s="63"/>
      <c r="P87" s="63"/>
      <c r="Q87" s="63"/>
      <c r="R87" s="63"/>
      <c r="S87" s="63"/>
      <c r="T87" s="63"/>
      <c r="U87" s="63"/>
    </row>
    <row r="88" spans="3:23" x14ac:dyDescent="0.25">
      <c r="E88" s="28" t="s">
        <v>423</v>
      </c>
      <c r="F88" s="28"/>
      <c r="G88" s="28" t="s">
        <v>418</v>
      </c>
      <c r="H88" s="123">
        <f>'General inputs'!H102</f>
        <v>33739616.911991909</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711</v>
      </c>
      <c r="F90" s="28"/>
      <c r="G90" s="28" t="s">
        <v>418</v>
      </c>
      <c r="H90" s="101">
        <f>H86 + H87 * H84 + H88</f>
        <v>155317389.27697212</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712</v>
      </c>
      <c r="H94" s="63"/>
      <c r="L94" s="63"/>
      <c r="M94" s="63"/>
      <c r="N94" s="63"/>
      <c r="O94" s="63"/>
      <c r="P94" s="63"/>
      <c r="Q94" s="63"/>
      <c r="R94" s="63"/>
      <c r="S94" s="63"/>
      <c r="T94" s="63"/>
      <c r="U94" s="63"/>
    </row>
    <row r="95" spans="3:23" x14ac:dyDescent="0.25">
      <c r="D95" s="29" t="s">
        <v>713</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714</v>
      </c>
      <c r="F97" s="28"/>
      <c r="G97" s="28" t="s">
        <v>418</v>
      </c>
      <c r="I97" t="s">
        <v>191</v>
      </c>
      <c r="J97" s="79"/>
      <c r="K97" s="101">
        <f t="shared" ref="K97:U97" si="8">K78 * $H$90</f>
        <v>0</v>
      </c>
      <c r="L97" s="101">
        <f t="shared" si="8"/>
        <v>14163805.066279963</v>
      </c>
      <c r="M97" s="101">
        <f t="shared" si="8"/>
        <v>7361065.5513447104</v>
      </c>
      <c r="N97" s="101">
        <f t="shared" si="8"/>
        <v>9551283.7270256486</v>
      </c>
      <c r="O97" s="101">
        <f t="shared" si="8"/>
        <v>19026451.502640046</v>
      </c>
      <c r="P97" s="101">
        <f t="shared" si="8"/>
        <v>1671067.5917027509</v>
      </c>
      <c r="Q97" s="101">
        <f t="shared" si="8"/>
        <v>41837457.814784825</v>
      </c>
      <c r="R97" s="101">
        <f t="shared" si="8"/>
        <v>14971534.120190334</v>
      </c>
      <c r="S97" s="101">
        <f t="shared" si="8"/>
        <v>24181267.568629108</v>
      </c>
      <c r="T97" s="101">
        <f t="shared" si="8"/>
        <v>21534891.731318884</v>
      </c>
      <c r="U97" s="101">
        <f t="shared" si="8"/>
        <v>1018564.6030558379</v>
      </c>
      <c r="W97" s="3" t="s">
        <v>715</v>
      </c>
    </row>
    <row r="98" spans="2:23" x14ac:dyDescent="0.25">
      <c r="E98" s="28" t="s">
        <v>417</v>
      </c>
      <c r="F98" s="28"/>
      <c r="G98" s="28" t="s">
        <v>418</v>
      </c>
      <c r="H98" s="63"/>
      <c r="I98" s="63"/>
      <c r="J98" s="123">
        <f>'General inputs'!$H$95</f>
        <v>12903738.284178527</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716</v>
      </c>
      <c r="F100" s="28"/>
      <c r="G100" s="28" t="s">
        <v>717</v>
      </c>
      <c r="I100" t="s">
        <v>191</v>
      </c>
      <c r="J100" s="101">
        <f t="shared" ref="J100:S100" si="9">IF(J$67 = 0, 0, SUM(J97:J98) / J$67)</f>
        <v>2.8030473549949311</v>
      </c>
      <c r="K100" s="101">
        <f t="shared" si="9"/>
        <v>0</v>
      </c>
      <c r="L100" s="101">
        <f t="shared" si="9"/>
        <v>3.0937813992322276</v>
      </c>
      <c r="M100" s="101">
        <f t="shared" si="9"/>
        <v>1.7528481623438572</v>
      </c>
      <c r="N100" s="101">
        <f t="shared" si="9"/>
        <v>2.182626510019301</v>
      </c>
      <c r="O100" s="101">
        <f t="shared" si="9"/>
        <v>3.5319991263110713</v>
      </c>
      <c r="P100" s="101">
        <f t="shared" si="9"/>
        <v>3.6658254630025309</v>
      </c>
      <c r="Q100" s="101">
        <f t="shared" si="9"/>
        <v>7.6445387304557082</v>
      </c>
      <c r="R100" s="101">
        <f t="shared" si="9"/>
        <v>3.5364587470456068</v>
      </c>
      <c r="S100" s="101">
        <f t="shared" si="9"/>
        <v>7.2575993599073412</v>
      </c>
      <c r="T100" s="79"/>
      <c r="U100" s="79"/>
      <c r="W100" s="3" t="s">
        <v>718</v>
      </c>
    </row>
    <row r="101" spans="2:23" x14ac:dyDescent="0.25">
      <c r="J101" s="92"/>
      <c r="K101" s="92"/>
      <c r="L101" s="92"/>
      <c r="M101" s="92"/>
      <c r="N101" s="92"/>
      <c r="O101" s="92"/>
      <c r="P101" s="92"/>
      <c r="Q101" s="92"/>
      <c r="R101" s="92"/>
      <c r="S101" s="92"/>
      <c r="T101" s="92"/>
      <c r="U101" s="92"/>
    </row>
    <row r="102" spans="2:23" x14ac:dyDescent="0.25">
      <c r="B102" s="30" t="s">
        <v>719</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720</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707</v>
      </c>
      <c r="F108" s="28"/>
      <c r="G108" s="28" t="s">
        <v>336</v>
      </c>
      <c r="J108" s="79"/>
      <c r="K108" s="124">
        <f t="shared" ref="K108:U108" si="10">K76</f>
        <v>0</v>
      </c>
      <c r="L108" s="124">
        <f t="shared" si="10"/>
        <v>531828699.3087464</v>
      </c>
      <c r="M108" s="124">
        <f t="shared" si="10"/>
        <v>276396483.81056708</v>
      </c>
      <c r="N108" s="124">
        <f t="shared" si="10"/>
        <v>358635746.36211681</v>
      </c>
      <c r="O108" s="124">
        <f t="shared" si="10"/>
        <v>714413457.94853163</v>
      </c>
      <c r="P108" s="124">
        <f t="shared" si="10"/>
        <v>62745971.128060058</v>
      </c>
      <c r="Q108" s="124">
        <f t="shared" si="10"/>
        <v>1570931022.2712266</v>
      </c>
      <c r="R108" s="124">
        <f t="shared" si="10"/>
        <v>562157660.35592508</v>
      </c>
      <c r="S108" s="124">
        <f t="shared" si="10"/>
        <v>907968728.63476014</v>
      </c>
      <c r="T108" s="124">
        <f t="shared" si="10"/>
        <v>808601460.24517596</v>
      </c>
      <c r="U108" s="124">
        <f t="shared" si="10"/>
        <v>38245505.742998101</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721</v>
      </c>
    </row>
    <row r="113" spans="2:24" x14ac:dyDescent="0.25">
      <c r="B113" s="29"/>
      <c r="D113" s="29"/>
    </row>
    <row r="114" spans="2:24" x14ac:dyDescent="0.25">
      <c r="E114" t="s">
        <v>697</v>
      </c>
      <c r="F114" s="194"/>
      <c r="G114" s="28" t="s">
        <v>717</v>
      </c>
      <c r="H114" s="3"/>
      <c r="I114" s="3"/>
      <c r="J114" s="79"/>
      <c r="K114" s="79"/>
      <c r="L114" s="124">
        <f t="shared" ref="L114:S114" si="11">L56</f>
        <v>5.635441156757909</v>
      </c>
      <c r="M114" s="124">
        <f t="shared" si="11"/>
        <v>3.1928799746715937</v>
      </c>
      <c r="N114" s="124">
        <f t="shared" si="11"/>
        <v>3.9757376741117225</v>
      </c>
      <c r="O114" s="124">
        <f t="shared" si="11"/>
        <v>6.4336715085900966</v>
      </c>
      <c r="P114" s="124">
        <f t="shared" si="11"/>
        <v>6.677441299770674</v>
      </c>
      <c r="Q114" s="124">
        <f t="shared" si="11"/>
        <v>13.92481970339955</v>
      </c>
      <c r="R114" s="124">
        <f t="shared" si="11"/>
        <v>6.44179487833987</v>
      </c>
      <c r="S114" s="124">
        <f t="shared" si="11"/>
        <v>13.219994839399977</v>
      </c>
      <c r="T114" s="79"/>
      <c r="U114" s="79"/>
    </row>
    <row r="115" spans="2:24" x14ac:dyDescent="0.25">
      <c r="B115" s="29"/>
      <c r="E115" t="s">
        <v>716</v>
      </c>
      <c r="F115" s="28"/>
      <c r="G115" s="28" t="s">
        <v>717</v>
      </c>
      <c r="J115" s="124">
        <f t="shared" ref="J115:S115" si="12">J100</f>
        <v>2.8030473549949311</v>
      </c>
      <c r="K115" s="124">
        <f t="shared" si="12"/>
        <v>0</v>
      </c>
      <c r="L115" s="124">
        <f t="shared" si="12"/>
        <v>3.0937813992322276</v>
      </c>
      <c r="M115" s="124">
        <f t="shared" si="12"/>
        <v>1.7528481623438572</v>
      </c>
      <c r="N115" s="124">
        <f t="shared" si="12"/>
        <v>2.182626510019301</v>
      </c>
      <c r="O115" s="124">
        <f t="shared" si="12"/>
        <v>3.5319991263110713</v>
      </c>
      <c r="P115" s="124">
        <f t="shared" si="12"/>
        <v>3.6658254630025309</v>
      </c>
      <c r="Q115" s="124">
        <f t="shared" si="12"/>
        <v>7.6445387304557082</v>
      </c>
      <c r="R115" s="124">
        <f t="shared" si="12"/>
        <v>3.5364587470456068</v>
      </c>
      <c r="S115" s="124">
        <f t="shared" si="12"/>
        <v>7.2575993599073412</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722</v>
      </c>
    </row>
    <row r="120" spans="2:24" x14ac:dyDescent="0.25">
      <c r="B120" s="29"/>
      <c r="D120" s="29"/>
    </row>
    <row r="121" spans="2:24" x14ac:dyDescent="0.25">
      <c r="B121" s="29"/>
      <c r="C121" s="32"/>
      <c r="E121" t="s">
        <v>681</v>
      </c>
      <c r="F121" s="28"/>
      <c r="G121" s="28" t="s">
        <v>204</v>
      </c>
      <c r="H121" s="203">
        <f>H25</f>
        <v>4.8511696964659567E-2</v>
      </c>
    </row>
    <row r="122" spans="2:24" x14ac:dyDescent="0.25">
      <c r="B122" s="29"/>
      <c r="C122" s="32"/>
      <c r="E122" t="s">
        <v>711</v>
      </c>
      <c r="F122" s="28"/>
      <c r="G122" s="28" t="s">
        <v>418</v>
      </c>
      <c r="H122" s="124">
        <f>H90</f>
        <v>155317389.27697212</v>
      </c>
    </row>
    <row r="123" spans="2:24" x14ac:dyDescent="0.25">
      <c r="E123" t="s">
        <v>707</v>
      </c>
      <c r="F123" s="28"/>
      <c r="G123" s="28" t="s">
        <v>336</v>
      </c>
      <c r="H123" s="124">
        <f>SUM(K76:U76)</f>
        <v>5831924735.8081083</v>
      </c>
      <c r="X123" s="63"/>
    </row>
    <row r="124" spans="2:24" x14ac:dyDescent="0.25">
      <c r="B124" s="29"/>
      <c r="C124" s="32"/>
    </row>
    <row r="125" spans="2:24" x14ac:dyDescent="0.25">
      <c r="B125" s="30" t="s">
        <v>281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282</v>
      </c>
      <c r="G127" s="6" t="s">
        <v>57</v>
      </c>
      <c r="H127" s="204">
        <f t="array" ref="H127">SUM(IF(ISERROR(H23:U123), 1))</f>
        <v>0</v>
      </c>
    </row>
    <row r="129" spans="2:23" x14ac:dyDescent="0.25">
      <c r="E129" t="s">
        <v>723</v>
      </c>
      <c r="G129" s="6" t="s">
        <v>57</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290</v>
      </c>
      <c r="G131" s="6" t="s">
        <v>57</v>
      </c>
      <c r="H131" s="106">
        <f>H127 + H129</f>
        <v>0</v>
      </c>
    </row>
    <row r="133" spans="2:23" x14ac:dyDescent="0.25">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6" spans="1:44" x14ac:dyDescent="0.25">
      <c r="H6" s="3"/>
      <c r="I6" s="3"/>
      <c r="J6" s="3"/>
      <c r="K6" s="3"/>
      <c r="L6" s="3"/>
      <c r="M6" s="3"/>
      <c r="N6" s="3"/>
      <c r="O6" s="3"/>
      <c r="P6" s="3"/>
      <c r="Q6" s="3"/>
      <c r="R6" s="3"/>
      <c r="S6" s="3"/>
      <c r="T6" s="3"/>
      <c r="U6" s="3"/>
      <c r="W6" s="3"/>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724</v>
      </c>
      <c r="E9" s="28"/>
    </row>
    <row r="11" spans="1:44" x14ac:dyDescent="0.25">
      <c r="B11" s="30" t="s">
        <v>725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726</v>
      </c>
    </row>
    <row r="17" spans="5:44" x14ac:dyDescent="0.25">
      <c r="E17" s="32" t="s">
        <v>727</v>
      </c>
      <c r="G17" s="28"/>
      <c r="H17" s="3"/>
      <c r="I17" s="3" t="s">
        <v>191</v>
      </c>
      <c r="AR17" t="s">
        <v>728</v>
      </c>
    </row>
    <row r="18" spans="5:44" x14ac:dyDescent="0.25">
      <c r="F18" s="207" t="s">
        <v>226</v>
      </c>
      <c r="G18" s="64" t="s">
        <v>698</v>
      </c>
      <c r="H18" s="83"/>
    </row>
    <row r="19" spans="5:44" x14ac:dyDescent="0.25">
      <c r="F19" s="208" t="s">
        <v>228</v>
      </c>
      <c r="G19" s="28" t="s">
        <v>698</v>
      </c>
      <c r="H19" s="79"/>
    </row>
    <row r="20" spans="5:44" x14ac:dyDescent="0.25">
      <c r="F20" s="208" t="s">
        <v>229</v>
      </c>
      <c r="G20" s="28" t="s">
        <v>698</v>
      </c>
      <c r="H20" s="211">
        <f t="array" ref="H20:H27">TRANSPOSE('Unit costs'!L114:S114)</f>
        <v>5.635441156757909</v>
      </c>
    </row>
    <row r="21" spans="5:44" x14ac:dyDescent="0.25">
      <c r="F21" s="208" t="s">
        <v>230</v>
      </c>
      <c r="G21" s="28" t="s">
        <v>698</v>
      </c>
      <c r="H21" s="211">
        <v>3.1928799746715937</v>
      </c>
    </row>
    <row r="22" spans="5:44" x14ac:dyDescent="0.25">
      <c r="F22" s="208" t="s">
        <v>231</v>
      </c>
      <c r="G22" s="28" t="s">
        <v>698</v>
      </c>
      <c r="H22" s="211">
        <v>3.9757376741117225</v>
      </c>
    </row>
    <row r="23" spans="5:44" x14ac:dyDescent="0.25">
      <c r="F23" s="208" t="s">
        <v>232</v>
      </c>
      <c r="G23" s="28" t="s">
        <v>698</v>
      </c>
      <c r="H23" s="211">
        <v>6.4336715085900966</v>
      </c>
    </row>
    <row r="24" spans="5:44" x14ac:dyDescent="0.25">
      <c r="F24" s="208" t="s">
        <v>233</v>
      </c>
      <c r="G24" s="28" t="s">
        <v>698</v>
      </c>
      <c r="H24" s="211">
        <v>6.677441299770674</v>
      </c>
    </row>
    <row r="25" spans="5:44" x14ac:dyDescent="0.25">
      <c r="F25" s="208" t="s">
        <v>234</v>
      </c>
      <c r="G25" s="28" t="s">
        <v>698</v>
      </c>
      <c r="H25" s="211">
        <v>13.92481970339955</v>
      </c>
    </row>
    <row r="26" spans="5:44" x14ac:dyDescent="0.25">
      <c r="F26" s="208" t="s">
        <v>235</v>
      </c>
      <c r="G26" s="28" t="s">
        <v>698</v>
      </c>
      <c r="H26" s="211">
        <v>6.44179487833987</v>
      </c>
    </row>
    <row r="27" spans="5:44" x14ac:dyDescent="0.25">
      <c r="F27" s="209" t="s">
        <v>236</v>
      </c>
      <c r="G27" s="67" t="s">
        <v>698</v>
      </c>
      <c r="H27" s="212">
        <v>13.219994839399977</v>
      </c>
    </row>
    <row r="28" spans="5:44" x14ac:dyDescent="0.25">
      <c r="F28" s="208"/>
      <c r="G28" s="28"/>
      <c r="H28" s="123"/>
    </row>
    <row r="29" spans="5:44" x14ac:dyDescent="0.25">
      <c r="E29" s="32" t="s">
        <v>729</v>
      </c>
      <c r="G29" s="28"/>
      <c r="H29" s="92"/>
    </row>
    <row r="30" spans="5:44" x14ac:dyDescent="0.25">
      <c r="F30" s="207" t="s">
        <v>226</v>
      </c>
      <c r="G30" s="64" t="s">
        <v>717</v>
      </c>
      <c r="H30" s="210">
        <f t="array" ref="H30:H39">TRANSPOSE('Unit costs'!J115:S115)</f>
        <v>2.8030473549949311</v>
      </c>
    </row>
    <row r="31" spans="5:44" x14ac:dyDescent="0.25">
      <c r="F31" s="208" t="s">
        <v>228</v>
      </c>
      <c r="G31" s="28" t="s">
        <v>717</v>
      </c>
      <c r="H31" s="211">
        <v>0</v>
      </c>
    </row>
    <row r="32" spans="5:44" x14ac:dyDescent="0.25">
      <c r="F32" s="208" t="s">
        <v>229</v>
      </c>
      <c r="G32" s="28" t="s">
        <v>717</v>
      </c>
      <c r="H32" s="211">
        <v>3.0937813992322276</v>
      </c>
    </row>
    <row r="33" spans="5:23" x14ac:dyDescent="0.25">
      <c r="F33" s="208" t="s">
        <v>230</v>
      </c>
      <c r="G33" s="28" t="s">
        <v>717</v>
      </c>
      <c r="H33" s="211">
        <v>1.7528481623438572</v>
      </c>
      <c r="L33" s="63"/>
      <c r="M33" s="63"/>
      <c r="N33" s="63"/>
      <c r="O33" s="63"/>
      <c r="P33" s="63"/>
      <c r="Q33" s="63"/>
      <c r="R33" s="63"/>
      <c r="S33" s="63"/>
      <c r="T33" s="63"/>
      <c r="U33" s="63"/>
    </row>
    <row r="34" spans="5:23" x14ac:dyDescent="0.25">
      <c r="F34" s="208" t="s">
        <v>231</v>
      </c>
      <c r="G34" s="28" t="s">
        <v>717</v>
      </c>
      <c r="H34" s="211">
        <v>2.182626510019301</v>
      </c>
      <c r="L34" s="63"/>
      <c r="M34" s="63"/>
      <c r="N34" s="63"/>
      <c r="O34" s="63"/>
      <c r="P34" s="63"/>
      <c r="Q34" s="63"/>
      <c r="R34" s="63"/>
      <c r="S34" s="63"/>
      <c r="T34" s="63"/>
      <c r="U34" s="63"/>
    </row>
    <row r="35" spans="5:23" x14ac:dyDescent="0.25">
      <c r="F35" s="208" t="s">
        <v>232</v>
      </c>
      <c r="G35" s="28" t="s">
        <v>717</v>
      </c>
      <c r="H35" s="211">
        <v>3.5319991263110713</v>
      </c>
      <c r="L35" s="63"/>
      <c r="M35" s="63"/>
      <c r="N35" s="63"/>
      <c r="O35" s="63"/>
      <c r="P35" s="63"/>
      <c r="Q35" s="63"/>
      <c r="R35" s="63"/>
      <c r="S35" s="63"/>
      <c r="T35" s="63"/>
      <c r="U35" s="63"/>
    </row>
    <row r="36" spans="5:23" x14ac:dyDescent="0.25">
      <c r="F36" s="208" t="s">
        <v>233</v>
      </c>
      <c r="G36" s="28" t="s">
        <v>717</v>
      </c>
      <c r="H36" s="211">
        <v>3.6658254630025309</v>
      </c>
      <c r="L36" s="63"/>
      <c r="M36" s="63"/>
      <c r="N36" s="63"/>
      <c r="O36" s="63"/>
      <c r="P36" s="63"/>
      <c r="Q36" s="63"/>
      <c r="R36" s="63"/>
      <c r="S36" s="63"/>
      <c r="T36" s="63"/>
      <c r="U36" s="63"/>
    </row>
    <row r="37" spans="5:23" x14ac:dyDescent="0.25">
      <c r="F37" s="208" t="s">
        <v>234</v>
      </c>
      <c r="G37" s="28" t="s">
        <v>717</v>
      </c>
      <c r="H37" s="211">
        <v>7.6445387304557082</v>
      </c>
      <c r="L37" s="63"/>
      <c r="M37" s="63"/>
      <c r="N37" s="63"/>
      <c r="O37" s="63"/>
      <c r="P37" s="63"/>
      <c r="Q37" s="63"/>
      <c r="R37" s="63"/>
      <c r="S37" s="63"/>
      <c r="T37" s="63"/>
      <c r="U37" s="63"/>
      <c r="V37" s="63"/>
    </row>
    <row r="38" spans="5:23" x14ac:dyDescent="0.25">
      <c r="F38" s="208" t="s">
        <v>235</v>
      </c>
      <c r="G38" s="28" t="s">
        <v>717</v>
      </c>
      <c r="H38" s="211">
        <v>3.5364587470456068</v>
      </c>
      <c r="L38" s="63"/>
      <c r="M38" s="63"/>
      <c r="N38" s="63"/>
      <c r="O38" s="63"/>
      <c r="P38" s="63"/>
      <c r="Q38" s="63"/>
      <c r="R38" s="63"/>
      <c r="S38" s="63"/>
      <c r="T38" s="63"/>
      <c r="U38" s="63"/>
      <c r="V38" s="63"/>
    </row>
    <row r="39" spans="5:23" x14ac:dyDescent="0.25">
      <c r="F39" s="209" t="s">
        <v>236</v>
      </c>
      <c r="G39" s="67" t="s">
        <v>717</v>
      </c>
      <c r="H39" s="212">
        <v>7.2575993599073412</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730</v>
      </c>
      <c r="F41" s="32"/>
      <c r="H41" s="130"/>
      <c r="I41" s="3"/>
      <c r="J41" s="3"/>
      <c r="K41" s="3"/>
      <c r="L41" s="3"/>
      <c r="M41" s="3"/>
      <c r="N41" s="3"/>
      <c r="O41" s="3"/>
      <c r="P41" s="3"/>
      <c r="Q41" s="3"/>
      <c r="R41" s="3"/>
      <c r="S41" s="63"/>
      <c r="T41" s="63"/>
      <c r="U41" s="63"/>
      <c r="V41" s="63"/>
      <c r="W41" s="3"/>
    </row>
    <row r="42" spans="5:23" x14ac:dyDescent="0.25">
      <c r="E42" s="29" t="s">
        <v>731</v>
      </c>
      <c r="F42" s="29"/>
      <c r="H42" s="130"/>
      <c r="I42" s="3"/>
      <c r="J42" s="3"/>
      <c r="K42" s="3"/>
      <c r="L42" s="3"/>
      <c r="M42" s="3"/>
      <c r="N42" s="3"/>
      <c r="O42" s="3"/>
      <c r="P42" s="3"/>
      <c r="Q42" s="3"/>
      <c r="R42" s="3"/>
      <c r="S42" s="63"/>
      <c r="T42" s="63"/>
      <c r="U42" s="63"/>
      <c r="V42" s="63"/>
      <c r="W42" s="3"/>
    </row>
    <row r="43" spans="5:23" x14ac:dyDescent="0.25">
      <c r="F43" s="23" t="s">
        <v>226</v>
      </c>
      <c r="G43" s="23" t="s">
        <v>343</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228</v>
      </c>
      <c r="G44" t="s">
        <v>343</v>
      </c>
      <c r="H44" s="123">
        <v>1</v>
      </c>
      <c r="I44" s="3"/>
      <c r="J44" s="154"/>
      <c r="K44" s="154"/>
      <c r="L44" s="154"/>
      <c r="M44" s="154"/>
      <c r="N44" s="154"/>
      <c r="O44" s="154"/>
      <c r="P44" s="154"/>
      <c r="Q44" s="154"/>
      <c r="R44" s="154"/>
      <c r="S44" s="63"/>
      <c r="T44" s="63"/>
      <c r="U44" s="63"/>
      <c r="V44" s="63"/>
    </row>
    <row r="45" spans="5:23" x14ac:dyDescent="0.25">
      <c r="F45" t="s">
        <v>229</v>
      </c>
      <c r="G45" t="s">
        <v>343</v>
      </c>
      <c r="H45" s="123">
        <v>1.0029999999999999</v>
      </c>
      <c r="I45" s="3"/>
      <c r="J45" s="154"/>
      <c r="K45" s="154"/>
      <c r="L45" s="154"/>
      <c r="M45" s="154"/>
      <c r="N45" s="154"/>
      <c r="O45" s="154"/>
      <c r="P45" s="154"/>
      <c r="Q45" s="154"/>
      <c r="R45" s="154"/>
      <c r="S45" s="63"/>
      <c r="T45" s="63"/>
      <c r="U45" s="63"/>
      <c r="V45" s="63"/>
    </row>
    <row r="46" spans="5:23" x14ac:dyDescent="0.25">
      <c r="F46" t="s">
        <v>230</v>
      </c>
      <c r="G46" t="s">
        <v>343</v>
      </c>
      <c r="H46" s="123">
        <v>1.006</v>
      </c>
      <c r="O46" s="154"/>
      <c r="P46" s="154"/>
      <c r="Q46" s="154"/>
      <c r="R46" s="154"/>
      <c r="S46" s="63"/>
      <c r="T46" s="63"/>
      <c r="U46" s="63"/>
      <c r="V46" s="63"/>
    </row>
    <row r="47" spans="5:23" x14ac:dyDescent="0.25">
      <c r="F47" t="s">
        <v>231</v>
      </c>
      <c r="G47" t="s">
        <v>343</v>
      </c>
      <c r="H47" s="123">
        <v>1.014</v>
      </c>
      <c r="I47" s="3"/>
      <c r="J47" s="154"/>
      <c r="K47" s="154"/>
      <c r="L47" s="154"/>
      <c r="M47" s="154"/>
      <c r="N47" s="154"/>
      <c r="O47" s="154"/>
      <c r="P47" s="154"/>
      <c r="Q47" s="154"/>
      <c r="R47" s="154"/>
      <c r="S47" s="63"/>
      <c r="T47" s="63"/>
      <c r="U47" s="63"/>
      <c r="V47" s="63"/>
    </row>
    <row r="48" spans="5:23" x14ac:dyDescent="0.25">
      <c r="F48" t="s">
        <v>232</v>
      </c>
      <c r="G48" t="s">
        <v>343</v>
      </c>
      <c r="H48" s="123">
        <v>1.02</v>
      </c>
      <c r="I48" s="3"/>
      <c r="J48" s="154"/>
      <c r="K48" s="154"/>
      <c r="L48" s="154"/>
      <c r="M48" s="154"/>
      <c r="N48" s="154"/>
      <c r="O48" s="154"/>
      <c r="P48" s="154"/>
      <c r="Q48" s="154"/>
      <c r="R48" s="154"/>
      <c r="S48" s="63"/>
      <c r="T48" s="63"/>
      <c r="U48" s="63"/>
      <c r="V48" s="63"/>
    </row>
    <row r="49" spans="4:42" x14ac:dyDescent="0.25">
      <c r="F49" t="s">
        <v>233</v>
      </c>
      <c r="G49" t="s">
        <v>343</v>
      </c>
      <c r="H49" s="123">
        <v>1.02</v>
      </c>
      <c r="I49" s="3"/>
      <c r="J49" s="154"/>
      <c r="K49" s="154"/>
      <c r="L49" s="154"/>
      <c r="M49" s="154"/>
      <c r="N49" s="154"/>
      <c r="O49" s="154"/>
      <c r="P49" s="154"/>
      <c r="Q49" s="154"/>
      <c r="R49" s="154"/>
      <c r="S49" s="63"/>
      <c r="T49" s="63"/>
      <c r="U49" s="63"/>
      <c r="V49" s="63"/>
    </row>
    <row r="50" spans="4:42" x14ac:dyDescent="0.25">
      <c r="F50" t="s">
        <v>234</v>
      </c>
      <c r="G50" t="s">
        <v>343</v>
      </c>
      <c r="H50" s="123">
        <v>1.036</v>
      </c>
      <c r="K50" s="154"/>
      <c r="L50" s="154"/>
      <c r="M50" s="154"/>
      <c r="N50" s="154"/>
      <c r="O50" s="154"/>
      <c r="P50" s="154"/>
      <c r="Q50" s="154"/>
      <c r="R50" s="154"/>
      <c r="S50" s="63"/>
      <c r="T50" s="63"/>
      <c r="U50" s="63"/>
      <c r="V50" s="63"/>
    </row>
    <row r="51" spans="4:42" x14ac:dyDescent="0.25">
      <c r="F51" t="s">
        <v>235</v>
      </c>
      <c r="G51" t="s">
        <v>343</v>
      </c>
      <c r="H51" s="123">
        <v>1.0469999999999999</v>
      </c>
      <c r="I51" s="3"/>
      <c r="J51" s="154"/>
      <c r="K51" s="154"/>
      <c r="L51" s="154"/>
      <c r="M51" s="154"/>
      <c r="N51" s="154"/>
      <c r="O51" s="154"/>
      <c r="P51" s="154"/>
      <c r="Q51" s="154"/>
      <c r="R51" s="154"/>
      <c r="S51" s="63"/>
      <c r="T51" s="63"/>
      <c r="U51" s="63"/>
      <c r="V51" s="63"/>
    </row>
    <row r="52" spans="4:42" x14ac:dyDescent="0.25">
      <c r="F52" s="37" t="s">
        <v>236</v>
      </c>
      <c r="G52" s="37" t="s">
        <v>343</v>
      </c>
      <c r="H52" s="128">
        <v>1.0780000000000001</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469</v>
      </c>
      <c r="F54" s="32"/>
      <c r="J54" s="63"/>
      <c r="K54" s="63"/>
      <c r="L54" s="63"/>
      <c r="M54" s="63"/>
      <c r="N54" s="63"/>
      <c r="O54" s="63"/>
      <c r="P54" s="63"/>
      <c r="Q54" s="63"/>
      <c r="R54" s="63"/>
      <c r="S54" s="63"/>
    </row>
    <row r="55" spans="4:42" x14ac:dyDescent="0.25">
      <c r="D55" s="32"/>
      <c r="E55" s="32"/>
      <c r="F55" s="207" t="s">
        <v>226</v>
      </c>
      <c r="G55" s="23" t="s">
        <v>343</v>
      </c>
      <c r="H55" s="23"/>
      <c r="I55" s="23"/>
      <c r="J55" s="210">
        <f t="array" ref="J55:AP64">TRANSPOSE('Load &amp; loss characteristics'!J230:S262)</f>
        <v>1.0780000000000001</v>
      </c>
      <c r="K55" s="210">
        <v>1.0780000000000001</v>
      </c>
      <c r="L55" s="210">
        <v>1.0780000000000001</v>
      </c>
      <c r="M55" s="210">
        <v>1.0780000000000001</v>
      </c>
      <c r="N55" s="210">
        <v>1.0780000000000001</v>
      </c>
      <c r="O55" s="210">
        <v>1.0780000000000001</v>
      </c>
      <c r="P55" s="210">
        <v>1.0780000000000001</v>
      </c>
      <c r="Q55" s="210">
        <v>1.0469999999999999</v>
      </c>
      <c r="R55" s="210">
        <v>1.036</v>
      </c>
      <c r="S55" s="210">
        <v>1.0780000000000001</v>
      </c>
      <c r="T55" s="210">
        <v>1.0780000000000001</v>
      </c>
      <c r="U55" s="210">
        <v>1.0780000000000001</v>
      </c>
      <c r="V55" s="210">
        <v>1.0469999999999999</v>
      </c>
      <c r="W55" s="210">
        <v>1.036</v>
      </c>
      <c r="X55" s="210">
        <v>1.0780000000000001</v>
      </c>
      <c r="Y55" s="210">
        <v>1.0780000000000001</v>
      </c>
      <c r="Z55" s="210">
        <v>1.0780000000000001</v>
      </c>
      <c r="AA55" s="210">
        <v>1.0780000000000001</v>
      </c>
      <c r="AB55" s="210">
        <v>1.0780000000000001</v>
      </c>
      <c r="AC55" s="210">
        <v>-1.0780000000000001</v>
      </c>
      <c r="AD55" s="210">
        <v>-1.0469999999999999</v>
      </c>
      <c r="AE55" s="210">
        <v>-1.0780000000000001</v>
      </c>
      <c r="AF55" s="210">
        <v>-1.0780000000000001</v>
      </c>
      <c r="AG55" s="210">
        <v>-1.0780000000000001</v>
      </c>
      <c r="AH55" s="210">
        <v>-1.0780000000000001</v>
      </c>
      <c r="AI55" s="210">
        <v>-1.0469999999999999</v>
      </c>
      <c r="AJ55" s="210">
        <v>-1.0469999999999999</v>
      </c>
      <c r="AK55" s="210">
        <v>-1.0469999999999999</v>
      </c>
      <c r="AL55" s="210">
        <v>-1.0469999999999999</v>
      </c>
      <c r="AM55" s="210">
        <v>-1.036</v>
      </c>
      <c r="AN55" s="210">
        <v>-1.036</v>
      </c>
      <c r="AO55" s="210">
        <v>-1.036</v>
      </c>
      <c r="AP55" s="210">
        <v>-1.036</v>
      </c>
    </row>
    <row r="56" spans="4:42" x14ac:dyDescent="0.25">
      <c r="D56" s="32"/>
      <c r="E56" s="32"/>
      <c r="F56" s="208" t="s">
        <v>228</v>
      </c>
      <c r="G56" t="s">
        <v>343</v>
      </c>
      <c r="J56" s="211">
        <v>1.0780000000000001</v>
      </c>
      <c r="K56" s="211">
        <v>1.0780000000000001</v>
      </c>
      <c r="L56" s="211">
        <v>1.0780000000000001</v>
      </c>
      <c r="M56" s="211">
        <v>1.0780000000000001</v>
      </c>
      <c r="N56" s="211">
        <v>1.0780000000000001</v>
      </c>
      <c r="O56" s="211">
        <v>1.0780000000000001</v>
      </c>
      <c r="P56" s="211">
        <v>1.0780000000000001</v>
      </c>
      <c r="Q56" s="211">
        <v>1.0469999999999999</v>
      </c>
      <c r="R56" s="211">
        <v>1.036</v>
      </c>
      <c r="S56" s="211">
        <v>1.0780000000000001</v>
      </c>
      <c r="T56" s="211">
        <v>1.0780000000000001</v>
      </c>
      <c r="U56" s="211">
        <v>1.0780000000000001</v>
      </c>
      <c r="V56" s="211">
        <v>1.0469999999999999</v>
      </c>
      <c r="W56" s="211">
        <v>1.036</v>
      </c>
      <c r="X56" s="211">
        <v>1.0780000000000001</v>
      </c>
      <c r="Y56" s="211">
        <v>1.0780000000000001</v>
      </c>
      <c r="Z56" s="211">
        <v>1.0780000000000001</v>
      </c>
      <c r="AA56" s="211">
        <v>1.0780000000000001</v>
      </c>
      <c r="AB56" s="211">
        <v>1.0780000000000001</v>
      </c>
      <c r="AC56" s="211">
        <v>-1.0780000000000001</v>
      </c>
      <c r="AD56" s="211">
        <v>-1.0469999999999999</v>
      </c>
      <c r="AE56" s="211">
        <v>-1.0780000000000001</v>
      </c>
      <c r="AF56" s="211">
        <v>-1.0780000000000001</v>
      </c>
      <c r="AG56" s="211">
        <v>-1.0780000000000001</v>
      </c>
      <c r="AH56" s="211">
        <v>-1.0780000000000001</v>
      </c>
      <c r="AI56" s="211">
        <v>-1.0469999999999999</v>
      </c>
      <c r="AJ56" s="211">
        <v>-1.0469999999999999</v>
      </c>
      <c r="AK56" s="211">
        <v>-1.0469999999999999</v>
      </c>
      <c r="AL56" s="211">
        <v>-1.0469999999999999</v>
      </c>
      <c r="AM56" s="211">
        <v>-1.036</v>
      </c>
      <c r="AN56" s="211">
        <v>-1.036</v>
      </c>
      <c r="AO56" s="211">
        <v>-1.036</v>
      </c>
      <c r="AP56" s="211">
        <v>-1.036</v>
      </c>
    </row>
    <row r="57" spans="4:42" x14ac:dyDescent="0.25">
      <c r="D57" s="32"/>
      <c r="E57" s="32"/>
      <c r="F57" s="208" t="s">
        <v>229</v>
      </c>
      <c r="G57" t="s">
        <v>343</v>
      </c>
      <c r="J57" s="211">
        <v>1.0780000000000001</v>
      </c>
      <c r="K57" s="211">
        <v>1.0780000000000001</v>
      </c>
      <c r="L57" s="211">
        <v>1.0780000000000001</v>
      </c>
      <c r="M57" s="211">
        <v>1.0780000000000001</v>
      </c>
      <c r="N57" s="211">
        <v>1.0780000000000001</v>
      </c>
      <c r="O57" s="211">
        <v>1.0780000000000001</v>
      </c>
      <c r="P57" s="211">
        <v>1.0780000000000001</v>
      </c>
      <c r="Q57" s="211">
        <v>1.0469999999999999</v>
      </c>
      <c r="R57" s="211">
        <v>1.036</v>
      </c>
      <c r="S57" s="211">
        <v>1.0780000000000001</v>
      </c>
      <c r="T57" s="211">
        <v>1.0780000000000001</v>
      </c>
      <c r="U57" s="211">
        <v>1.0780000000000001</v>
      </c>
      <c r="V57" s="211">
        <v>1.0469999999999999</v>
      </c>
      <c r="W57" s="211">
        <v>1.036</v>
      </c>
      <c r="X57" s="211">
        <v>1.0780000000000001</v>
      </c>
      <c r="Y57" s="211">
        <v>1.0780000000000001</v>
      </c>
      <c r="Z57" s="211">
        <v>1.0780000000000001</v>
      </c>
      <c r="AA57" s="211">
        <v>1.0780000000000001</v>
      </c>
      <c r="AB57" s="211">
        <v>1.0780000000000001</v>
      </c>
      <c r="AC57" s="211">
        <v>-1.0780000000000001</v>
      </c>
      <c r="AD57" s="211">
        <v>-1.0469999999999999</v>
      </c>
      <c r="AE57" s="211">
        <v>-1.0780000000000001</v>
      </c>
      <c r="AF57" s="211">
        <v>-1.0780000000000001</v>
      </c>
      <c r="AG57" s="211">
        <v>-1.0780000000000001</v>
      </c>
      <c r="AH57" s="211">
        <v>-1.0780000000000001</v>
      </c>
      <c r="AI57" s="211">
        <v>-1.0469999999999999</v>
      </c>
      <c r="AJ57" s="211">
        <v>-1.0469999999999999</v>
      </c>
      <c r="AK57" s="211">
        <v>-1.0469999999999999</v>
      </c>
      <c r="AL57" s="211">
        <v>-1.0469999999999999</v>
      </c>
      <c r="AM57" s="211">
        <v>-1.036</v>
      </c>
      <c r="AN57" s="211">
        <v>-1.036</v>
      </c>
      <c r="AO57" s="211">
        <v>-1.036</v>
      </c>
      <c r="AP57" s="211">
        <v>-1.036</v>
      </c>
    </row>
    <row r="58" spans="4:42" x14ac:dyDescent="0.25">
      <c r="D58" s="32"/>
      <c r="E58" s="32"/>
      <c r="F58" s="208" t="s">
        <v>230</v>
      </c>
      <c r="G58" t="s">
        <v>343</v>
      </c>
      <c r="J58" s="211">
        <v>0.99710219855719762</v>
      </c>
      <c r="K58" s="211">
        <v>0.99710219855719762</v>
      </c>
      <c r="L58" s="211">
        <v>0.99710219855719762</v>
      </c>
      <c r="M58" s="211">
        <v>0.99710219855719762</v>
      </c>
      <c r="N58" s="211">
        <v>0.99710219855719762</v>
      </c>
      <c r="O58" s="211">
        <v>0.99710219855719762</v>
      </c>
      <c r="P58" s="211">
        <v>0.99710219855719762</v>
      </c>
      <c r="Q58" s="211">
        <v>0.96842857318124842</v>
      </c>
      <c r="R58" s="211">
        <v>0.95825406095107302</v>
      </c>
      <c r="S58" s="211">
        <v>0.99710219855719762</v>
      </c>
      <c r="T58" s="211">
        <v>0.99710219855719762</v>
      </c>
      <c r="U58" s="211">
        <v>0.99710219855719762</v>
      </c>
      <c r="V58" s="211">
        <v>0.96842857318124842</v>
      </c>
      <c r="W58" s="211">
        <v>0.95825406095107302</v>
      </c>
      <c r="X58" s="211">
        <v>0.99710219855719762</v>
      </c>
      <c r="Y58" s="211">
        <v>0.99710219855719762</v>
      </c>
      <c r="Z58" s="211">
        <v>0.99710219855719762</v>
      </c>
      <c r="AA58" s="211">
        <v>0.99710219855719762</v>
      </c>
      <c r="AB58" s="211">
        <v>0.99710219855719762</v>
      </c>
      <c r="AC58" s="211">
        <v>-0.99710219855719762</v>
      </c>
      <c r="AD58" s="211">
        <v>-0.96842857318124842</v>
      </c>
      <c r="AE58" s="211">
        <v>-0.99710219855719762</v>
      </c>
      <c r="AF58" s="211">
        <v>-0.99710219855719762</v>
      </c>
      <c r="AG58" s="211">
        <v>-0.99710219855719762</v>
      </c>
      <c r="AH58" s="211">
        <v>-0.99710219855719762</v>
      </c>
      <c r="AI58" s="211">
        <v>-0.96842857318124842</v>
      </c>
      <c r="AJ58" s="211">
        <v>-0.96842857318124842</v>
      </c>
      <c r="AK58" s="211">
        <v>-0.96842857318124842</v>
      </c>
      <c r="AL58" s="211">
        <v>-0.96842857318124842</v>
      </c>
      <c r="AM58" s="211">
        <v>-0.95825406095107302</v>
      </c>
      <c r="AN58" s="211">
        <v>-0.95825406095107302</v>
      </c>
      <c r="AO58" s="211">
        <v>-0.95825406095107302</v>
      </c>
      <c r="AP58" s="211">
        <v>-0.95825406095107302</v>
      </c>
    </row>
    <row r="59" spans="4:42" x14ac:dyDescent="0.25">
      <c r="D59" s="32"/>
      <c r="E59" s="32"/>
      <c r="F59" s="208" t="s">
        <v>231</v>
      </c>
      <c r="G59" t="s">
        <v>343</v>
      </c>
      <c r="J59" s="211">
        <v>0.99710219855719762</v>
      </c>
      <c r="K59" s="211">
        <v>0.99710219855719762</v>
      </c>
      <c r="L59" s="211">
        <v>0.99710219855719762</v>
      </c>
      <c r="M59" s="211">
        <v>0.99710219855719762</v>
      </c>
      <c r="N59" s="211">
        <v>0.99710219855719762</v>
      </c>
      <c r="O59" s="211">
        <v>0.99710219855719762</v>
      </c>
      <c r="P59" s="211">
        <v>0.99710219855719762</v>
      </c>
      <c r="Q59" s="211">
        <v>0.96842857318124842</v>
      </c>
      <c r="R59" s="211">
        <v>0.95825406095107302</v>
      </c>
      <c r="S59" s="211">
        <v>0.99710219855719762</v>
      </c>
      <c r="T59" s="211">
        <v>0.99710219855719762</v>
      </c>
      <c r="U59" s="211">
        <v>0.99710219855719762</v>
      </c>
      <c r="V59" s="211">
        <v>0.96842857318124842</v>
      </c>
      <c r="W59" s="211">
        <v>0.95825406095107302</v>
      </c>
      <c r="X59" s="211">
        <v>0.99710219855719762</v>
      </c>
      <c r="Y59" s="211">
        <v>0.99710219855719762</v>
      </c>
      <c r="Z59" s="211">
        <v>0.99710219855719762</v>
      </c>
      <c r="AA59" s="211">
        <v>0.99710219855719762</v>
      </c>
      <c r="AB59" s="211">
        <v>0.99710219855719762</v>
      </c>
      <c r="AC59" s="211">
        <v>-0.99710219855719762</v>
      </c>
      <c r="AD59" s="211">
        <v>-0.96842857318124842</v>
      </c>
      <c r="AE59" s="211">
        <v>-0.99710219855719762</v>
      </c>
      <c r="AF59" s="211">
        <v>-0.99710219855719762</v>
      </c>
      <c r="AG59" s="211">
        <v>-0.99710219855719762</v>
      </c>
      <c r="AH59" s="211">
        <v>-0.99710219855719762</v>
      </c>
      <c r="AI59" s="211">
        <v>-0.96842857318124842</v>
      </c>
      <c r="AJ59" s="211">
        <v>-0.96842857318124842</v>
      </c>
      <c r="AK59" s="211">
        <v>-0.96842857318124842</v>
      </c>
      <c r="AL59" s="211">
        <v>-0.96842857318124842</v>
      </c>
      <c r="AM59" s="211">
        <v>-0.95825406095107302</v>
      </c>
      <c r="AN59" s="211">
        <v>-0.95825406095107302</v>
      </c>
      <c r="AO59" s="211">
        <v>-0.95825406095107302</v>
      </c>
      <c r="AP59" s="211">
        <v>-0.95825406095107302</v>
      </c>
    </row>
    <row r="60" spans="4:42" x14ac:dyDescent="0.25">
      <c r="D60" s="32"/>
      <c r="E60" s="32"/>
      <c r="F60" s="208" t="s">
        <v>232</v>
      </c>
      <c r="G60" t="s">
        <v>343</v>
      </c>
      <c r="J60" s="211">
        <v>0.99710219855719762</v>
      </c>
      <c r="K60" s="211">
        <v>0.99710219855719762</v>
      </c>
      <c r="L60" s="211">
        <v>0.99710219855719762</v>
      </c>
      <c r="M60" s="211">
        <v>0.99710219855719762</v>
      </c>
      <c r="N60" s="211">
        <v>0.99710219855719762</v>
      </c>
      <c r="O60" s="211">
        <v>0.99710219855719762</v>
      </c>
      <c r="P60" s="211">
        <v>0.99710219855719762</v>
      </c>
      <c r="Q60" s="211">
        <v>0.96842857318124842</v>
      </c>
      <c r="R60" s="211">
        <v>0.95825406095107302</v>
      </c>
      <c r="S60" s="211">
        <v>0.99710219855719762</v>
      </c>
      <c r="T60" s="211">
        <v>0.99710219855719762</v>
      </c>
      <c r="U60" s="211">
        <v>0.99710219855719762</v>
      </c>
      <c r="V60" s="211">
        <v>0.96842857318124842</v>
      </c>
      <c r="W60" s="211">
        <v>0.95825406095107302</v>
      </c>
      <c r="X60" s="211">
        <v>0.99710219855719762</v>
      </c>
      <c r="Y60" s="211">
        <v>0.99710219855719762</v>
      </c>
      <c r="Z60" s="211">
        <v>0.99710219855719762</v>
      </c>
      <c r="AA60" s="211">
        <v>0.99710219855719762</v>
      </c>
      <c r="AB60" s="211">
        <v>0.99710219855719762</v>
      </c>
      <c r="AC60" s="211">
        <v>-0.99710219855719762</v>
      </c>
      <c r="AD60" s="211">
        <v>-0.96842857318124842</v>
      </c>
      <c r="AE60" s="211">
        <v>-0.99710219855719762</v>
      </c>
      <c r="AF60" s="211">
        <v>-0.99710219855719762</v>
      </c>
      <c r="AG60" s="211">
        <v>-0.99710219855719762</v>
      </c>
      <c r="AH60" s="211">
        <v>-0.99710219855719762</v>
      </c>
      <c r="AI60" s="211">
        <v>-0.96842857318124842</v>
      </c>
      <c r="AJ60" s="211">
        <v>-0.96842857318124842</v>
      </c>
      <c r="AK60" s="211">
        <v>-0.96842857318124842</v>
      </c>
      <c r="AL60" s="211">
        <v>-0.96842857318124842</v>
      </c>
      <c r="AM60" s="211">
        <v>-0.95825406095107302</v>
      </c>
      <c r="AN60" s="211">
        <v>-0.95825406095107302</v>
      </c>
      <c r="AO60" s="211">
        <v>-0.95825406095107302</v>
      </c>
      <c r="AP60" s="211">
        <v>-0.95825406095107302</v>
      </c>
    </row>
    <row r="61" spans="4:42" x14ac:dyDescent="0.25">
      <c r="D61" s="32"/>
      <c r="E61" s="32"/>
      <c r="F61" s="208" t="s">
        <v>233</v>
      </c>
      <c r="G61" t="s">
        <v>343</v>
      </c>
      <c r="J61" s="211">
        <v>8.0897801442802481E-2</v>
      </c>
      <c r="K61" s="211">
        <v>8.0897801442802481E-2</v>
      </c>
      <c r="L61" s="211">
        <v>8.0897801442802481E-2</v>
      </c>
      <c r="M61" s="211">
        <v>8.0897801442802481E-2</v>
      </c>
      <c r="N61" s="211">
        <v>8.0897801442802481E-2</v>
      </c>
      <c r="O61" s="211">
        <v>8.0897801442802481E-2</v>
      </c>
      <c r="P61" s="211">
        <v>8.0897801442802481E-2</v>
      </c>
      <c r="Q61" s="211">
        <v>7.8571426818751552E-2</v>
      </c>
      <c r="R61" s="211">
        <v>7.7745939048927057E-2</v>
      </c>
      <c r="S61" s="211">
        <v>8.0897801442802481E-2</v>
      </c>
      <c r="T61" s="211">
        <v>8.0897801442802481E-2</v>
      </c>
      <c r="U61" s="211">
        <v>8.0897801442802481E-2</v>
      </c>
      <c r="V61" s="211">
        <v>7.8571426818751552E-2</v>
      </c>
      <c r="W61" s="211">
        <v>7.7745939048927057E-2</v>
      </c>
      <c r="X61" s="211">
        <v>8.0897801442802481E-2</v>
      </c>
      <c r="Y61" s="211">
        <v>8.0897801442802481E-2</v>
      </c>
      <c r="Z61" s="211">
        <v>8.0897801442802481E-2</v>
      </c>
      <c r="AA61" s="211">
        <v>8.0897801442802481E-2</v>
      </c>
      <c r="AB61" s="211">
        <v>8.0897801442802481E-2</v>
      </c>
      <c r="AC61" s="211">
        <v>-8.0897801442802481E-2</v>
      </c>
      <c r="AD61" s="211">
        <v>-7.8571426818751552E-2</v>
      </c>
      <c r="AE61" s="211">
        <v>-8.0897801442802481E-2</v>
      </c>
      <c r="AF61" s="211">
        <v>-8.0897801442802481E-2</v>
      </c>
      <c r="AG61" s="211">
        <v>-8.0897801442802481E-2</v>
      </c>
      <c r="AH61" s="211">
        <v>-8.0897801442802481E-2</v>
      </c>
      <c r="AI61" s="211">
        <v>-7.8571426818751552E-2</v>
      </c>
      <c r="AJ61" s="211">
        <v>-7.8571426818751552E-2</v>
      </c>
      <c r="AK61" s="211">
        <v>-7.8571426818751552E-2</v>
      </c>
      <c r="AL61" s="211">
        <v>-7.8571426818751552E-2</v>
      </c>
      <c r="AM61" s="211">
        <v>-7.7745939048927057E-2</v>
      </c>
      <c r="AN61" s="211">
        <v>-7.7745939048927057E-2</v>
      </c>
      <c r="AO61" s="211">
        <v>-7.7745939048927057E-2</v>
      </c>
      <c r="AP61" s="211">
        <v>-7.7745939048927057E-2</v>
      </c>
    </row>
    <row r="62" spans="4:42" x14ac:dyDescent="0.25">
      <c r="D62" s="32"/>
      <c r="E62" s="32"/>
      <c r="F62" s="208" t="s">
        <v>234</v>
      </c>
      <c r="G62" t="s">
        <v>343</v>
      </c>
      <c r="J62" s="211">
        <v>1.0780000000000001</v>
      </c>
      <c r="K62" s="211">
        <v>1.0780000000000001</v>
      </c>
      <c r="L62" s="211">
        <v>1.0780000000000001</v>
      </c>
      <c r="M62" s="211">
        <v>1.0780000000000001</v>
      </c>
      <c r="N62" s="211">
        <v>1.0780000000000001</v>
      </c>
      <c r="O62" s="211">
        <v>1.0780000000000001</v>
      </c>
      <c r="P62" s="211">
        <v>1.0780000000000001</v>
      </c>
      <c r="Q62" s="211">
        <v>1.0469999999999999</v>
      </c>
      <c r="R62" s="211">
        <v>1.036</v>
      </c>
      <c r="S62" s="211">
        <v>1.0780000000000001</v>
      </c>
      <c r="T62" s="211">
        <v>1.0780000000000001</v>
      </c>
      <c r="U62" s="211">
        <v>1.0780000000000001</v>
      </c>
      <c r="V62" s="211">
        <v>1.0469999999999999</v>
      </c>
      <c r="W62" s="211">
        <v>1.036</v>
      </c>
      <c r="X62" s="211">
        <v>1.0780000000000001</v>
      </c>
      <c r="Y62" s="211">
        <v>1.0780000000000001</v>
      </c>
      <c r="Z62" s="211">
        <v>1.0780000000000001</v>
      </c>
      <c r="AA62" s="211">
        <v>1.0780000000000001</v>
      </c>
      <c r="AB62" s="211">
        <v>1.0780000000000001</v>
      </c>
      <c r="AC62" s="211">
        <v>-1.0780000000000001</v>
      </c>
      <c r="AD62" s="211">
        <v>-1.0469999999999999</v>
      </c>
      <c r="AE62" s="211">
        <v>-1.0780000000000001</v>
      </c>
      <c r="AF62" s="211">
        <v>-1.0780000000000001</v>
      </c>
      <c r="AG62" s="211">
        <v>-1.0780000000000001</v>
      </c>
      <c r="AH62" s="211">
        <v>-1.0780000000000001</v>
      </c>
      <c r="AI62" s="211">
        <v>-1.0469999999999999</v>
      </c>
      <c r="AJ62" s="211">
        <v>-1.0469999999999999</v>
      </c>
      <c r="AK62" s="211">
        <v>-1.0469999999999999</v>
      </c>
      <c r="AL62" s="211">
        <v>-1.0469999999999999</v>
      </c>
      <c r="AM62" s="211">
        <v>0</v>
      </c>
      <c r="AN62" s="211">
        <v>0</v>
      </c>
      <c r="AO62" s="211">
        <v>0</v>
      </c>
      <c r="AP62" s="211">
        <v>0</v>
      </c>
    </row>
    <row r="63" spans="4:42" x14ac:dyDescent="0.25">
      <c r="D63" s="32"/>
      <c r="E63" s="32"/>
      <c r="F63" s="208" t="s">
        <v>235</v>
      </c>
      <c r="G63" t="s">
        <v>343</v>
      </c>
      <c r="J63" s="211">
        <v>1.0780000000000001</v>
      </c>
      <c r="K63" s="211">
        <v>1.0780000000000001</v>
      </c>
      <c r="L63" s="211">
        <v>1.0780000000000001</v>
      </c>
      <c r="M63" s="211">
        <v>1.0780000000000001</v>
      </c>
      <c r="N63" s="211">
        <v>1.0780000000000001</v>
      </c>
      <c r="O63" s="211">
        <v>1.0780000000000001</v>
      </c>
      <c r="P63" s="211">
        <v>1.0780000000000001</v>
      </c>
      <c r="Q63" s="211">
        <v>1.0469999999999999</v>
      </c>
      <c r="R63" s="211">
        <v>0</v>
      </c>
      <c r="S63" s="211">
        <v>1.0780000000000001</v>
      </c>
      <c r="T63" s="211">
        <v>1.0780000000000001</v>
      </c>
      <c r="U63" s="211">
        <v>1.0780000000000001</v>
      </c>
      <c r="V63" s="211">
        <v>1.0469999999999999</v>
      </c>
      <c r="W63" s="211">
        <v>0</v>
      </c>
      <c r="X63" s="211">
        <v>1.0780000000000001</v>
      </c>
      <c r="Y63" s="211">
        <v>1.0780000000000001</v>
      </c>
      <c r="Z63" s="211">
        <v>1.0780000000000001</v>
      </c>
      <c r="AA63" s="211">
        <v>1.0780000000000001</v>
      </c>
      <c r="AB63" s="211">
        <v>1.0780000000000001</v>
      </c>
      <c r="AC63" s="211">
        <v>-1.0780000000000001</v>
      </c>
      <c r="AD63" s="211">
        <v>0</v>
      </c>
      <c r="AE63" s="211">
        <v>-1.0780000000000001</v>
      </c>
      <c r="AF63" s="211">
        <v>-1.0780000000000001</v>
      </c>
      <c r="AG63" s="211">
        <v>-1.0780000000000001</v>
      </c>
      <c r="AH63" s="211">
        <v>-1.0780000000000001</v>
      </c>
      <c r="AI63" s="211">
        <v>0</v>
      </c>
      <c r="AJ63" s="211">
        <v>0</v>
      </c>
      <c r="AK63" s="211">
        <v>0</v>
      </c>
      <c r="AL63" s="211">
        <v>0</v>
      </c>
      <c r="AM63" s="211">
        <v>0</v>
      </c>
      <c r="AN63" s="211">
        <v>0</v>
      </c>
      <c r="AO63" s="211">
        <v>0</v>
      </c>
      <c r="AP63" s="211">
        <v>0</v>
      </c>
    </row>
    <row r="64" spans="4:42" x14ac:dyDescent="0.25">
      <c r="D64" s="32"/>
      <c r="E64" s="32"/>
      <c r="F64" s="209" t="s">
        <v>236</v>
      </c>
      <c r="G64" s="37" t="s">
        <v>343</v>
      </c>
      <c r="H64" s="37"/>
      <c r="I64" s="37"/>
      <c r="J64" s="212">
        <v>1.0780000000000001</v>
      </c>
      <c r="K64" s="212">
        <v>1.0780000000000001</v>
      </c>
      <c r="L64" s="212">
        <v>1.0780000000000001</v>
      </c>
      <c r="M64" s="212">
        <v>1.0780000000000001</v>
      </c>
      <c r="N64" s="212">
        <v>1.0780000000000001</v>
      </c>
      <c r="O64" s="212">
        <v>1.0780000000000001</v>
      </c>
      <c r="P64" s="212">
        <v>1.0780000000000001</v>
      </c>
      <c r="Q64" s="212">
        <v>0</v>
      </c>
      <c r="R64" s="212">
        <v>0</v>
      </c>
      <c r="S64" s="212">
        <v>1.0780000000000001</v>
      </c>
      <c r="T64" s="212">
        <v>1.0780000000000001</v>
      </c>
      <c r="U64" s="212">
        <v>1.0780000000000001</v>
      </c>
      <c r="V64" s="212">
        <v>0</v>
      </c>
      <c r="W64" s="212">
        <v>0</v>
      </c>
      <c r="X64" s="212">
        <v>1.0780000000000001</v>
      </c>
      <c r="Y64" s="212">
        <v>1.0780000000000001</v>
      </c>
      <c r="Z64" s="212">
        <v>1.0780000000000001</v>
      </c>
      <c r="AA64" s="212">
        <v>1.0780000000000001</v>
      </c>
      <c r="AB64" s="212">
        <v>1.0780000000000001</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477</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226</v>
      </c>
      <c r="G67" s="64" t="s">
        <v>204</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228</v>
      </c>
      <c r="G68" s="28" t="s">
        <v>204</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229</v>
      </c>
      <c r="G69" s="28" t="s">
        <v>204</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230</v>
      </c>
      <c r="G70" s="28" t="s">
        <v>204</v>
      </c>
      <c r="J70" s="211">
        <v>0</v>
      </c>
      <c r="K70" s="211">
        <v>0</v>
      </c>
      <c r="L70" s="211">
        <v>0</v>
      </c>
      <c r="M70" s="211">
        <v>0</v>
      </c>
      <c r="N70" s="211">
        <v>0</v>
      </c>
      <c r="O70" s="211">
        <v>0</v>
      </c>
      <c r="P70" s="211">
        <v>0</v>
      </c>
      <c r="Q70" s="211">
        <v>0</v>
      </c>
      <c r="R70" s="211">
        <v>0</v>
      </c>
      <c r="S70" s="211">
        <v>0</v>
      </c>
      <c r="T70" s="211">
        <v>0</v>
      </c>
      <c r="U70" s="211">
        <v>0</v>
      </c>
      <c r="V70" s="211">
        <v>0</v>
      </c>
      <c r="W70" s="211">
        <v>0</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v>
      </c>
      <c r="AN70" s="211">
        <v>0</v>
      </c>
      <c r="AO70" s="211">
        <v>0</v>
      </c>
      <c r="AP70" s="211">
        <v>0</v>
      </c>
    </row>
    <row r="71" spans="3:42" x14ac:dyDescent="0.25">
      <c r="D71" s="32"/>
      <c r="E71" s="32"/>
      <c r="F71" s="208" t="s">
        <v>231</v>
      </c>
      <c r="G71" s="28" t="s">
        <v>204</v>
      </c>
      <c r="J71" s="211">
        <v>0</v>
      </c>
      <c r="K71" s="211">
        <v>0</v>
      </c>
      <c r="L71" s="211">
        <v>0</v>
      </c>
      <c r="M71" s="211">
        <v>0</v>
      </c>
      <c r="N71" s="211">
        <v>0</v>
      </c>
      <c r="O71" s="211">
        <v>0</v>
      </c>
      <c r="P71" s="211">
        <v>0</v>
      </c>
      <c r="Q71" s="211">
        <v>0</v>
      </c>
      <c r="R71" s="211">
        <v>6.5420049562801799E-2</v>
      </c>
      <c r="S71" s="211">
        <v>0</v>
      </c>
      <c r="T71" s="211">
        <v>0</v>
      </c>
      <c r="U71" s="211">
        <v>0</v>
      </c>
      <c r="V71" s="211">
        <v>0</v>
      </c>
      <c r="W71" s="211">
        <v>6.5420049562801799E-2</v>
      </c>
      <c r="X71" s="211">
        <v>0</v>
      </c>
      <c r="Y71" s="211">
        <v>0</v>
      </c>
      <c r="Z71" s="211">
        <v>0</v>
      </c>
      <c r="AA71" s="211">
        <v>0</v>
      </c>
      <c r="AB71" s="211">
        <v>0</v>
      </c>
      <c r="AC71" s="211">
        <v>0</v>
      </c>
      <c r="AD71" s="211">
        <v>0</v>
      </c>
      <c r="AE71" s="211">
        <v>0</v>
      </c>
      <c r="AF71" s="211">
        <v>0</v>
      </c>
      <c r="AG71" s="211">
        <v>0</v>
      </c>
      <c r="AH71" s="211">
        <v>0</v>
      </c>
      <c r="AI71" s="211">
        <v>0</v>
      </c>
      <c r="AJ71" s="211">
        <v>0</v>
      </c>
      <c r="AK71" s="211">
        <v>0</v>
      </c>
      <c r="AL71" s="211">
        <v>0</v>
      </c>
      <c r="AM71" s="211">
        <v>6.5420049562801799E-2</v>
      </c>
      <c r="AN71" s="211">
        <v>6.5420049562801799E-2</v>
      </c>
      <c r="AO71" s="211">
        <v>6.5420049562801799E-2</v>
      </c>
      <c r="AP71" s="211">
        <v>6.5420049562801799E-2</v>
      </c>
    </row>
    <row r="72" spans="3:42" x14ac:dyDescent="0.25">
      <c r="D72" s="32"/>
      <c r="E72" s="32"/>
      <c r="F72" s="208" t="s">
        <v>232</v>
      </c>
      <c r="G72" s="28" t="s">
        <v>204</v>
      </c>
      <c r="J72" s="211">
        <v>0</v>
      </c>
      <c r="K72" s="211">
        <v>0</v>
      </c>
      <c r="L72" s="211">
        <v>0</v>
      </c>
      <c r="M72" s="211">
        <v>0</v>
      </c>
      <c r="N72" s="211">
        <v>0</v>
      </c>
      <c r="O72" s="211">
        <v>0</v>
      </c>
      <c r="P72" s="211">
        <v>0</v>
      </c>
      <c r="Q72" s="211">
        <v>0</v>
      </c>
      <c r="R72" s="211">
        <v>0.35162962287700078</v>
      </c>
      <c r="S72" s="211">
        <v>0</v>
      </c>
      <c r="T72" s="211">
        <v>0</v>
      </c>
      <c r="U72" s="211">
        <v>0</v>
      </c>
      <c r="V72" s="211">
        <v>0</v>
      </c>
      <c r="W72" s="211">
        <v>0.35162962287700078</v>
      </c>
      <c r="X72" s="211">
        <v>0</v>
      </c>
      <c r="Y72" s="211">
        <v>0</v>
      </c>
      <c r="Z72" s="211">
        <v>0</v>
      </c>
      <c r="AA72" s="211">
        <v>0</v>
      </c>
      <c r="AB72" s="211">
        <v>0</v>
      </c>
      <c r="AC72" s="211">
        <v>0</v>
      </c>
      <c r="AD72" s="211">
        <v>0</v>
      </c>
      <c r="AE72" s="211">
        <v>0</v>
      </c>
      <c r="AF72" s="211">
        <v>0</v>
      </c>
      <c r="AG72" s="211">
        <v>0</v>
      </c>
      <c r="AH72" s="211">
        <v>0</v>
      </c>
      <c r="AI72" s="211">
        <v>0</v>
      </c>
      <c r="AJ72" s="211">
        <v>0</v>
      </c>
      <c r="AK72" s="211">
        <v>0</v>
      </c>
      <c r="AL72" s="211">
        <v>0</v>
      </c>
      <c r="AM72" s="211">
        <v>0.35162962287700078</v>
      </c>
      <c r="AN72" s="211">
        <v>0.35162962287700078</v>
      </c>
      <c r="AO72" s="211">
        <v>0.35162962287700078</v>
      </c>
      <c r="AP72" s="211">
        <v>0.35162962287700078</v>
      </c>
    </row>
    <row r="73" spans="3:42" x14ac:dyDescent="0.25">
      <c r="D73" s="32"/>
      <c r="E73" s="32"/>
      <c r="F73" s="208" t="s">
        <v>233</v>
      </c>
      <c r="G73" s="28" t="s">
        <v>204</v>
      </c>
      <c r="J73" s="211">
        <v>0</v>
      </c>
      <c r="K73" s="211">
        <v>0</v>
      </c>
      <c r="L73" s="211">
        <v>0</v>
      </c>
      <c r="M73" s="211">
        <v>0</v>
      </c>
      <c r="N73" s="211">
        <v>0</v>
      </c>
      <c r="O73" s="211">
        <v>0</v>
      </c>
      <c r="P73" s="211">
        <v>0</v>
      </c>
      <c r="Q73" s="211">
        <v>0</v>
      </c>
      <c r="R73" s="211">
        <v>0.35162962287700078</v>
      </c>
      <c r="S73" s="211">
        <v>0</v>
      </c>
      <c r="T73" s="211">
        <v>0</v>
      </c>
      <c r="U73" s="211">
        <v>0</v>
      </c>
      <c r="V73" s="211">
        <v>0</v>
      </c>
      <c r="W73" s="211">
        <v>0.35162962287700078</v>
      </c>
      <c r="X73" s="211">
        <v>0</v>
      </c>
      <c r="Y73" s="211">
        <v>0</v>
      </c>
      <c r="Z73" s="211">
        <v>0</v>
      </c>
      <c r="AA73" s="211">
        <v>0</v>
      </c>
      <c r="AB73" s="211">
        <v>0</v>
      </c>
      <c r="AC73" s="211">
        <v>0</v>
      </c>
      <c r="AD73" s="211">
        <v>0</v>
      </c>
      <c r="AE73" s="211">
        <v>0</v>
      </c>
      <c r="AF73" s="211">
        <v>0</v>
      </c>
      <c r="AG73" s="211">
        <v>0</v>
      </c>
      <c r="AH73" s="211">
        <v>0</v>
      </c>
      <c r="AI73" s="211">
        <v>0</v>
      </c>
      <c r="AJ73" s="211">
        <v>0</v>
      </c>
      <c r="AK73" s="211">
        <v>0</v>
      </c>
      <c r="AL73" s="211">
        <v>0</v>
      </c>
      <c r="AM73" s="211">
        <v>0.35162962287700078</v>
      </c>
      <c r="AN73" s="211">
        <v>0.35162962287700078</v>
      </c>
      <c r="AO73" s="211">
        <v>0.35162962287700078</v>
      </c>
      <c r="AP73" s="211">
        <v>0.35162962287700078</v>
      </c>
    </row>
    <row r="74" spans="3:42" x14ac:dyDescent="0.25">
      <c r="D74" s="32"/>
      <c r="E74" s="32"/>
      <c r="F74" s="208" t="s">
        <v>234</v>
      </c>
      <c r="G74" s="28" t="s">
        <v>204</v>
      </c>
      <c r="J74" s="211">
        <v>0.47913351897273304</v>
      </c>
      <c r="K74" s="211">
        <v>0.47913351897273304</v>
      </c>
      <c r="L74" s="211">
        <v>0.47913351897273304</v>
      </c>
      <c r="M74" s="211">
        <v>0.47913351897273304</v>
      </c>
      <c r="N74" s="211">
        <v>0.47913351897273304</v>
      </c>
      <c r="O74" s="211">
        <v>0.47913351897273304</v>
      </c>
      <c r="P74" s="211">
        <v>0.47913351897273304</v>
      </c>
      <c r="Q74" s="211">
        <v>0.47913351897273304</v>
      </c>
      <c r="R74" s="211">
        <v>0.63783919619119978</v>
      </c>
      <c r="S74" s="211">
        <v>0.47913351897273304</v>
      </c>
      <c r="T74" s="211">
        <v>0.47913351897273304</v>
      </c>
      <c r="U74" s="211">
        <v>0.47913351897273304</v>
      </c>
      <c r="V74" s="211">
        <v>0.47913351897273304</v>
      </c>
      <c r="W74" s="211">
        <v>0.63783919619119978</v>
      </c>
      <c r="X74" s="211">
        <v>0.47913351897273304</v>
      </c>
      <c r="Y74" s="211">
        <v>0.47913351897273304</v>
      </c>
      <c r="Z74" s="211">
        <v>0.47913351897273304</v>
      </c>
      <c r="AA74" s="211">
        <v>0.47913351897273304</v>
      </c>
      <c r="AB74" s="211">
        <v>0.47913351897273304</v>
      </c>
      <c r="AC74" s="211">
        <v>0.47913351897273304</v>
      </c>
      <c r="AD74" s="211">
        <v>0.47913351897273304</v>
      </c>
      <c r="AE74" s="211">
        <v>0.47913351897273304</v>
      </c>
      <c r="AF74" s="211">
        <v>0.47913351897273304</v>
      </c>
      <c r="AG74" s="211">
        <v>0.47913351897273304</v>
      </c>
      <c r="AH74" s="211">
        <v>0.47913351897273304</v>
      </c>
      <c r="AI74" s="211">
        <v>0.47913351897273304</v>
      </c>
      <c r="AJ74" s="211">
        <v>0.47913351897273304</v>
      </c>
      <c r="AK74" s="211">
        <v>0.47913351897273304</v>
      </c>
      <c r="AL74" s="211">
        <v>0.47913351897273304</v>
      </c>
      <c r="AM74" s="211">
        <v>0.63783919619119978</v>
      </c>
      <c r="AN74" s="211">
        <v>0.63783919619119978</v>
      </c>
      <c r="AO74" s="211">
        <v>0.63783919619119978</v>
      </c>
      <c r="AP74" s="211">
        <v>0.63783919619119978</v>
      </c>
    </row>
    <row r="75" spans="3:42" x14ac:dyDescent="0.25">
      <c r="D75" s="32"/>
      <c r="E75" s="32"/>
      <c r="F75" s="208" t="s">
        <v>235</v>
      </c>
      <c r="G75" s="28" t="s">
        <v>204</v>
      </c>
      <c r="J75" s="211">
        <v>0.70892384564689981</v>
      </c>
      <c r="K75" s="211">
        <v>0.70892384564689981</v>
      </c>
      <c r="L75" s="211">
        <v>0.70892384564689981</v>
      </c>
      <c r="M75" s="211">
        <v>0.70892384564689981</v>
      </c>
      <c r="N75" s="211">
        <v>0.70892384564689981</v>
      </c>
      <c r="O75" s="211">
        <v>0.70892384564689981</v>
      </c>
      <c r="P75" s="211">
        <v>0.70892384564689981</v>
      </c>
      <c r="Q75" s="211">
        <v>0.70892384564689981</v>
      </c>
      <c r="R75" s="211">
        <v>0</v>
      </c>
      <c r="S75" s="211">
        <v>0.70892384564689981</v>
      </c>
      <c r="T75" s="211">
        <v>0.70892384564689981</v>
      </c>
      <c r="U75" s="211">
        <v>0.70892384564689981</v>
      </c>
      <c r="V75" s="211">
        <v>0.70892384564689981</v>
      </c>
      <c r="W75" s="211">
        <v>0</v>
      </c>
      <c r="X75" s="211">
        <v>0.70892384564689981</v>
      </c>
      <c r="Y75" s="211">
        <v>0.70892384564689981</v>
      </c>
      <c r="Z75" s="211">
        <v>0.70892384564689981</v>
      </c>
      <c r="AA75" s="211">
        <v>0.70892384564689981</v>
      </c>
      <c r="AB75" s="211">
        <v>0.70892384564689981</v>
      </c>
      <c r="AC75" s="211">
        <v>0.70892384564689981</v>
      </c>
      <c r="AD75" s="211">
        <v>0.70892384564689981</v>
      </c>
      <c r="AE75" s="211">
        <v>0.70892384564689981</v>
      </c>
      <c r="AF75" s="211">
        <v>0.70892384564689981</v>
      </c>
      <c r="AG75" s="211">
        <v>0.70892384564689981</v>
      </c>
      <c r="AH75" s="211">
        <v>0.70892384564689981</v>
      </c>
      <c r="AI75" s="211">
        <v>0.70892384564689981</v>
      </c>
      <c r="AJ75" s="211">
        <v>0.70892384564689981</v>
      </c>
      <c r="AK75" s="211">
        <v>0.70892384564689981</v>
      </c>
      <c r="AL75" s="211">
        <v>0.70892384564689981</v>
      </c>
      <c r="AM75" s="211">
        <v>0</v>
      </c>
      <c r="AN75" s="211">
        <v>0</v>
      </c>
      <c r="AO75" s="211">
        <v>0</v>
      </c>
      <c r="AP75" s="211">
        <v>0</v>
      </c>
    </row>
    <row r="76" spans="3:42" x14ac:dyDescent="0.25">
      <c r="D76" s="32"/>
      <c r="E76" s="32"/>
      <c r="F76" s="209" t="s">
        <v>236</v>
      </c>
      <c r="G76" s="67" t="s">
        <v>204</v>
      </c>
      <c r="H76" s="37"/>
      <c r="I76" s="37"/>
      <c r="J76" s="212">
        <v>0.93871417232106646</v>
      </c>
      <c r="K76" s="212">
        <v>0.93871417232106646</v>
      </c>
      <c r="L76" s="212">
        <v>0.93871417232106646</v>
      </c>
      <c r="M76" s="212">
        <v>0.93871417232106646</v>
      </c>
      <c r="N76" s="212">
        <v>0.93871417232106646</v>
      </c>
      <c r="O76" s="212">
        <v>0.93871417232106646</v>
      </c>
      <c r="P76" s="212">
        <v>0.93871417232106646</v>
      </c>
      <c r="Q76" s="212">
        <v>0</v>
      </c>
      <c r="R76" s="212">
        <v>0</v>
      </c>
      <c r="S76" s="212">
        <v>0.93871417232106646</v>
      </c>
      <c r="T76" s="212">
        <v>0.93871417232106646</v>
      </c>
      <c r="U76" s="212">
        <v>0.93871417232106646</v>
      </c>
      <c r="V76" s="212">
        <v>0</v>
      </c>
      <c r="W76" s="212">
        <v>0</v>
      </c>
      <c r="X76" s="212">
        <v>0.93871417232106646</v>
      </c>
      <c r="Y76" s="212">
        <v>0.93871417232106646</v>
      </c>
      <c r="Z76" s="212">
        <v>0.93871417232106646</v>
      </c>
      <c r="AA76" s="212">
        <v>0.93871417232106646</v>
      </c>
      <c r="AB76" s="212">
        <v>0.93871417232106646</v>
      </c>
      <c r="AC76" s="212">
        <v>0.93871417232106646</v>
      </c>
      <c r="AD76" s="212">
        <v>0</v>
      </c>
      <c r="AE76" s="212">
        <v>0.93871417232106646</v>
      </c>
      <c r="AF76" s="212">
        <v>0.93871417232106646</v>
      </c>
      <c r="AG76" s="212">
        <v>0.93871417232106646</v>
      </c>
      <c r="AH76" s="212">
        <v>0.93871417232106646</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552</v>
      </c>
      <c r="F78" s="28"/>
      <c r="G78" s="28" t="s">
        <v>343</v>
      </c>
      <c r="J78" s="211">
        <f>'Pseudo-load coefficients'!J504</f>
        <v>2.230668585312972</v>
      </c>
      <c r="K78" s="211">
        <f>'Pseudo-load coefficients'!K504</f>
        <v>1.8427737701631894</v>
      </c>
      <c r="L78" s="211">
        <f>'Pseudo-load coefficients'!L504</f>
        <v>0</v>
      </c>
      <c r="M78" s="211">
        <f>'Pseudo-load coefficients'!M504</f>
        <v>1.7825415717829454</v>
      </c>
      <c r="N78" s="211">
        <f>'Pseudo-load coefficients'!N504</f>
        <v>1.6077093701950986</v>
      </c>
      <c r="O78" s="211">
        <f>'Pseudo-load coefficients'!O504</f>
        <v>0</v>
      </c>
      <c r="P78" s="211">
        <f>'Pseudo-load coefficients'!P504</f>
        <v>1.5419184196255049</v>
      </c>
      <c r="Q78" s="211">
        <f>'Pseudo-load coefficients'!Q504</f>
        <v>1.5419184196255049</v>
      </c>
      <c r="R78" s="211">
        <f>'Pseudo-load coefficients'!R504</f>
        <v>1.5728035569641943</v>
      </c>
      <c r="S78" s="211">
        <f>'Pseudo-load coefficients'!S504</f>
        <v>2.0920850032493314</v>
      </c>
      <c r="T78" s="211">
        <f>'Pseudo-load coefficients'!T504</f>
        <v>1.6626920019262783</v>
      </c>
      <c r="U78" s="211">
        <f>'Pseudo-load coefficients'!U504</f>
        <v>1.4166403247012538</v>
      </c>
      <c r="V78" s="211">
        <f>'Pseudo-load coefficients'!V504</f>
        <v>1.3790568699378303</v>
      </c>
      <c r="W78" s="211">
        <f>'Pseudo-load coefficients'!W504</f>
        <v>1.1304209062948314</v>
      </c>
      <c r="X78" s="211">
        <f>'Pseudo-load coefficients'!X504</f>
        <v>1.000000000000107</v>
      </c>
      <c r="Y78" s="211">
        <f>'Pseudo-load coefficients'!Y504</f>
        <v>2.1124063696590247</v>
      </c>
      <c r="Z78" s="211">
        <f>'Pseudo-load coefficients'!Z504</f>
        <v>3.8306161778303376</v>
      </c>
      <c r="AA78" s="211">
        <f>'Pseudo-load coefficients'!AA504</f>
        <v>5.5372474548933813E-4</v>
      </c>
      <c r="AB78" s="211">
        <f>'Pseudo-load coefficients'!AB504</f>
        <v>2.1264926338958143</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620</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226</v>
      </c>
      <c r="G81" s="64" t="s">
        <v>343</v>
      </c>
      <c r="H81" s="23"/>
      <c r="I81" s="23"/>
      <c r="J81" s="210">
        <f>'Pseudo-load coefficients'!J509</f>
        <v>2.1807908807880709</v>
      </c>
      <c r="K81" s="210">
        <f>'Pseudo-load coefficients'!K509</f>
        <v>2.6171163772064023</v>
      </c>
      <c r="L81" s="210">
        <f>'Pseudo-load coefficients'!L509</f>
        <v>0.56734062438250188</v>
      </c>
      <c r="M81" s="210">
        <f>'Pseudo-load coefficients'!M509</f>
        <v>1.8305981160733231</v>
      </c>
      <c r="N81" s="210">
        <f>'Pseudo-load coefficients'!N509</f>
        <v>2.1189847740834802</v>
      </c>
      <c r="O81" s="210">
        <f>'Pseudo-load coefficients'!O509</f>
        <v>0.22310860654072326</v>
      </c>
      <c r="P81" s="210">
        <f>'Pseudo-load coefficients'!P509</f>
        <v>2.0212381171457885</v>
      </c>
      <c r="Q81" s="210">
        <f>'Pseudo-load coefficients'!Q509</f>
        <v>1.5617677718572813</v>
      </c>
      <c r="R81" s="210">
        <f>'Pseudo-load coefficients'!R509</f>
        <v>2.1321313712203991</v>
      </c>
      <c r="S81" s="210">
        <f>'Pseudo-load coefficients'!S509</f>
        <v>15.12702328718407</v>
      </c>
      <c r="T81" s="210">
        <f>'Pseudo-load coefficients'!T509</f>
        <v>14.06832045999138</v>
      </c>
      <c r="U81" s="210">
        <f>'Pseudo-load coefficients'!U509</f>
        <v>11.76292315998421</v>
      </c>
      <c r="V81" s="210">
        <f>'Pseudo-load coefficients'!V509</f>
        <v>11.524916735273678</v>
      </c>
      <c r="W81" s="210">
        <f>'Pseudo-load coefficients'!W509</f>
        <v>10.357069752664287</v>
      </c>
      <c r="X81" s="210">
        <f>'Pseudo-load coefficients'!X509</f>
        <v>1.2095736174987421</v>
      </c>
      <c r="Y81" s="210">
        <f>'Pseudo-load coefficients'!Y509</f>
        <v>1.6780027160525404</v>
      </c>
      <c r="Z81" s="210">
        <f>'Pseudo-load coefficients'!Z509</f>
        <v>3.1130261035743256</v>
      </c>
      <c r="AA81" s="210">
        <f>'Pseudo-load coefficients'!AA509</f>
        <v>0.74408439611735222</v>
      </c>
      <c r="AB81" s="210">
        <f>'Pseudo-load coefficients'!AB509</f>
        <v>31.859749087532848</v>
      </c>
      <c r="AC81" s="210">
        <f>'Pseudo-load coefficients'!AC509</f>
        <v>1</v>
      </c>
      <c r="AD81" s="210">
        <f>'Pseudo-load coefficients'!AD509</f>
        <v>1</v>
      </c>
      <c r="AE81" s="210">
        <f>'Pseudo-load coefficients'!AE509</f>
        <v>1</v>
      </c>
      <c r="AF81" s="210">
        <f>'Pseudo-load coefficients'!AF509</f>
        <v>1</v>
      </c>
      <c r="AG81" s="210">
        <f>'Pseudo-load coefficients'!AG509</f>
        <v>9.9487064285446856</v>
      </c>
      <c r="AH81" s="210">
        <f>'Pseudo-load coefficients'!AH509</f>
        <v>9.9487064285446856</v>
      </c>
      <c r="AI81" s="210">
        <f>'Pseudo-load coefficients'!AI509</f>
        <v>1</v>
      </c>
      <c r="AJ81" s="210">
        <f>'Pseudo-load coefficients'!AJ509</f>
        <v>1</v>
      </c>
      <c r="AK81" s="210">
        <f>'Pseudo-load coefficients'!AK509</f>
        <v>9.9487064285446856</v>
      </c>
      <c r="AL81" s="210">
        <f>'Pseudo-load coefficients'!AL509</f>
        <v>9.9487064285446856</v>
      </c>
      <c r="AM81" s="210">
        <f>'Pseudo-load coefficients'!AM509</f>
        <v>1</v>
      </c>
      <c r="AN81" s="210">
        <f>'Pseudo-load coefficients'!AN509</f>
        <v>1</v>
      </c>
      <c r="AO81" s="210">
        <f>'Pseudo-load coefficients'!AO509</f>
        <v>9.9487064285446856</v>
      </c>
      <c r="AP81" s="210">
        <f>'Pseudo-load coefficients'!AP509</f>
        <v>9.9487064285446856</v>
      </c>
    </row>
    <row r="82" spans="5:42" x14ac:dyDescent="0.25">
      <c r="E82" s="32"/>
      <c r="F82" s="208" t="s">
        <v>228</v>
      </c>
      <c r="G82" s="28" t="s">
        <v>343</v>
      </c>
      <c r="J82" s="211">
        <f>'Pseudo-load coefficients'!J509</f>
        <v>2.1807908807880709</v>
      </c>
      <c r="K82" s="211">
        <f>'Pseudo-load coefficients'!K509</f>
        <v>2.6171163772064023</v>
      </c>
      <c r="L82" s="211">
        <f>'Pseudo-load coefficients'!L509</f>
        <v>0.56734062438250188</v>
      </c>
      <c r="M82" s="211">
        <f>'Pseudo-load coefficients'!M509</f>
        <v>1.8305981160733231</v>
      </c>
      <c r="N82" s="211">
        <f>'Pseudo-load coefficients'!N509</f>
        <v>2.1189847740834802</v>
      </c>
      <c r="O82" s="211">
        <f>'Pseudo-load coefficients'!O509</f>
        <v>0.22310860654072326</v>
      </c>
      <c r="P82" s="211">
        <f>'Pseudo-load coefficients'!P509</f>
        <v>2.0212381171457885</v>
      </c>
      <c r="Q82" s="211">
        <f>'Pseudo-load coefficients'!Q509</f>
        <v>1.5617677718572813</v>
      </c>
      <c r="R82" s="211">
        <f>'Pseudo-load coefficients'!R509</f>
        <v>2.1321313712203991</v>
      </c>
      <c r="S82" s="211">
        <f>'Pseudo-load coefficients'!S509</f>
        <v>15.12702328718407</v>
      </c>
      <c r="T82" s="211">
        <f>'Pseudo-load coefficients'!T509</f>
        <v>14.06832045999138</v>
      </c>
      <c r="U82" s="211">
        <f>'Pseudo-load coefficients'!U509</f>
        <v>11.76292315998421</v>
      </c>
      <c r="V82" s="211">
        <f>'Pseudo-load coefficients'!V509</f>
        <v>11.524916735273678</v>
      </c>
      <c r="W82" s="211">
        <f>'Pseudo-load coefficients'!W509</f>
        <v>10.357069752664287</v>
      </c>
      <c r="X82" s="211">
        <f>'Pseudo-load coefficients'!X509</f>
        <v>1.2095736174987421</v>
      </c>
      <c r="Y82" s="211">
        <f>'Pseudo-load coefficients'!Y509</f>
        <v>1.6780027160525404</v>
      </c>
      <c r="Z82" s="211">
        <f>'Pseudo-load coefficients'!Z509</f>
        <v>3.1130261035743256</v>
      </c>
      <c r="AA82" s="211">
        <f>'Pseudo-load coefficients'!AA509</f>
        <v>0.74408439611735222</v>
      </c>
      <c r="AB82" s="211">
        <f>'Pseudo-load coefficients'!AB509</f>
        <v>31.859749087532848</v>
      </c>
      <c r="AC82" s="211">
        <f>'Pseudo-load coefficients'!AC509</f>
        <v>1</v>
      </c>
      <c r="AD82" s="211">
        <f>'Pseudo-load coefficients'!AD509</f>
        <v>1</v>
      </c>
      <c r="AE82" s="211">
        <f>'Pseudo-load coefficients'!AE509</f>
        <v>1</v>
      </c>
      <c r="AF82" s="211">
        <f>'Pseudo-load coefficients'!AF509</f>
        <v>1</v>
      </c>
      <c r="AG82" s="211">
        <f>'Pseudo-load coefficients'!AG509</f>
        <v>9.9487064285446856</v>
      </c>
      <c r="AH82" s="211">
        <f>'Pseudo-load coefficients'!AH509</f>
        <v>9.9487064285446856</v>
      </c>
      <c r="AI82" s="211">
        <f>'Pseudo-load coefficients'!AI509</f>
        <v>1</v>
      </c>
      <c r="AJ82" s="211">
        <f>'Pseudo-load coefficients'!AJ509</f>
        <v>1</v>
      </c>
      <c r="AK82" s="211">
        <f>'Pseudo-load coefficients'!AK509</f>
        <v>9.9487064285446856</v>
      </c>
      <c r="AL82" s="211">
        <f>'Pseudo-load coefficients'!AL509</f>
        <v>9.9487064285446856</v>
      </c>
      <c r="AM82" s="211">
        <f>'Pseudo-load coefficients'!AM509</f>
        <v>1</v>
      </c>
      <c r="AN82" s="211">
        <f>'Pseudo-load coefficients'!AN509</f>
        <v>1</v>
      </c>
      <c r="AO82" s="211">
        <f>'Pseudo-load coefficients'!AO509</f>
        <v>9.9487064285446856</v>
      </c>
      <c r="AP82" s="211">
        <f>'Pseudo-load coefficients'!AP509</f>
        <v>9.9487064285446856</v>
      </c>
    </row>
    <row r="83" spans="5:42" x14ac:dyDescent="0.25">
      <c r="E83" s="32"/>
      <c r="F83" s="208" t="s">
        <v>229</v>
      </c>
      <c r="G83" s="28" t="s">
        <v>343</v>
      </c>
      <c r="J83" s="211">
        <f>'Pseudo-load coefficients'!J510</f>
        <v>2.1199373449906784</v>
      </c>
      <c r="K83" s="211">
        <f>'Pseudo-load coefficients'!K510</f>
        <v>2.5398556248087099</v>
      </c>
      <c r="L83" s="211">
        <f>'Pseudo-load coefficients'!L510</f>
        <v>0.62986921817159047</v>
      </c>
      <c r="M83" s="211">
        <f>'Pseudo-load coefficients'!M510</f>
        <v>1.8634983769316782</v>
      </c>
      <c r="N83" s="211">
        <f>'Pseudo-load coefficients'!N510</f>
        <v>2.1299899451884969</v>
      </c>
      <c r="O83" s="211">
        <f>'Pseudo-load coefficients'!O510</f>
        <v>0.28155421309377499</v>
      </c>
      <c r="P83" s="211">
        <f>'Pseudo-load coefficients'!P510</f>
        <v>2.025478572211715</v>
      </c>
      <c r="Q83" s="211">
        <f>'Pseudo-load coefficients'!Q510</f>
        <v>1.5658802339295605</v>
      </c>
      <c r="R83" s="211">
        <f>'Pseudo-load coefficients'!R510</f>
        <v>2.1482935142613062</v>
      </c>
      <c r="S83" s="211">
        <f>'Pseudo-load coefficients'!S510</f>
        <v>13.156969672521958</v>
      </c>
      <c r="T83" s="211">
        <f>'Pseudo-load coefficients'!T510</f>
        <v>12.234563427842506</v>
      </c>
      <c r="U83" s="211">
        <f>'Pseudo-load coefficients'!U510</f>
        <v>10.230764669237841</v>
      </c>
      <c r="V83" s="211">
        <f>'Pseudo-load coefficients'!V510</f>
        <v>10.023759345147685</v>
      </c>
      <c r="W83" s="211">
        <f>'Pseudo-load coefficients'!W510</f>
        <v>9.0080281798365434</v>
      </c>
      <c r="X83" s="211">
        <f>'Pseudo-load coefficients'!X510</f>
        <v>1.2091816158103814</v>
      </c>
      <c r="Y83" s="211">
        <f>'Pseudo-load coefficients'!Y510</f>
        <v>1.6476207301726158</v>
      </c>
      <c r="Z83" s="211">
        <f>'Pseudo-load coefficients'!Z510</f>
        <v>3.0315940766510652</v>
      </c>
      <c r="AA83" s="211">
        <f>'Pseudo-load coefficients'!AA510</f>
        <v>0.77268628544056728</v>
      </c>
      <c r="AB83" s="211">
        <f>'Pseudo-load coefficients'!AB510</f>
        <v>30.680807090232229</v>
      </c>
      <c r="AC83" s="211">
        <f>'Pseudo-load coefficients'!AC510</f>
        <v>1</v>
      </c>
      <c r="AD83" s="211">
        <f>'Pseudo-load coefficients'!AD510</f>
        <v>1</v>
      </c>
      <c r="AE83" s="211">
        <f>'Pseudo-load coefficients'!AE510</f>
        <v>1</v>
      </c>
      <c r="AF83" s="211">
        <f>'Pseudo-load coefficients'!AF510</f>
        <v>1</v>
      </c>
      <c r="AG83" s="211">
        <f>'Pseudo-load coefficients'!AG510</f>
        <v>8.6528554891887079</v>
      </c>
      <c r="AH83" s="211">
        <f>'Pseudo-load coefficients'!AH510</f>
        <v>8.6528554891887079</v>
      </c>
      <c r="AI83" s="211">
        <f>'Pseudo-load coefficients'!AI510</f>
        <v>1</v>
      </c>
      <c r="AJ83" s="211">
        <f>'Pseudo-load coefficients'!AJ510</f>
        <v>1</v>
      </c>
      <c r="AK83" s="211">
        <f>'Pseudo-load coefficients'!AK510</f>
        <v>8.6528554891887079</v>
      </c>
      <c r="AL83" s="211">
        <f>'Pseudo-load coefficients'!AL510</f>
        <v>8.6528554891887079</v>
      </c>
      <c r="AM83" s="211">
        <f>'Pseudo-load coefficients'!AM510</f>
        <v>1</v>
      </c>
      <c r="AN83" s="211">
        <f>'Pseudo-load coefficients'!AN510</f>
        <v>1</v>
      </c>
      <c r="AO83" s="211">
        <f>'Pseudo-load coefficients'!AO510</f>
        <v>8.6528554891887079</v>
      </c>
      <c r="AP83" s="211">
        <f>'Pseudo-load coefficients'!AP510</f>
        <v>8.6528554891887079</v>
      </c>
    </row>
    <row r="84" spans="5:42" x14ac:dyDescent="0.25">
      <c r="E84" s="32"/>
      <c r="F84" s="208" t="s">
        <v>230</v>
      </c>
      <c r="G84" s="28" t="s">
        <v>343</v>
      </c>
      <c r="J84" s="211">
        <f>'Pseudo-load coefficients'!J511</f>
        <v>2.1199373449906784</v>
      </c>
      <c r="K84" s="211">
        <f>'Pseudo-load coefficients'!K511</f>
        <v>2.5398556248087099</v>
      </c>
      <c r="L84" s="211">
        <f>'Pseudo-load coefficients'!L511</f>
        <v>0.62986921817159047</v>
      </c>
      <c r="M84" s="211">
        <f>'Pseudo-load coefficients'!M511</f>
        <v>1.8634983769316782</v>
      </c>
      <c r="N84" s="211">
        <f>'Pseudo-load coefficients'!N511</f>
        <v>2.1299899451884969</v>
      </c>
      <c r="O84" s="211">
        <f>'Pseudo-load coefficients'!O511</f>
        <v>0.28155421309377499</v>
      </c>
      <c r="P84" s="211">
        <f>'Pseudo-load coefficients'!P511</f>
        <v>2.025478572211715</v>
      </c>
      <c r="Q84" s="211">
        <f>'Pseudo-load coefficients'!Q511</f>
        <v>1.5658802339295605</v>
      </c>
      <c r="R84" s="211">
        <f>'Pseudo-load coefficients'!R511</f>
        <v>2.1482935142613062</v>
      </c>
      <c r="S84" s="211">
        <f>'Pseudo-load coefficients'!S511</f>
        <v>13.156969672521958</v>
      </c>
      <c r="T84" s="211">
        <f>'Pseudo-load coefficients'!T511</f>
        <v>12.234563427842506</v>
      </c>
      <c r="U84" s="211">
        <f>'Pseudo-load coefficients'!U511</f>
        <v>10.230764669237841</v>
      </c>
      <c r="V84" s="211">
        <f>'Pseudo-load coefficients'!V511</f>
        <v>10.023759345147685</v>
      </c>
      <c r="W84" s="211">
        <f>'Pseudo-load coefficients'!W511</f>
        <v>9.0080281798365434</v>
      </c>
      <c r="X84" s="211">
        <f>'Pseudo-load coefficients'!X511</f>
        <v>1.2091816158103814</v>
      </c>
      <c r="Y84" s="211">
        <f>'Pseudo-load coefficients'!Y511</f>
        <v>1.6476207301726158</v>
      </c>
      <c r="Z84" s="211">
        <f>'Pseudo-load coefficients'!Z511</f>
        <v>3.0315940766510652</v>
      </c>
      <c r="AA84" s="211">
        <f>'Pseudo-load coefficients'!AA511</f>
        <v>0.77268628544056728</v>
      </c>
      <c r="AB84" s="211">
        <f>'Pseudo-load coefficients'!AB511</f>
        <v>30.680807090232229</v>
      </c>
      <c r="AC84" s="211">
        <f>'Pseudo-load coefficients'!AC511</f>
        <v>1</v>
      </c>
      <c r="AD84" s="211">
        <f>'Pseudo-load coefficients'!AD511</f>
        <v>1</v>
      </c>
      <c r="AE84" s="211">
        <f>'Pseudo-load coefficients'!AE511</f>
        <v>1</v>
      </c>
      <c r="AF84" s="211">
        <f>'Pseudo-load coefficients'!AF511</f>
        <v>1</v>
      </c>
      <c r="AG84" s="211">
        <f>'Pseudo-load coefficients'!AG511</f>
        <v>8.6528554891887079</v>
      </c>
      <c r="AH84" s="211">
        <f>'Pseudo-load coefficients'!AH511</f>
        <v>8.6528554891887079</v>
      </c>
      <c r="AI84" s="211">
        <f>'Pseudo-load coefficients'!AI511</f>
        <v>1</v>
      </c>
      <c r="AJ84" s="211">
        <f>'Pseudo-load coefficients'!AJ511</f>
        <v>1</v>
      </c>
      <c r="AK84" s="211">
        <f>'Pseudo-load coefficients'!AK511</f>
        <v>8.6528554891887079</v>
      </c>
      <c r="AL84" s="211">
        <f>'Pseudo-load coefficients'!AL511</f>
        <v>8.6528554891887079</v>
      </c>
      <c r="AM84" s="211">
        <f>'Pseudo-load coefficients'!AM511</f>
        <v>1</v>
      </c>
      <c r="AN84" s="211">
        <f>'Pseudo-load coefficients'!AN511</f>
        <v>1</v>
      </c>
      <c r="AO84" s="211">
        <f>'Pseudo-load coefficients'!AO511</f>
        <v>8.6528554891887079</v>
      </c>
      <c r="AP84" s="211">
        <f>'Pseudo-load coefficients'!AP511</f>
        <v>8.6528554891887079</v>
      </c>
    </row>
    <row r="85" spans="5:42" x14ac:dyDescent="0.25">
      <c r="E85" s="32"/>
      <c r="F85" s="208" t="s">
        <v>231</v>
      </c>
      <c r="G85" s="28" t="s">
        <v>343</v>
      </c>
      <c r="J85" s="211">
        <f>'Pseudo-load coefficients'!J512</f>
        <v>2.0491339325646636</v>
      </c>
      <c r="K85" s="211">
        <f>'Pseudo-load coefficients'!K512</f>
        <v>2.446604752565642</v>
      </c>
      <c r="L85" s="211">
        <f>'Pseudo-load coefficients'!L512</f>
        <v>0.69657248934358806</v>
      </c>
      <c r="M85" s="211">
        <f>'Pseudo-load coefficients'!M512</f>
        <v>1.883334100485887</v>
      </c>
      <c r="N85" s="211">
        <f>'Pseudo-load coefficients'!N512</f>
        <v>2.1253232903477883</v>
      </c>
      <c r="O85" s="211">
        <f>'Pseudo-load coefficients'!O512</f>
        <v>0.35205062707632079</v>
      </c>
      <c r="P85" s="211">
        <f>'Pseudo-load coefficients'!P512</f>
        <v>2.0138469291147127</v>
      </c>
      <c r="Q85" s="211">
        <f>'Pseudo-load coefficients'!Q512</f>
        <v>1.5578439321096642</v>
      </c>
      <c r="R85" s="211">
        <f>'Pseudo-load coefficients'!R512</f>
        <v>2.1470067563918569</v>
      </c>
      <c r="S85" s="211">
        <f>'Pseudo-load coefficients'!S512</f>
        <v>11.05672165212744</v>
      </c>
      <c r="T85" s="211">
        <f>'Pseudo-load coefficients'!T512</f>
        <v>10.280199456238735</v>
      </c>
      <c r="U85" s="211">
        <f>'Pseudo-load coefficients'!U512</f>
        <v>8.5969775694748787</v>
      </c>
      <c r="V85" s="211">
        <f>'Pseudo-load coefficients'!V512</f>
        <v>8.4230296598610472</v>
      </c>
      <c r="W85" s="211">
        <f>'Pseudo-load coefficients'!W512</f>
        <v>7.569504207257026</v>
      </c>
      <c r="X85" s="211">
        <f>'Pseudo-load coefficients'!X512</f>
        <v>1.2075246920838687</v>
      </c>
      <c r="Y85" s="211">
        <f>'Pseudo-load coefficients'!Y512</f>
        <v>1.4806590276438236</v>
      </c>
      <c r="Z85" s="211">
        <f>'Pseudo-load coefficients'!Z512</f>
        <v>2.6767872117120697</v>
      </c>
      <c r="AA85" s="211">
        <f>'Pseudo-load coefficients'!AA512</f>
        <v>0.92899252566537083</v>
      </c>
      <c r="AB85" s="211">
        <f>'Pseudo-load coefficients'!AB512</f>
        <v>25.978852580500728</v>
      </c>
      <c r="AC85" s="211">
        <f>'Pseudo-load coefficients'!AC512</f>
        <v>0.99999999999999989</v>
      </c>
      <c r="AD85" s="211">
        <f>'Pseudo-load coefficients'!AD512</f>
        <v>0.99999999999999989</v>
      </c>
      <c r="AE85" s="211">
        <f>'Pseudo-load coefficients'!AE512</f>
        <v>0.99999999999999989</v>
      </c>
      <c r="AF85" s="211">
        <f>'Pseudo-load coefficients'!AF512</f>
        <v>0.99999999999999989</v>
      </c>
      <c r="AG85" s="211">
        <f>'Pseudo-load coefficients'!AG512</f>
        <v>7.2710503034182867</v>
      </c>
      <c r="AH85" s="211">
        <f>'Pseudo-load coefficients'!AH512</f>
        <v>7.2710503034182867</v>
      </c>
      <c r="AI85" s="211">
        <f>'Pseudo-load coefficients'!AI512</f>
        <v>0.99999999999999989</v>
      </c>
      <c r="AJ85" s="211">
        <f>'Pseudo-load coefficients'!AJ512</f>
        <v>0.99999999999999989</v>
      </c>
      <c r="AK85" s="211">
        <f>'Pseudo-load coefficients'!AK512</f>
        <v>7.2710503034182867</v>
      </c>
      <c r="AL85" s="211">
        <f>'Pseudo-load coefficients'!AL512</f>
        <v>7.2710503034182867</v>
      </c>
      <c r="AM85" s="211">
        <f>'Pseudo-load coefficients'!AM512</f>
        <v>0.99999999999999989</v>
      </c>
      <c r="AN85" s="211">
        <f>'Pseudo-load coefficients'!AN512</f>
        <v>0.99999999999999989</v>
      </c>
      <c r="AO85" s="211">
        <f>'Pseudo-load coefficients'!AO512</f>
        <v>7.2710503034182867</v>
      </c>
      <c r="AP85" s="211">
        <f>'Pseudo-load coefficients'!AP512</f>
        <v>7.2710503034182867</v>
      </c>
    </row>
    <row r="86" spans="5:42" x14ac:dyDescent="0.25">
      <c r="E86" s="32"/>
      <c r="F86" s="208" t="s">
        <v>232</v>
      </c>
      <c r="G86" s="28" t="s">
        <v>343</v>
      </c>
      <c r="J86" s="211">
        <f>'Pseudo-load coefficients'!J513</f>
        <v>2.0491339325646636</v>
      </c>
      <c r="K86" s="211">
        <f>'Pseudo-load coefficients'!K513</f>
        <v>2.446604752565642</v>
      </c>
      <c r="L86" s="211">
        <f>'Pseudo-load coefficients'!L513</f>
        <v>0.69657248934358806</v>
      </c>
      <c r="M86" s="211">
        <f>'Pseudo-load coefficients'!M513</f>
        <v>1.883334100485887</v>
      </c>
      <c r="N86" s="211">
        <f>'Pseudo-load coefficients'!N513</f>
        <v>2.1253232903477883</v>
      </c>
      <c r="O86" s="211">
        <f>'Pseudo-load coefficients'!O513</f>
        <v>0.35205062707632079</v>
      </c>
      <c r="P86" s="211">
        <f>'Pseudo-load coefficients'!P513</f>
        <v>2.0138469291147127</v>
      </c>
      <c r="Q86" s="211">
        <f>'Pseudo-load coefficients'!Q513</f>
        <v>1.5578439321096642</v>
      </c>
      <c r="R86" s="211">
        <f>'Pseudo-load coefficients'!R513</f>
        <v>2.1470067563918569</v>
      </c>
      <c r="S86" s="211">
        <f>'Pseudo-load coefficients'!S513</f>
        <v>11.05672165212744</v>
      </c>
      <c r="T86" s="211">
        <f>'Pseudo-load coefficients'!T513</f>
        <v>10.280199456238735</v>
      </c>
      <c r="U86" s="211">
        <f>'Pseudo-load coefficients'!U513</f>
        <v>8.5969775694748787</v>
      </c>
      <c r="V86" s="211">
        <f>'Pseudo-load coefficients'!V513</f>
        <v>8.4230296598610472</v>
      </c>
      <c r="W86" s="211">
        <f>'Pseudo-load coefficients'!W513</f>
        <v>7.569504207257026</v>
      </c>
      <c r="X86" s="211">
        <f>'Pseudo-load coefficients'!X513</f>
        <v>1.2075246920838687</v>
      </c>
      <c r="Y86" s="211">
        <f>'Pseudo-load coefficients'!Y513</f>
        <v>1.4806590276438236</v>
      </c>
      <c r="Z86" s="211">
        <f>'Pseudo-load coefficients'!Z513</f>
        <v>2.6767872117120697</v>
      </c>
      <c r="AA86" s="211">
        <f>'Pseudo-load coefficients'!AA513</f>
        <v>0.92899252566537083</v>
      </c>
      <c r="AB86" s="211">
        <f>'Pseudo-load coefficients'!AB513</f>
        <v>25.978852580500728</v>
      </c>
      <c r="AC86" s="211">
        <f>'Pseudo-load coefficients'!AC513</f>
        <v>0.99999999999999989</v>
      </c>
      <c r="AD86" s="211">
        <f>'Pseudo-load coefficients'!AD513</f>
        <v>0.99999999999999989</v>
      </c>
      <c r="AE86" s="211">
        <f>'Pseudo-load coefficients'!AE513</f>
        <v>0.99999999999999989</v>
      </c>
      <c r="AF86" s="211">
        <f>'Pseudo-load coefficients'!AF513</f>
        <v>0.99999999999999989</v>
      </c>
      <c r="AG86" s="211">
        <f>'Pseudo-load coefficients'!AG513</f>
        <v>7.2710503034182867</v>
      </c>
      <c r="AH86" s="211">
        <f>'Pseudo-load coefficients'!AH513</f>
        <v>7.2710503034182867</v>
      </c>
      <c r="AI86" s="211">
        <f>'Pseudo-load coefficients'!AI513</f>
        <v>0.99999999999999989</v>
      </c>
      <c r="AJ86" s="211">
        <f>'Pseudo-load coefficients'!AJ513</f>
        <v>0.99999999999999989</v>
      </c>
      <c r="AK86" s="211">
        <f>'Pseudo-load coefficients'!AK513</f>
        <v>7.2710503034182867</v>
      </c>
      <c r="AL86" s="211">
        <f>'Pseudo-load coefficients'!AL513</f>
        <v>7.2710503034182867</v>
      </c>
      <c r="AM86" s="211">
        <f>'Pseudo-load coefficients'!AM513</f>
        <v>0.99999999999999989</v>
      </c>
      <c r="AN86" s="211">
        <f>'Pseudo-load coefficients'!AN513</f>
        <v>0.99999999999999989</v>
      </c>
      <c r="AO86" s="211">
        <f>'Pseudo-load coefficients'!AO513</f>
        <v>7.2710503034182867</v>
      </c>
      <c r="AP86" s="211">
        <f>'Pseudo-load coefficients'!AP513</f>
        <v>7.2710503034182867</v>
      </c>
    </row>
    <row r="87" spans="5:42" x14ac:dyDescent="0.25">
      <c r="E87" s="32"/>
      <c r="F87" s="208" t="s">
        <v>233</v>
      </c>
      <c r="G87" s="28" t="s">
        <v>343</v>
      </c>
      <c r="J87" s="211">
        <f>'Pseudo-load coefficients'!J514</f>
        <v>2.1199373449906784</v>
      </c>
      <c r="K87" s="211">
        <f>'Pseudo-load coefficients'!K514</f>
        <v>2.5398556248087099</v>
      </c>
      <c r="L87" s="211">
        <f>'Pseudo-load coefficients'!L514</f>
        <v>0.62986921817159047</v>
      </c>
      <c r="M87" s="211">
        <f>'Pseudo-load coefficients'!M514</f>
        <v>1.8634983769316782</v>
      </c>
      <c r="N87" s="211">
        <f>'Pseudo-load coefficients'!N514</f>
        <v>2.1299899451884969</v>
      </c>
      <c r="O87" s="211">
        <f>'Pseudo-load coefficients'!O514</f>
        <v>0.28155421309377499</v>
      </c>
      <c r="P87" s="211">
        <f>'Pseudo-load coefficients'!P514</f>
        <v>2.025478572211715</v>
      </c>
      <c r="Q87" s="211">
        <f>'Pseudo-load coefficients'!Q514</f>
        <v>1.5658802339295605</v>
      </c>
      <c r="R87" s="211">
        <f>'Pseudo-load coefficients'!R514</f>
        <v>2.1482935142613062</v>
      </c>
      <c r="S87" s="211">
        <f>'Pseudo-load coefficients'!S514</f>
        <v>13.156969672521958</v>
      </c>
      <c r="T87" s="211">
        <f>'Pseudo-load coefficients'!T514</f>
        <v>12.234563427842506</v>
      </c>
      <c r="U87" s="211">
        <f>'Pseudo-load coefficients'!U514</f>
        <v>10.230764669237841</v>
      </c>
      <c r="V87" s="211">
        <f>'Pseudo-load coefficients'!V514</f>
        <v>10.023759345147685</v>
      </c>
      <c r="W87" s="211">
        <f>'Pseudo-load coefficients'!W514</f>
        <v>9.0080281798365434</v>
      </c>
      <c r="X87" s="211">
        <f>'Pseudo-load coefficients'!X514</f>
        <v>1.2091816158103814</v>
      </c>
      <c r="Y87" s="211">
        <f>'Pseudo-load coefficients'!Y514</f>
        <v>1.6476207301726158</v>
      </c>
      <c r="Z87" s="211">
        <f>'Pseudo-load coefficients'!Z514</f>
        <v>3.0315940766510652</v>
      </c>
      <c r="AA87" s="211">
        <f>'Pseudo-load coefficients'!AA514</f>
        <v>0.77268628544056728</v>
      </c>
      <c r="AB87" s="211">
        <f>'Pseudo-load coefficients'!AB514</f>
        <v>30.680807090232229</v>
      </c>
      <c r="AC87" s="211">
        <f>'Pseudo-load coefficients'!AC514</f>
        <v>1</v>
      </c>
      <c r="AD87" s="211">
        <f>'Pseudo-load coefficients'!AD514</f>
        <v>1</v>
      </c>
      <c r="AE87" s="211">
        <f>'Pseudo-load coefficients'!AE514</f>
        <v>1</v>
      </c>
      <c r="AF87" s="211">
        <f>'Pseudo-load coefficients'!AF514</f>
        <v>1</v>
      </c>
      <c r="AG87" s="211">
        <f>'Pseudo-load coefficients'!AG514</f>
        <v>8.6528554891887079</v>
      </c>
      <c r="AH87" s="211">
        <f>'Pseudo-load coefficients'!AH514</f>
        <v>8.6528554891887079</v>
      </c>
      <c r="AI87" s="211">
        <f>'Pseudo-load coefficients'!AI514</f>
        <v>1</v>
      </c>
      <c r="AJ87" s="211">
        <f>'Pseudo-load coefficients'!AJ514</f>
        <v>1</v>
      </c>
      <c r="AK87" s="211">
        <f>'Pseudo-load coefficients'!AK514</f>
        <v>8.6528554891887079</v>
      </c>
      <c r="AL87" s="211">
        <f>'Pseudo-load coefficients'!AL514</f>
        <v>8.6528554891887079</v>
      </c>
      <c r="AM87" s="211">
        <f>'Pseudo-load coefficients'!AM514</f>
        <v>1</v>
      </c>
      <c r="AN87" s="211">
        <f>'Pseudo-load coefficients'!AN514</f>
        <v>1</v>
      </c>
      <c r="AO87" s="211">
        <f>'Pseudo-load coefficients'!AO514</f>
        <v>8.6528554891887079</v>
      </c>
      <c r="AP87" s="211">
        <f>'Pseudo-load coefficients'!AP514</f>
        <v>8.6528554891887079</v>
      </c>
    </row>
    <row r="88" spans="5:42" x14ac:dyDescent="0.25">
      <c r="E88" s="32"/>
      <c r="F88" s="208" t="s">
        <v>234</v>
      </c>
      <c r="G88" s="28" t="s">
        <v>343</v>
      </c>
      <c r="J88" s="211">
        <f>'Pseudo-load coefficients'!J515</f>
        <v>2.0491339325646636</v>
      </c>
      <c r="K88" s="211">
        <f>'Pseudo-load coefficients'!K515</f>
        <v>2.446604752565642</v>
      </c>
      <c r="L88" s="211">
        <f>'Pseudo-load coefficients'!L515</f>
        <v>0.69657248934358806</v>
      </c>
      <c r="M88" s="211">
        <f>'Pseudo-load coefficients'!M515</f>
        <v>1.883334100485887</v>
      </c>
      <c r="N88" s="211">
        <f>'Pseudo-load coefficients'!N515</f>
        <v>2.1253232903477883</v>
      </c>
      <c r="O88" s="211">
        <f>'Pseudo-load coefficients'!O515</f>
        <v>0.35205062707632079</v>
      </c>
      <c r="P88" s="211">
        <f>'Pseudo-load coefficients'!P515</f>
        <v>2.0138469291147127</v>
      </c>
      <c r="Q88" s="211">
        <f>'Pseudo-load coefficients'!Q515</f>
        <v>1.5578439321096642</v>
      </c>
      <c r="R88" s="211">
        <f>'Pseudo-load coefficients'!R515</f>
        <v>2.1470067563918569</v>
      </c>
      <c r="S88" s="211">
        <f>'Pseudo-load coefficients'!S515</f>
        <v>11.05672165212744</v>
      </c>
      <c r="T88" s="211">
        <f>'Pseudo-load coefficients'!T515</f>
        <v>10.280199456238735</v>
      </c>
      <c r="U88" s="211">
        <f>'Pseudo-load coefficients'!U515</f>
        <v>8.5969775694748787</v>
      </c>
      <c r="V88" s="211">
        <f>'Pseudo-load coefficients'!V515</f>
        <v>8.4230296598610472</v>
      </c>
      <c r="W88" s="211">
        <f>'Pseudo-load coefficients'!W515</f>
        <v>7.569504207257026</v>
      </c>
      <c r="X88" s="211">
        <f>'Pseudo-load coefficients'!X515</f>
        <v>1.2075246920838687</v>
      </c>
      <c r="Y88" s="211">
        <f>'Pseudo-load coefficients'!Y515</f>
        <v>1.4806590276438236</v>
      </c>
      <c r="Z88" s="211">
        <f>'Pseudo-load coefficients'!Z515</f>
        <v>2.6767872117120697</v>
      </c>
      <c r="AA88" s="211">
        <f>'Pseudo-load coefficients'!AA515</f>
        <v>0.92899252566537083</v>
      </c>
      <c r="AB88" s="211">
        <f>'Pseudo-load coefficients'!AB515</f>
        <v>25.978852580500728</v>
      </c>
      <c r="AC88" s="211">
        <f>'Pseudo-load coefficients'!AC515</f>
        <v>0.99999999999999989</v>
      </c>
      <c r="AD88" s="211">
        <f>'Pseudo-load coefficients'!AD515</f>
        <v>0.99999999999999989</v>
      </c>
      <c r="AE88" s="211">
        <f>'Pseudo-load coefficients'!AE515</f>
        <v>0.99999999999999989</v>
      </c>
      <c r="AF88" s="211">
        <f>'Pseudo-load coefficients'!AF515</f>
        <v>0.99999999999999989</v>
      </c>
      <c r="AG88" s="211">
        <f>'Pseudo-load coefficients'!AG515</f>
        <v>7.2710503034182867</v>
      </c>
      <c r="AH88" s="211">
        <f>'Pseudo-load coefficients'!AH515</f>
        <v>7.2710503034182867</v>
      </c>
      <c r="AI88" s="211">
        <f>'Pseudo-load coefficients'!AI515</f>
        <v>0.99999999999999989</v>
      </c>
      <c r="AJ88" s="211">
        <f>'Pseudo-load coefficients'!AJ515</f>
        <v>0.99999999999999989</v>
      </c>
      <c r="AK88" s="211">
        <f>'Pseudo-load coefficients'!AK515</f>
        <v>7.2710503034182867</v>
      </c>
      <c r="AL88" s="211">
        <f>'Pseudo-load coefficients'!AL515</f>
        <v>7.2710503034182867</v>
      </c>
      <c r="AM88" s="211">
        <f>'Pseudo-load coefficients'!AM515</f>
        <v>0.99999999999999989</v>
      </c>
      <c r="AN88" s="211">
        <f>'Pseudo-load coefficients'!AN515</f>
        <v>0.99999999999999989</v>
      </c>
      <c r="AO88" s="211">
        <f>'Pseudo-load coefficients'!AO515</f>
        <v>7.2710503034182867</v>
      </c>
      <c r="AP88" s="211">
        <f>'Pseudo-load coefficients'!AP515</f>
        <v>7.2710503034182867</v>
      </c>
    </row>
    <row r="89" spans="5:42" x14ac:dyDescent="0.25">
      <c r="E89" s="32"/>
      <c r="F89" s="208" t="s">
        <v>235</v>
      </c>
      <c r="G89" s="28" t="s">
        <v>343</v>
      </c>
      <c r="J89" s="211">
        <f>'Pseudo-load coefficients'!J516</f>
        <v>2.0491339325646636</v>
      </c>
      <c r="K89" s="211">
        <f>'Pseudo-load coefficients'!K516</f>
        <v>2.446604752565642</v>
      </c>
      <c r="L89" s="211">
        <f>'Pseudo-load coefficients'!L516</f>
        <v>0.69657248934358806</v>
      </c>
      <c r="M89" s="211">
        <f>'Pseudo-load coefficients'!M516</f>
        <v>1.883334100485887</v>
      </c>
      <c r="N89" s="211">
        <f>'Pseudo-load coefficients'!N516</f>
        <v>2.1253232903477883</v>
      </c>
      <c r="O89" s="211">
        <f>'Pseudo-load coefficients'!O516</f>
        <v>0.35205062707632079</v>
      </c>
      <c r="P89" s="211">
        <f>'Pseudo-load coefficients'!P516</f>
        <v>2.0138469291147127</v>
      </c>
      <c r="Q89" s="211">
        <f>'Pseudo-load coefficients'!Q516</f>
        <v>1.5578439321096642</v>
      </c>
      <c r="R89" s="211">
        <f>'Pseudo-load coefficients'!R516</f>
        <v>2.1470067563918569</v>
      </c>
      <c r="S89" s="211">
        <f>'Pseudo-load coefficients'!S516</f>
        <v>11.05672165212744</v>
      </c>
      <c r="T89" s="211">
        <f>'Pseudo-load coefficients'!T516</f>
        <v>10.280199456238735</v>
      </c>
      <c r="U89" s="211">
        <f>'Pseudo-load coefficients'!U516</f>
        <v>8.5969775694748787</v>
      </c>
      <c r="V89" s="211">
        <f>'Pseudo-load coefficients'!V516</f>
        <v>8.4230296598610472</v>
      </c>
      <c r="W89" s="211">
        <f>'Pseudo-load coefficients'!W516</f>
        <v>7.569504207257026</v>
      </c>
      <c r="X89" s="211">
        <f>'Pseudo-load coefficients'!X516</f>
        <v>1.2075246920838687</v>
      </c>
      <c r="Y89" s="211">
        <f>'Pseudo-load coefficients'!Y516</f>
        <v>1.4806590276438236</v>
      </c>
      <c r="Z89" s="211">
        <f>'Pseudo-load coefficients'!Z516</f>
        <v>2.6767872117120697</v>
      </c>
      <c r="AA89" s="211">
        <f>'Pseudo-load coefficients'!AA516</f>
        <v>0.92899252566537083</v>
      </c>
      <c r="AB89" s="211">
        <f>'Pseudo-load coefficients'!AB516</f>
        <v>25.978852580500728</v>
      </c>
      <c r="AC89" s="211">
        <f>'Pseudo-load coefficients'!AC516</f>
        <v>0.99999999999999989</v>
      </c>
      <c r="AD89" s="211">
        <f>'Pseudo-load coefficients'!AD516</f>
        <v>0.99999999999999989</v>
      </c>
      <c r="AE89" s="211">
        <f>'Pseudo-load coefficients'!AE516</f>
        <v>0.99999999999999989</v>
      </c>
      <c r="AF89" s="211">
        <f>'Pseudo-load coefficients'!AF516</f>
        <v>0.99999999999999989</v>
      </c>
      <c r="AG89" s="211">
        <f>'Pseudo-load coefficients'!AG516</f>
        <v>7.2710503034182867</v>
      </c>
      <c r="AH89" s="211">
        <f>'Pseudo-load coefficients'!AH516</f>
        <v>7.2710503034182867</v>
      </c>
      <c r="AI89" s="211">
        <f>'Pseudo-load coefficients'!AI516</f>
        <v>0.99999999999999989</v>
      </c>
      <c r="AJ89" s="211">
        <f>'Pseudo-load coefficients'!AJ516</f>
        <v>0.99999999999999989</v>
      </c>
      <c r="AK89" s="211">
        <f>'Pseudo-load coefficients'!AK516</f>
        <v>7.2710503034182867</v>
      </c>
      <c r="AL89" s="211">
        <f>'Pseudo-load coefficients'!AL516</f>
        <v>7.2710503034182867</v>
      </c>
      <c r="AM89" s="211">
        <f>'Pseudo-load coefficients'!AM516</f>
        <v>0.99999999999999989</v>
      </c>
      <c r="AN89" s="211">
        <f>'Pseudo-load coefficients'!AN516</f>
        <v>0.99999999999999989</v>
      </c>
      <c r="AO89" s="211">
        <f>'Pseudo-load coefficients'!AO516</f>
        <v>7.2710503034182867</v>
      </c>
      <c r="AP89" s="211">
        <f>'Pseudo-load coefficients'!AP516</f>
        <v>7.2710503034182867</v>
      </c>
    </row>
    <row r="90" spans="5:42" x14ac:dyDescent="0.25">
      <c r="E90" s="32"/>
      <c r="F90" s="209" t="s">
        <v>236</v>
      </c>
      <c r="G90" s="67" t="s">
        <v>343</v>
      </c>
      <c r="H90" s="37"/>
      <c r="I90" s="37"/>
      <c r="J90" s="212">
        <f>'Pseudo-load coefficients'!J517</f>
        <v>2.0491339325646636</v>
      </c>
      <c r="K90" s="212">
        <f>'Pseudo-load coefficients'!K517</f>
        <v>2.446604752565642</v>
      </c>
      <c r="L90" s="212">
        <f>'Pseudo-load coefficients'!L517</f>
        <v>0.69657248934358806</v>
      </c>
      <c r="M90" s="212">
        <f>'Pseudo-load coefficients'!M517</f>
        <v>1.883334100485887</v>
      </c>
      <c r="N90" s="212">
        <f>'Pseudo-load coefficients'!N517</f>
        <v>2.1253232903477883</v>
      </c>
      <c r="O90" s="212">
        <f>'Pseudo-load coefficients'!O517</f>
        <v>0.35205062707632079</v>
      </c>
      <c r="P90" s="212">
        <f>'Pseudo-load coefficients'!P517</f>
        <v>2.0138469291147127</v>
      </c>
      <c r="Q90" s="212">
        <f>'Pseudo-load coefficients'!Q517</f>
        <v>1.5578439321096642</v>
      </c>
      <c r="R90" s="212">
        <f>'Pseudo-load coefficients'!R517</f>
        <v>2.1470067563918569</v>
      </c>
      <c r="S90" s="212">
        <f>'Pseudo-load coefficients'!S517</f>
        <v>11.05672165212744</v>
      </c>
      <c r="T90" s="212">
        <f>'Pseudo-load coefficients'!T517</f>
        <v>10.280199456238735</v>
      </c>
      <c r="U90" s="212">
        <f>'Pseudo-load coefficients'!U517</f>
        <v>8.5969775694748787</v>
      </c>
      <c r="V90" s="212">
        <f>'Pseudo-load coefficients'!V517</f>
        <v>8.4230296598610472</v>
      </c>
      <c r="W90" s="212">
        <f>'Pseudo-load coefficients'!W517</f>
        <v>7.569504207257026</v>
      </c>
      <c r="X90" s="212">
        <f>'Pseudo-load coefficients'!X517</f>
        <v>1.2075246920838687</v>
      </c>
      <c r="Y90" s="212">
        <f>'Pseudo-load coefficients'!Y517</f>
        <v>1.4806590276438236</v>
      </c>
      <c r="Z90" s="212">
        <f>'Pseudo-load coefficients'!Z517</f>
        <v>2.6767872117120697</v>
      </c>
      <c r="AA90" s="212">
        <f>'Pseudo-load coefficients'!AA517</f>
        <v>0.92899252566537083</v>
      </c>
      <c r="AB90" s="212">
        <f>'Pseudo-load coefficients'!AB517</f>
        <v>25.978852580500728</v>
      </c>
      <c r="AC90" s="212">
        <f>'Pseudo-load coefficients'!AC517</f>
        <v>0.99999999999999989</v>
      </c>
      <c r="AD90" s="212">
        <f>'Pseudo-load coefficients'!AD517</f>
        <v>0.99999999999999989</v>
      </c>
      <c r="AE90" s="212">
        <f>'Pseudo-load coefficients'!AE517</f>
        <v>0.99999999999999989</v>
      </c>
      <c r="AF90" s="212">
        <f>'Pseudo-load coefficients'!AF517</f>
        <v>0.99999999999999989</v>
      </c>
      <c r="AG90" s="212">
        <f>'Pseudo-load coefficients'!AG517</f>
        <v>7.2710503034182867</v>
      </c>
      <c r="AH90" s="212">
        <f>'Pseudo-load coefficients'!AH517</f>
        <v>7.2710503034182867</v>
      </c>
      <c r="AI90" s="212">
        <f>'Pseudo-load coefficients'!AI517</f>
        <v>0.99999999999999989</v>
      </c>
      <c r="AJ90" s="212">
        <f>'Pseudo-load coefficients'!AJ517</f>
        <v>0.99999999999999989</v>
      </c>
      <c r="AK90" s="212">
        <f>'Pseudo-load coefficients'!AK517</f>
        <v>7.2710503034182867</v>
      </c>
      <c r="AL90" s="212">
        <f>'Pseudo-load coefficients'!AL517</f>
        <v>7.2710503034182867</v>
      </c>
      <c r="AM90" s="212">
        <f>'Pseudo-load coefficients'!AM517</f>
        <v>0.99999999999999989</v>
      </c>
      <c r="AN90" s="212">
        <f>'Pseudo-load coefficients'!AN517</f>
        <v>0.99999999999999989</v>
      </c>
      <c r="AO90" s="212">
        <f>'Pseudo-load coefficients'!AO517</f>
        <v>7.2710503034182867</v>
      </c>
      <c r="AP90" s="212">
        <f>'Pseudo-load coefficients'!AP517</f>
        <v>7.2710503034182867</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623</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226</v>
      </c>
      <c r="G93" s="64" t="s">
        <v>343</v>
      </c>
      <c r="H93" s="23"/>
      <c r="I93" s="23"/>
      <c r="J93" s="210">
        <f>'Pseudo-load coefficients'!J520</f>
        <v>0</v>
      </c>
      <c r="K93" s="210">
        <f>'Pseudo-load coefficients'!K520</f>
        <v>0</v>
      </c>
      <c r="L93" s="210">
        <f>'Pseudo-load coefficients'!L520</f>
        <v>0</v>
      </c>
      <c r="M93" s="210">
        <f>'Pseudo-load coefficients'!M520</f>
        <v>0</v>
      </c>
      <c r="N93" s="210">
        <f>'Pseudo-load coefficients'!N520</f>
        <v>0</v>
      </c>
      <c r="O93" s="210">
        <f>'Pseudo-load coefficients'!O520</f>
        <v>0</v>
      </c>
      <c r="P93" s="210">
        <f>'Pseudo-load coefficients'!P520</f>
        <v>0</v>
      </c>
      <c r="Q93" s="210">
        <f>'Pseudo-load coefficients'!Q520</f>
        <v>0</v>
      </c>
      <c r="R93" s="210">
        <f>'Pseudo-load coefficients'!R520</f>
        <v>0</v>
      </c>
      <c r="S93" s="210">
        <f>'Pseudo-load coefficients'!S520</f>
        <v>0.53827189090974181</v>
      </c>
      <c r="T93" s="210">
        <f>'Pseudo-load coefficients'!T520</f>
        <v>0.50059957680764722</v>
      </c>
      <c r="U93" s="210">
        <f>'Pseudo-load coefficients'!U520</f>
        <v>0.41856555462005562</v>
      </c>
      <c r="V93" s="210">
        <f>'Pseudo-load coefficients'!V520</f>
        <v>0.41009646153773416</v>
      </c>
      <c r="W93" s="210">
        <f>'Pseudo-load coefficients'!W520</f>
        <v>0.3685404202936533</v>
      </c>
      <c r="X93" s="210">
        <f>'Pseudo-load coefficients'!X520</f>
        <v>0</v>
      </c>
      <c r="Y93" s="210">
        <f>'Pseudo-load coefficients'!Y520</f>
        <v>0</v>
      </c>
      <c r="Z93" s="210">
        <f>'Pseudo-load coefficients'!Z520</f>
        <v>0</v>
      </c>
      <c r="AA93" s="210">
        <f>'Pseudo-load coefficients'!AA520</f>
        <v>0</v>
      </c>
      <c r="AB93" s="210">
        <f>'Pseudo-load coefficients'!AB520</f>
        <v>0.73058262517062489</v>
      </c>
      <c r="AC93" s="210">
        <f>'Pseudo-load coefficients'!AC520</f>
        <v>0</v>
      </c>
      <c r="AD93" s="210">
        <f>'Pseudo-load coefficients'!AD520</f>
        <v>0</v>
      </c>
      <c r="AE93" s="210">
        <f>'Pseudo-load coefficients'!AE520</f>
        <v>0</v>
      </c>
      <c r="AF93" s="210">
        <f>'Pseudo-load coefficients'!AF520</f>
        <v>0</v>
      </c>
      <c r="AG93" s="210">
        <f>'Pseudo-load coefficients'!AG520</f>
        <v>0.35400943858767064</v>
      </c>
      <c r="AH93" s="210">
        <f>'Pseudo-load coefficients'!AH520</f>
        <v>0.35400943858767064</v>
      </c>
      <c r="AI93" s="210">
        <f>'Pseudo-load coefficients'!AI520</f>
        <v>0</v>
      </c>
      <c r="AJ93" s="210">
        <f>'Pseudo-load coefficients'!AJ520</f>
        <v>0</v>
      </c>
      <c r="AK93" s="210">
        <f>'Pseudo-load coefficients'!AK520</f>
        <v>0.35400943858767064</v>
      </c>
      <c r="AL93" s="210">
        <f>'Pseudo-load coefficients'!AL520</f>
        <v>0.35400943858767064</v>
      </c>
      <c r="AM93" s="210">
        <f>'Pseudo-load coefficients'!AM520</f>
        <v>0</v>
      </c>
      <c r="AN93" s="210">
        <f>'Pseudo-load coefficients'!AN520</f>
        <v>0</v>
      </c>
      <c r="AO93" s="210">
        <f>'Pseudo-load coefficients'!AO520</f>
        <v>0.35400943858767064</v>
      </c>
      <c r="AP93" s="210">
        <f>'Pseudo-load coefficients'!AP520</f>
        <v>0.35400943858767064</v>
      </c>
    </row>
    <row r="94" spans="5:42" x14ac:dyDescent="0.25">
      <c r="E94" s="32"/>
      <c r="F94" s="208" t="s">
        <v>228</v>
      </c>
      <c r="G94" s="28" t="s">
        <v>343</v>
      </c>
      <c r="J94" s="211">
        <f>'Pseudo-load coefficients'!J520</f>
        <v>0</v>
      </c>
      <c r="K94" s="211">
        <f>'Pseudo-load coefficients'!K520</f>
        <v>0</v>
      </c>
      <c r="L94" s="211">
        <f>'Pseudo-load coefficients'!L520</f>
        <v>0</v>
      </c>
      <c r="M94" s="211">
        <f>'Pseudo-load coefficients'!M520</f>
        <v>0</v>
      </c>
      <c r="N94" s="211">
        <f>'Pseudo-load coefficients'!N520</f>
        <v>0</v>
      </c>
      <c r="O94" s="211">
        <f>'Pseudo-load coefficients'!O520</f>
        <v>0</v>
      </c>
      <c r="P94" s="211">
        <f>'Pseudo-load coefficients'!P520</f>
        <v>0</v>
      </c>
      <c r="Q94" s="211">
        <f>'Pseudo-load coefficients'!Q520</f>
        <v>0</v>
      </c>
      <c r="R94" s="211">
        <f>'Pseudo-load coefficients'!R520</f>
        <v>0</v>
      </c>
      <c r="S94" s="211">
        <f>'Pseudo-load coefficients'!S520</f>
        <v>0.53827189090974181</v>
      </c>
      <c r="T94" s="211">
        <f>'Pseudo-load coefficients'!T520</f>
        <v>0.50059957680764722</v>
      </c>
      <c r="U94" s="211">
        <f>'Pseudo-load coefficients'!U520</f>
        <v>0.41856555462005562</v>
      </c>
      <c r="V94" s="211">
        <f>'Pseudo-load coefficients'!V520</f>
        <v>0.41009646153773416</v>
      </c>
      <c r="W94" s="211">
        <f>'Pseudo-load coefficients'!W520</f>
        <v>0.3685404202936533</v>
      </c>
      <c r="X94" s="211">
        <f>'Pseudo-load coefficients'!X520</f>
        <v>0</v>
      </c>
      <c r="Y94" s="211">
        <f>'Pseudo-load coefficients'!Y520</f>
        <v>0</v>
      </c>
      <c r="Z94" s="211">
        <f>'Pseudo-load coefficients'!Z520</f>
        <v>0</v>
      </c>
      <c r="AA94" s="211">
        <f>'Pseudo-load coefficients'!AA520</f>
        <v>0</v>
      </c>
      <c r="AB94" s="211">
        <f>'Pseudo-load coefficients'!AB520</f>
        <v>0.73058262517062489</v>
      </c>
      <c r="AC94" s="211">
        <f>'Pseudo-load coefficients'!AC520</f>
        <v>0</v>
      </c>
      <c r="AD94" s="211">
        <f>'Pseudo-load coefficients'!AD520</f>
        <v>0</v>
      </c>
      <c r="AE94" s="211">
        <f>'Pseudo-load coefficients'!AE520</f>
        <v>0</v>
      </c>
      <c r="AF94" s="211">
        <f>'Pseudo-load coefficients'!AF520</f>
        <v>0</v>
      </c>
      <c r="AG94" s="211">
        <f>'Pseudo-load coefficients'!AG520</f>
        <v>0.35400943858767064</v>
      </c>
      <c r="AH94" s="211">
        <f>'Pseudo-load coefficients'!AH520</f>
        <v>0.35400943858767064</v>
      </c>
      <c r="AI94" s="211">
        <f>'Pseudo-load coefficients'!AI520</f>
        <v>0</v>
      </c>
      <c r="AJ94" s="211">
        <f>'Pseudo-load coefficients'!AJ520</f>
        <v>0</v>
      </c>
      <c r="AK94" s="211">
        <f>'Pseudo-load coefficients'!AK520</f>
        <v>0.35400943858767064</v>
      </c>
      <c r="AL94" s="211">
        <f>'Pseudo-load coefficients'!AL520</f>
        <v>0.35400943858767064</v>
      </c>
      <c r="AM94" s="211">
        <f>'Pseudo-load coefficients'!AM520</f>
        <v>0</v>
      </c>
      <c r="AN94" s="211">
        <f>'Pseudo-load coefficients'!AN520</f>
        <v>0</v>
      </c>
      <c r="AO94" s="211">
        <f>'Pseudo-load coefficients'!AO520</f>
        <v>0.35400943858767064</v>
      </c>
      <c r="AP94" s="211">
        <f>'Pseudo-load coefficients'!AP520</f>
        <v>0.35400943858767064</v>
      </c>
    </row>
    <row r="95" spans="5:42" x14ac:dyDescent="0.25">
      <c r="E95" s="32"/>
      <c r="F95" s="208" t="s">
        <v>229</v>
      </c>
      <c r="G95" s="28" t="s">
        <v>343</v>
      </c>
      <c r="J95" s="211">
        <f>'Pseudo-load coefficients'!J521</f>
        <v>0</v>
      </c>
      <c r="K95" s="211">
        <f>'Pseudo-load coefficients'!K521</f>
        <v>3.8920510229037593E-2</v>
      </c>
      <c r="L95" s="211">
        <f>'Pseudo-load coefficients'!L521</f>
        <v>0</v>
      </c>
      <c r="M95" s="211">
        <f>'Pseudo-load coefficients'!M521</f>
        <v>0</v>
      </c>
      <c r="N95" s="211">
        <f>'Pseudo-load coefficients'!N521</f>
        <v>3.549016283596812E-2</v>
      </c>
      <c r="O95" s="211">
        <f>'Pseudo-load coefficients'!O521</f>
        <v>0</v>
      </c>
      <c r="P95" s="211">
        <f>'Pseudo-load coefficients'!P521</f>
        <v>3.22238237396857E-2</v>
      </c>
      <c r="Q95" s="211">
        <f>'Pseudo-load coefficients'!Q521</f>
        <v>2.5106637306638285E-2</v>
      </c>
      <c r="R95" s="211">
        <f>'Pseudo-load coefficients'!R521</f>
        <v>3.4318823607292083E-2</v>
      </c>
      <c r="S95" s="211">
        <f>'Pseudo-load coefficients'!S521</f>
        <v>1.0301060029333653</v>
      </c>
      <c r="T95" s="211">
        <f>'Pseudo-load coefficients'!T521</f>
        <v>0.95788753367809676</v>
      </c>
      <c r="U95" s="211">
        <f>'Pseudo-load coefficients'!U521</f>
        <v>0.80100299405496678</v>
      </c>
      <c r="V95" s="211">
        <f>'Pseudo-load coefficients'!V521</f>
        <v>0.78479581015989563</v>
      </c>
      <c r="W95" s="211">
        <f>'Pseudo-load coefficients'!W521</f>
        <v>0.70527060057164936</v>
      </c>
      <c r="X95" s="211">
        <f>'Pseudo-load coefficients'!X521</f>
        <v>0</v>
      </c>
      <c r="Y95" s="211">
        <f>'Pseudo-load coefficients'!Y521</f>
        <v>0</v>
      </c>
      <c r="Z95" s="211">
        <f>'Pseudo-load coefficients'!Z521</f>
        <v>0</v>
      </c>
      <c r="AA95" s="211">
        <f>'Pseudo-load coefficients'!AA521</f>
        <v>0</v>
      </c>
      <c r="AB95" s="211">
        <f>'Pseudo-load coefficients'!AB521</f>
        <v>0.77548257338211224</v>
      </c>
      <c r="AC95" s="211">
        <f>'Pseudo-load coefficients'!AC521</f>
        <v>0</v>
      </c>
      <c r="AD95" s="211">
        <f>'Pseudo-load coefficients'!AD521</f>
        <v>0</v>
      </c>
      <c r="AE95" s="211">
        <f>'Pseudo-load coefficients'!AE521</f>
        <v>0</v>
      </c>
      <c r="AF95" s="211">
        <f>'Pseudo-load coefficients'!AF521</f>
        <v>0</v>
      </c>
      <c r="AG95" s="211">
        <f>'Pseudo-load coefficients'!AG521</f>
        <v>0.6774628659776849</v>
      </c>
      <c r="AH95" s="211">
        <f>'Pseudo-load coefficients'!AH521</f>
        <v>0.6774628659776849</v>
      </c>
      <c r="AI95" s="211">
        <f>'Pseudo-load coefficients'!AI521</f>
        <v>0</v>
      </c>
      <c r="AJ95" s="211">
        <f>'Pseudo-load coefficients'!AJ521</f>
        <v>0</v>
      </c>
      <c r="AK95" s="211">
        <f>'Pseudo-load coefficients'!AK521</f>
        <v>0.6774628659776849</v>
      </c>
      <c r="AL95" s="211">
        <f>'Pseudo-load coefficients'!AL521</f>
        <v>0.6774628659776849</v>
      </c>
      <c r="AM95" s="211">
        <f>'Pseudo-load coefficients'!AM521</f>
        <v>0</v>
      </c>
      <c r="AN95" s="211">
        <f>'Pseudo-load coefficients'!AN521</f>
        <v>0</v>
      </c>
      <c r="AO95" s="211">
        <f>'Pseudo-load coefficients'!AO521</f>
        <v>0.6774628659776849</v>
      </c>
      <c r="AP95" s="211">
        <f>'Pseudo-load coefficients'!AP521</f>
        <v>0.6774628659776849</v>
      </c>
    </row>
    <row r="96" spans="5:42" x14ac:dyDescent="0.25">
      <c r="E96" s="32"/>
      <c r="F96" s="208" t="s">
        <v>230</v>
      </c>
      <c r="G96" s="28" t="s">
        <v>343</v>
      </c>
      <c r="J96" s="211">
        <f>'Pseudo-load coefficients'!J522</f>
        <v>0</v>
      </c>
      <c r="K96" s="211">
        <f>'Pseudo-load coefficients'!K522</f>
        <v>3.8920510229037593E-2</v>
      </c>
      <c r="L96" s="211">
        <f>'Pseudo-load coefficients'!L522</f>
        <v>0</v>
      </c>
      <c r="M96" s="211">
        <f>'Pseudo-load coefficients'!M522</f>
        <v>0</v>
      </c>
      <c r="N96" s="211">
        <f>'Pseudo-load coefficients'!N522</f>
        <v>3.549016283596812E-2</v>
      </c>
      <c r="O96" s="211">
        <f>'Pseudo-load coefficients'!O522</f>
        <v>0</v>
      </c>
      <c r="P96" s="211">
        <f>'Pseudo-load coefficients'!P522</f>
        <v>3.22238237396857E-2</v>
      </c>
      <c r="Q96" s="211">
        <f>'Pseudo-load coefficients'!Q522</f>
        <v>2.5106637306638285E-2</v>
      </c>
      <c r="R96" s="211">
        <f>'Pseudo-load coefficients'!R522</f>
        <v>3.4318823607292083E-2</v>
      </c>
      <c r="S96" s="211">
        <f>'Pseudo-load coefficients'!S522</f>
        <v>1.0301060029333653</v>
      </c>
      <c r="T96" s="211">
        <f>'Pseudo-load coefficients'!T522</f>
        <v>0.95788753367809676</v>
      </c>
      <c r="U96" s="211">
        <f>'Pseudo-load coefficients'!U522</f>
        <v>0.80100299405496678</v>
      </c>
      <c r="V96" s="211">
        <f>'Pseudo-load coefficients'!V522</f>
        <v>0.78479581015989563</v>
      </c>
      <c r="W96" s="211">
        <f>'Pseudo-load coefficients'!W522</f>
        <v>0.70527060057164936</v>
      </c>
      <c r="X96" s="211">
        <f>'Pseudo-load coefficients'!X522</f>
        <v>0</v>
      </c>
      <c r="Y96" s="211">
        <f>'Pseudo-load coefficients'!Y522</f>
        <v>0</v>
      </c>
      <c r="Z96" s="211">
        <f>'Pseudo-load coefficients'!Z522</f>
        <v>0</v>
      </c>
      <c r="AA96" s="211">
        <f>'Pseudo-load coefficients'!AA522</f>
        <v>0</v>
      </c>
      <c r="AB96" s="211">
        <f>'Pseudo-load coefficients'!AB522</f>
        <v>0.77548257338211224</v>
      </c>
      <c r="AC96" s="211">
        <f>'Pseudo-load coefficients'!AC522</f>
        <v>0</v>
      </c>
      <c r="AD96" s="211">
        <f>'Pseudo-load coefficients'!AD522</f>
        <v>0</v>
      </c>
      <c r="AE96" s="211">
        <f>'Pseudo-load coefficients'!AE522</f>
        <v>0</v>
      </c>
      <c r="AF96" s="211">
        <f>'Pseudo-load coefficients'!AF522</f>
        <v>0</v>
      </c>
      <c r="AG96" s="211">
        <f>'Pseudo-load coefficients'!AG522</f>
        <v>0.6774628659776849</v>
      </c>
      <c r="AH96" s="211">
        <f>'Pseudo-load coefficients'!AH522</f>
        <v>0.6774628659776849</v>
      </c>
      <c r="AI96" s="211">
        <f>'Pseudo-load coefficients'!AI522</f>
        <v>0</v>
      </c>
      <c r="AJ96" s="211">
        <f>'Pseudo-load coefficients'!AJ522</f>
        <v>0</v>
      </c>
      <c r="AK96" s="211">
        <f>'Pseudo-load coefficients'!AK522</f>
        <v>0.6774628659776849</v>
      </c>
      <c r="AL96" s="211">
        <f>'Pseudo-load coefficients'!AL522</f>
        <v>0.6774628659776849</v>
      </c>
      <c r="AM96" s="211">
        <f>'Pseudo-load coefficients'!AM522</f>
        <v>0</v>
      </c>
      <c r="AN96" s="211">
        <f>'Pseudo-load coefficients'!AN522</f>
        <v>0</v>
      </c>
      <c r="AO96" s="211">
        <f>'Pseudo-load coefficients'!AO522</f>
        <v>0.6774628659776849</v>
      </c>
      <c r="AP96" s="211">
        <f>'Pseudo-load coefficients'!AP522</f>
        <v>0.6774628659776849</v>
      </c>
    </row>
    <row r="97" spans="3:42" x14ac:dyDescent="0.25">
      <c r="E97" s="32"/>
      <c r="F97" s="208" t="s">
        <v>231</v>
      </c>
      <c r="G97" s="28" t="s">
        <v>343</v>
      </c>
      <c r="J97" s="211">
        <f>'Pseudo-load coefficients'!J523</f>
        <v>0</v>
      </c>
      <c r="K97" s="211">
        <f>'Pseudo-load coefficients'!K523</f>
        <v>0.10946431108897202</v>
      </c>
      <c r="L97" s="211">
        <f>'Pseudo-load coefficients'!L523</f>
        <v>0</v>
      </c>
      <c r="M97" s="211">
        <f>'Pseudo-load coefficients'!M523</f>
        <v>0</v>
      </c>
      <c r="N97" s="211">
        <f>'Pseudo-load coefficients'!N523</f>
        <v>9.9817191448904788E-2</v>
      </c>
      <c r="O97" s="211">
        <f>'Pseudo-load coefficients'!O523</f>
        <v>0</v>
      </c>
      <c r="P97" s="211">
        <f>'Pseudo-load coefficients'!P523</f>
        <v>9.0629452003024941E-2</v>
      </c>
      <c r="Q97" s="211">
        <f>'Pseudo-load coefficients'!Q523</f>
        <v>7.0612376703669349E-2</v>
      </c>
      <c r="R97" s="211">
        <f>'Pseudo-load coefficients'!R523</f>
        <v>9.6521635732721212E-2</v>
      </c>
      <c r="S97" s="211">
        <f>'Pseudo-load coefficients'!S523</f>
        <v>1.5015780184416474</v>
      </c>
      <c r="T97" s="211">
        <f>'Pseudo-load coefficients'!T523</f>
        <v>1.396121021615272</v>
      </c>
      <c r="U97" s="211">
        <f>'Pseudo-load coefficients'!U523</f>
        <v>1.1675280385552196</v>
      </c>
      <c r="V97" s="211">
        <f>'Pseudo-load coefficients'!V523</f>
        <v>1.1439047290745341</v>
      </c>
      <c r="W97" s="211">
        <f>'Pseudo-load coefficients'!W523</f>
        <v>1.0279901661385977</v>
      </c>
      <c r="X97" s="211">
        <f>'Pseudo-load coefficients'!X523</f>
        <v>0</v>
      </c>
      <c r="Y97" s="211">
        <f>'Pseudo-load coefficients'!Y523</f>
        <v>0</v>
      </c>
      <c r="Z97" s="211">
        <f>'Pseudo-load coefficients'!Z523</f>
        <v>0</v>
      </c>
      <c r="AA97" s="211">
        <f>'Pseudo-load coefficients'!AA523</f>
        <v>0</v>
      </c>
      <c r="AB97" s="211">
        <f>'Pseudo-load coefficients'!AB523</f>
        <v>1.0569880664217965</v>
      </c>
      <c r="AC97" s="211">
        <f>'Pseudo-load coefficients'!AC523</f>
        <v>0</v>
      </c>
      <c r="AD97" s="211">
        <f>'Pseudo-load coefficients'!AD523</f>
        <v>0</v>
      </c>
      <c r="AE97" s="211">
        <f>'Pseudo-load coefficients'!AE523</f>
        <v>0</v>
      </c>
      <c r="AF97" s="211">
        <f>'Pseudo-load coefficients'!AF523</f>
        <v>0</v>
      </c>
      <c r="AG97" s="211">
        <f>'Pseudo-load coefficients'!AG523</f>
        <v>0.98745809563683939</v>
      </c>
      <c r="AH97" s="211">
        <f>'Pseudo-load coefficients'!AH523</f>
        <v>0.98745809563683939</v>
      </c>
      <c r="AI97" s="211">
        <f>'Pseudo-load coefficients'!AI523</f>
        <v>0</v>
      </c>
      <c r="AJ97" s="211">
        <f>'Pseudo-load coefficients'!AJ523</f>
        <v>0</v>
      </c>
      <c r="AK97" s="211">
        <f>'Pseudo-load coefficients'!AK523</f>
        <v>0.98745809563683939</v>
      </c>
      <c r="AL97" s="211">
        <f>'Pseudo-load coefficients'!AL523</f>
        <v>0.98745809563683939</v>
      </c>
      <c r="AM97" s="211">
        <f>'Pseudo-load coefficients'!AM523</f>
        <v>0</v>
      </c>
      <c r="AN97" s="211">
        <f>'Pseudo-load coefficients'!AN523</f>
        <v>0</v>
      </c>
      <c r="AO97" s="211">
        <f>'Pseudo-load coefficients'!AO523</f>
        <v>0.98745809563683939</v>
      </c>
      <c r="AP97" s="211">
        <f>'Pseudo-load coefficients'!AP523</f>
        <v>0.98745809563683939</v>
      </c>
    </row>
    <row r="98" spans="3:42" x14ac:dyDescent="0.25">
      <c r="E98" s="32"/>
      <c r="F98" s="208" t="s">
        <v>232</v>
      </c>
      <c r="G98" s="28" t="s">
        <v>343</v>
      </c>
      <c r="J98" s="211">
        <f>'Pseudo-load coefficients'!J524</f>
        <v>0</v>
      </c>
      <c r="K98" s="211">
        <f>'Pseudo-load coefficients'!K524</f>
        <v>0.10946431108897202</v>
      </c>
      <c r="L98" s="211">
        <f>'Pseudo-load coefficients'!L524</f>
        <v>0</v>
      </c>
      <c r="M98" s="211">
        <f>'Pseudo-load coefficients'!M524</f>
        <v>0</v>
      </c>
      <c r="N98" s="211">
        <f>'Pseudo-load coefficients'!N524</f>
        <v>9.9817191448904788E-2</v>
      </c>
      <c r="O98" s="211">
        <f>'Pseudo-load coefficients'!O524</f>
        <v>0</v>
      </c>
      <c r="P98" s="211">
        <f>'Pseudo-load coefficients'!P524</f>
        <v>9.0629452003024941E-2</v>
      </c>
      <c r="Q98" s="211">
        <f>'Pseudo-load coefficients'!Q524</f>
        <v>7.0612376703669349E-2</v>
      </c>
      <c r="R98" s="211">
        <f>'Pseudo-load coefficients'!R524</f>
        <v>9.6521635732721212E-2</v>
      </c>
      <c r="S98" s="211">
        <f>'Pseudo-load coefficients'!S524</f>
        <v>1.5015780184416474</v>
      </c>
      <c r="T98" s="211">
        <f>'Pseudo-load coefficients'!T524</f>
        <v>1.396121021615272</v>
      </c>
      <c r="U98" s="211">
        <f>'Pseudo-load coefficients'!U524</f>
        <v>1.1675280385552196</v>
      </c>
      <c r="V98" s="211">
        <f>'Pseudo-load coefficients'!V524</f>
        <v>1.1439047290745341</v>
      </c>
      <c r="W98" s="211">
        <f>'Pseudo-load coefficients'!W524</f>
        <v>1.0279901661385977</v>
      </c>
      <c r="X98" s="211">
        <f>'Pseudo-load coefficients'!X524</f>
        <v>0</v>
      </c>
      <c r="Y98" s="211">
        <f>'Pseudo-load coefficients'!Y524</f>
        <v>0</v>
      </c>
      <c r="Z98" s="211">
        <f>'Pseudo-load coefficients'!Z524</f>
        <v>0</v>
      </c>
      <c r="AA98" s="211">
        <f>'Pseudo-load coefficients'!AA524</f>
        <v>0</v>
      </c>
      <c r="AB98" s="211">
        <f>'Pseudo-load coefficients'!AB524</f>
        <v>1.0569880664217965</v>
      </c>
      <c r="AC98" s="211">
        <f>'Pseudo-load coefficients'!AC524</f>
        <v>0</v>
      </c>
      <c r="AD98" s="211">
        <f>'Pseudo-load coefficients'!AD524</f>
        <v>0</v>
      </c>
      <c r="AE98" s="211">
        <f>'Pseudo-load coefficients'!AE524</f>
        <v>0</v>
      </c>
      <c r="AF98" s="211">
        <f>'Pseudo-load coefficients'!AF524</f>
        <v>0</v>
      </c>
      <c r="AG98" s="211">
        <f>'Pseudo-load coefficients'!AG524</f>
        <v>0.98745809563683939</v>
      </c>
      <c r="AH98" s="211">
        <f>'Pseudo-load coefficients'!AH524</f>
        <v>0.98745809563683939</v>
      </c>
      <c r="AI98" s="211">
        <f>'Pseudo-load coefficients'!AI524</f>
        <v>0</v>
      </c>
      <c r="AJ98" s="211">
        <f>'Pseudo-load coefficients'!AJ524</f>
        <v>0</v>
      </c>
      <c r="AK98" s="211">
        <f>'Pseudo-load coefficients'!AK524</f>
        <v>0.98745809563683939</v>
      </c>
      <c r="AL98" s="211">
        <f>'Pseudo-load coefficients'!AL524</f>
        <v>0.98745809563683939</v>
      </c>
      <c r="AM98" s="211">
        <f>'Pseudo-load coefficients'!AM524</f>
        <v>0</v>
      </c>
      <c r="AN98" s="211">
        <f>'Pseudo-load coefficients'!AN524</f>
        <v>0</v>
      </c>
      <c r="AO98" s="211">
        <f>'Pseudo-load coefficients'!AO524</f>
        <v>0.98745809563683939</v>
      </c>
      <c r="AP98" s="211">
        <f>'Pseudo-load coefficients'!AP524</f>
        <v>0.98745809563683939</v>
      </c>
    </row>
    <row r="99" spans="3:42" x14ac:dyDescent="0.25">
      <c r="E99" s="32"/>
      <c r="F99" s="208" t="s">
        <v>233</v>
      </c>
      <c r="G99" s="28" t="s">
        <v>343</v>
      </c>
      <c r="J99" s="211">
        <f>'Pseudo-load coefficients'!J525</f>
        <v>0</v>
      </c>
      <c r="K99" s="211">
        <f>'Pseudo-load coefficients'!K525</f>
        <v>3.8920510229037593E-2</v>
      </c>
      <c r="L99" s="211">
        <f>'Pseudo-load coefficients'!L525</f>
        <v>0</v>
      </c>
      <c r="M99" s="211">
        <f>'Pseudo-load coefficients'!M525</f>
        <v>0</v>
      </c>
      <c r="N99" s="211">
        <f>'Pseudo-load coefficients'!N525</f>
        <v>3.549016283596812E-2</v>
      </c>
      <c r="O99" s="211">
        <f>'Pseudo-load coefficients'!O525</f>
        <v>0</v>
      </c>
      <c r="P99" s="211">
        <f>'Pseudo-load coefficients'!P525</f>
        <v>3.22238237396857E-2</v>
      </c>
      <c r="Q99" s="211">
        <f>'Pseudo-load coefficients'!Q525</f>
        <v>2.5106637306638285E-2</v>
      </c>
      <c r="R99" s="211">
        <f>'Pseudo-load coefficients'!R525</f>
        <v>3.4318823607292083E-2</v>
      </c>
      <c r="S99" s="211">
        <f>'Pseudo-load coefficients'!S525</f>
        <v>1.0301060029333653</v>
      </c>
      <c r="T99" s="211">
        <f>'Pseudo-load coefficients'!T525</f>
        <v>0.95788753367809676</v>
      </c>
      <c r="U99" s="211">
        <f>'Pseudo-load coefficients'!U525</f>
        <v>0.80100299405496678</v>
      </c>
      <c r="V99" s="211">
        <f>'Pseudo-load coefficients'!V525</f>
        <v>0.78479581015989563</v>
      </c>
      <c r="W99" s="211">
        <f>'Pseudo-load coefficients'!W525</f>
        <v>0.70527060057164936</v>
      </c>
      <c r="X99" s="211">
        <f>'Pseudo-load coefficients'!X525</f>
        <v>0</v>
      </c>
      <c r="Y99" s="211">
        <f>'Pseudo-load coefficients'!Y525</f>
        <v>0</v>
      </c>
      <c r="Z99" s="211">
        <f>'Pseudo-load coefficients'!Z525</f>
        <v>0</v>
      </c>
      <c r="AA99" s="211">
        <f>'Pseudo-load coefficients'!AA525</f>
        <v>0</v>
      </c>
      <c r="AB99" s="211">
        <f>'Pseudo-load coefficients'!AB525</f>
        <v>0.77548257338211224</v>
      </c>
      <c r="AC99" s="211">
        <f>'Pseudo-load coefficients'!AC525</f>
        <v>0</v>
      </c>
      <c r="AD99" s="211">
        <f>'Pseudo-load coefficients'!AD525</f>
        <v>0</v>
      </c>
      <c r="AE99" s="211">
        <f>'Pseudo-load coefficients'!AE525</f>
        <v>0</v>
      </c>
      <c r="AF99" s="211">
        <f>'Pseudo-load coefficients'!AF525</f>
        <v>0</v>
      </c>
      <c r="AG99" s="211">
        <f>'Pseudo-load coefficients'!AG525</f>
        <v>0.6774628659776849</v>
      </c>
      <c r="AH99" s="211">
        <f>'Pseudo-load coefficients'!AH525</f>
        <v>0.6774628659776849</v>
      </c>
      <c r="AI99" s="211">
        <f>'Pseudo-load coefficients'!AI525</f>
        <v>0</v>
      </c>
      <c r="AJ99" s="211">
        <f>'Pseudo-load coefficients'!AJ525</f>
        <v>0</v>
      </c>
      <c r="AK99" s="211">
        <f>'Pseudo-load coefficients'!AK525</f>
        <v>0.6774628659776849</v>
      </c>
      <c r="AL99" s="211">
        <f>'Pseudo-load coefficients'!AL525</f>
        <v>0.6774628659776849</v>
      </c>
      <c r="AM99" s="211">
        <f>'Pseudo-load coefficients'!AM525</f>
        <v>0</v>
      </c>
      <c r="AN99" s="211">
        <f>'Pseudo-load coefficients'!AN525</f>
        <v>0</v>
      </c>
      <c r="AO99" s="211">
        <f>'Pseudo-load coefficients'!AO525</f>
        <v>0.6774628659776849</v>
      </c>
      <c r="AP99" s="211">
        <f>'Pseudo-load coefficients'!AP525</f>
        <v>0.6774628659776849</v>
      </c>
    </row>
    <row r="100" spans="3:42" x14ac:dyDescent="0.25">
      <c r="E100" s="32"/>
      <c r="F100" s="208" t="s">
        <v>234</v>
      </c>
      <c r="G100" s="28" t="s">
        <v>343</v>
      </c>
      <c r="J100" s="211">
        <f>'Pseudo-load coefficients'!J526</f>
        <v>0</v>
      </c>
      <c r="K100" s="211">
        <f>'Pseudo-load coefficients'!K526</f>
        <v>0.10946431108897202</v>
      </c>
      <c r="L100" s="211">
        <f>'Pseudo-load coefficients'!L526</f>
        <v>0</v>
      </c>
      <c r="M100" s="211">
        <f>'Pseudo-load coefficients'!M526</f>
        <v>0</v>
      </c>
      <c r="N100" s="211">
        <f>'Pseudo-load coefficients'!N526</f>
        <v>9.9817191448904788E-2</v>
      </c>
      <c r="O100" s="211">
        <f>'Pseudo-load coefficients'!O526</f>
        <v>0</v>
      </c>
      <c r="P100" s="211">
        <f>'Pseudo-load coefficients'!P526</f>
        <v>9.0629452003024941E-2</v>
      </c>
      <c r="Q100" s="211">
        <f>'Pseudo-load coefficients'!Q526</f>
        <v>7.0612376703669349E-2</v>
      </c>
      <c r="R100" s="211">
        <f>'Pseudo-load coefficients'!R526</f>
        <v>9.6521635732721212E-2</v>
      </c>
      <c r="S100" s="211">
        <f>'Pseudo-load coefficients'!S526</f>
        <v>1.5015780184416474</v>
      </c>
      <c r="T100" s="211">
        <f>'Pseudo-load coefficients'!T526</f>
        <v>1.396121021615272</v>
      </c>
      <c r="U100" s="211">
        <f>'Pseudo-load coefficients'!U526</f>
        <v>1.1675280385552196</v>
      </c>
      <c r="V100" s="211">
        <f>'Pseudo-load coefficients'!V526</f>
        <v>1.1439047290745341</v>
      </c>
      <c r="W100" s="211">
        <f>'Pseudo-load coefficients'!W526</f>
        <v>1.0279901661385977</v>
      </c>
      <c r="X100" s="211">
        <f>'Pseudo-load coefficients'!X526</f>
        <v>0</v>
      </c>
      <c r="Y100" s="211">
        <f>'Pseudo-load coefficients'!Y526</f>
        <v>0</v>
      </c>
      <c r="Z100" s="211">
        <f>'Pseudo-load coefficients'!Z526</f>
        <v>0</v>
      </c>
      <c r="AA100" s="211">
        <f>'Pseudo-load coefficients'!AA526</f>
        <v>0</v>
      </c>
      <c r="AB100" s="211">
        <f>'Pseudo-load coefficients'!AB526</f>
        <v>1.0569880664217965</v>
      </c>
      <c r="AC100" s="211">
        <f>'Pseudo-load coefficients'!AC526</f>
        <v>0</v>
      </c>
      <c r="AD100" s="211">
        <f>'Pseudo-load coefficients'!AD526</f>
        <v>0</v>
      </c>
      <c r="AE100" s="211">
        <f>'Pseudo-load coefficients'!AE526</f>
        <v>0</v>
      </c>
      <c r="AF100" s="211">
        <f>'Pseudo-load coefficients'!AF526</f>
        <v>0</v>
      </c>
      <c r="AG100" s="211">
        <f>'Pseudo-load coefficients'!AG526</f>
        <v>0.98745809563683939</v>
      </c>
      <c r="AH100" s="211">
        <f>'Pseudo-load coefficients'!AH526</f>
        <v>0.98745809563683939</v>
      </c>
      <c r="AI100" s="211">
        <f>'Pseudo-load coefficients'!AI526</f>
        <v>0</v>
      </c>
      <c r="AJ100" s="211">
        <f>'Pseudo-load coefficients'!AJ526</f>
        <v>0</v>
      </c>
      <c r="AK100" s="211">
        <f>'Pseudo-load coefficients'!AK526</f>
        <v>0.98745809563683939</v>
      </c>
      <c r="AL100" s="211">
        <f>'Pseudo-load coefficients'!AL526</f>
        <v>0.98745809563683939</v>
      </c>
      <c r="AM100" s="211">
        <f>'Pseudo-load coefficients'!AM526</f>
        <v>0</v>
      </c>
      <c r="AN100" s="211">
        <f>'Pseudo-load coefficients'!AN526</f>
        <v>0</v>
      </c>
      <c r="AO100" s="211">
        <f>'Pseudo-load coefficients'!AO526</f>
        <v>0.98745809563683939</v>
      </c>
      <c r="AP100" s="211">
        <f>'Pseudo-load coefficients'!AP526</f>
        <v>0.98745809563683939</v>
      </c>
    </row>
    <row r="101" spans="3:42" x14ac:dyDescent="0.25">
      <c r="E101" s="32"/>
      <c r="F101" s="208" t="s">
        <v>235</v>
      </c>
      <c r="G101" s="28" t="s">
        <v>343</v>
      </c>
      <c r="J101" s="211">
        <f>'Pseudo-load coefficients'!J527</f>
        <v>0</v>
      </c>
      <c r="K101" s="211">
        <f>'Pseudo-load coefficients'!K527</f>
        <v>0.10946431108897202</v>
      </c>
      <c r="L101" s="211">
        <f>'Pseudo-load coefficients'!L527</f>
        <v>0</v>
      </c>
      <c r="M101" s="211">
        <f>'Pseudo-load coefficients'!M527</f>
        <v>0</v>
      </c>
      <c r="N101" s="211">
        <f>'Pseudo-load coefficients'!N527</f>
        <v>9.9817191448904788E-2</v>
      </c>
      <c r="O101" s="211">
        <f>'Pseudo-load coefficients'!O527</f>
        <v>0</v>
      </c>
      <c r="P101" s="211">
        <f>'Pseudo-load coefficients'!P527</f>
        <v>9.0629452003024941E-2</v>
      </c>
      <c r="Q101" s="211">
        <f>'Pseudo-load coefficients'!Q527</f>
        <v>7.0612376703669349E-2</v>
      </c>
      <c r="R101" s="211">
        <f>'Pseudo-load coefficients'!R527</f>
        <v>9.6521635732721212E-2</v>
      </c>
      <c r="S101" s="211">
        <f>'Pseudo-load coefficients'!S527</f>
        <v>1.5015780184416474</v>
      </c>
      <c r="T101" s="211">
        <f>'Pseudo-load coefficients'!T527</f>
        <v>1.396121021615272</v>
      </c>
      <c r="U101" s="211">
        <f>'Pseudo-load coefficients'!U527</f>
        <v>1.1675280385552196</v>
      </c>
      <c r="V101" s="211">
        <f>'Pseudo-load coefficients'!V527</f>
        <v>1.1439047290745341</v>
      </c>
      <c r="W101" s="211">
        <f>'Pseudo-load coefficients'!W527</f>
        <v>1.0279901661385977</v>
      </c>
      <c r="X101" s="211">
        <f>'Pseudo-load coefficients'!X527</f>
        <v>0</v>
      </c>
      <c r="Y101" s="211">
        <f>'Pseudo-load coefficients'!Y527</f>
        <v>0</v>
      </c>
      <c r="Z101" s="211">
        <f>'Pseudo-load coefficients'!Z527</f>
        <v>0</v>
      </c>
      <c r="AA101" s="211">
        <f>'Pseudo-load coefficients'!AA527</f>
        <v>0</v>
      </c>
      <c r="AB101" s="211">
        <f>'Pseudo-load coefficients'!AB527</f>
        <v>1.0569880664217965</v>
      </c>
      <c r="AC101" s="211">
        <f>'Pseudo-load coefficients'!AC527</f>
        <v>0</v>
      </c>
      <c r="AD101" s="211">
        <f>'Pseudo-load coefficients'!AD527</f>
        <v>0</v>
      </c>
      <c r="AE101" s="211">
        <f>'Pseudo-load coefficients'!AE527</f>
        <v>0</v>
      </c>
      <c r="AF101" s="211">
        <f>'Pseudo-load coefficients'!AF527</f>
        <v>0</v>
      </c>
      <c r="AG101" s="211">
        <f>'Pseudo-load coefficients'!AG527</f>
        <v>0.98745809563683939</v>
      </c>
      <c r="AH101" s="211">
        <f>'Pseudo-load coefficients'!AH527</f>
        <v>0.98745809563683939</v>
      </c>
      <c r="AI101" s="211">
        <f>'Pseudo-load coefficients'!AI527</f>
        <v>0</v>
      </c>
      <c r="AJ101" s="211">
        <f>'Pseudo-load coefficients'!AJ527</f>
        <v>0</v>
      </c>
      <c r="AK101" s="211">
        <f>'Pseudo-load coefficients'!AK527</f>
        <v>0.98745809563683939</v>
      </c>
      <c r="AL101" s="211">
        <f>'Pseudo-load coefficients'!AL527</f>
        <v>0.98745809563683939</v>
      </c>
      <c r="AM101" s="211">
        <f>'Pseudo-load coefficients'!AM527</f>
        <v>0</v>
      </c>
      <c r="AN101" s="211">
        <f>'Pseudo-load coefficients'!AN527</f>
        <v>0</v>
      </c>
      <c r="AO101" s="211">
        <f>'Pseudo-load coefficients'!AO527</f>
        <v>0.98745809563683939</v>
      </c>
      <c r="AP101" s="211">
        <f>'Pseudo-load coefficients'!AP527</f>
        <v>0.98745809563683939</v>
      </c>
    </row>
    <row r="102" spans="3:42" x14ac:dyDescent="0.25">
      <c r="E102" s="32"/>
      <c r="F102" s="209" t="s">
        <v>236</v>
      </c>
      <c r="G102" s="67" t="s">
        <v>343</v>
      </c>
      <c r="H102" s="37"/>
      <c r="I102" s="37"/>
      <c r="J102" s="212">
        <f>'Pseudo-load coefficients'!J528</f>
        <v>0</v>
      </c>
      <c r="K102" s="212">
        <f>'Pseudo-load coefficients'!K528</f>
        <v>0.10946431108897202</v>
      </c>
      <c r="L102" s="212">
        <f>'Pseudo-load coefficients'!L528</f>
        <v>0</v>
      </c>
      <c r="M102" s="212">
        <f>'Pseudo-load coefficients'!M528</f>
        <v>0</v>
      </c>
      <c r="N102" s="212">
        <f>'Pseudo-load coefficients'!N528</f>
        <v>9.9817191448904788E-2</v>
      </c>
      <c r="O102" s="212">
        <f>'Pseudo-load coefficients'!O528</f>
        <v>0</v>
      </c>
      <c r="P102" s="212">
        <f>'Pseudo-load coefficients'!P528</f>
        <v>9.0629452003024941E-2</v>
      </c>
      <c r="Q102" s="212">
        <f>'Pseudo-load coefficients'!Q528</f>
        <v>7.0612376703669349E-2</v>
      </c>
      <c r="R102" s="212">
        <f>'Pseudo-load coefficients'!R528</f>
        <v>9.6521635732721212E-2</v>
      </c>
      <c r="S102" s="212">
        <f>'Pseudo-load coefficients'!S528</f>
        <v>1.5015780184416474</v>
      </c>
      <c r="T102" s="212">
        <f>'Pseudo-load coefficients'!T528</f>
        <v>1.396121021615272</v>
      </c>
      <c r="U102" s="212">
        <f>'Pseudo-load coefficients'!U528</f>
        <v>1.1675280385552196</v>
      </c>
      <c r="V102" s="212">
        <f>'Pseudo-load coefficients'!V528</f>
        <v>1.1439047290745341</v>
      </c>
      <c r="W102" s="212">
        <f>'Pseudo-load coefficients'!W528</f>
        <v>1.0279901661385977</v>
      </c>
      <c r="X102" s="212">
        <f>'Pseudo-load coefficients'!X528</f>
        <v>0</v>
      </c>
      <c r="Y102" s="212">
        <f>'Pseudo-load coefficients'!Y528</f>
        <v>0</v>
      </c>
      <c r="Z102" s="212">
        <f>'Pseudo-load coefficients'!Z528</f>
        <v>0</v>
      </c>
      <c r="AA102" s="212">
        <f>'Pseudo-load coefficients'!AA528</f>
        <v>0</v>
      </c>
      <c r="AB102" s="212">
        <f>'Pseudo-load coefficients'!AB528</f>
        <v>1.0569880664217965</v>
      </c>
      <c r="AC102" s="212">
        <f>'Pseudo-load coefficients'!AC528</f>
        <v>0</v>
      </c>
      <c r="AD102" s="212">
        <f>'Pseudo-load coefficients'!AD528</f>
        <v>0</v>
      </c>
      <c r="AE102" s="212">
        <f>'Pseudo-load coefficients'!AE528</f>
        <v>0</v>
      </c>
      <c r="AF102" s="212">
        <f>'Pseudo-load coefficients'!AF528</f>
        <v>0</v>
      </c>
      <c r="AG102" s="212">
        <f>'Pseudo-load coefficients'!AG528</f>
        <v>0.98745809563683939</v>
      </c>
      <c r="AH102" s="212">
        <f>'Pseudo-load coefficients'!AH528</f>
        <v>0.98745809563683939</v>
      </c>
      <c r="AI102" s="212">
        <f>'Pseudo-load coefficients'!AI528</f>
        <v>0</v>
      </c>
      <c r="AJ102" s="212">
        <f>'Pseudo-load coefficients'!AJ528</f>
        <v>0</v>
      </c>
      <c r="AK102" s="212">
        <f>'Pseudo-load coefficients'!AK528</f>
        <v>0.98745809563683939</v>
      </c>
      <c r="AL102" s="212">
        <f>'Pseudo-load coefficients'!AL528</f>
        <v>0.98745809563683939</v>
      </c>
      <c r="AM102" s="212">
        <f>'Pseudo-load coefficients'!AM528</f>
        <v>0</v>
      </c>
      <c r="AN102" s="212">
        <f>'Pseudo-load coefficients'!AN528</f>
        <v>0</v>
      </c>
      <c r="AO102" s="212">
        <f>'Pseudo-load coefficients'!AO528</f>
        <v>0.98745809563683939</v>
      </c>
      <c r="AP102" s="212">
        <f>'Pseudo-load coefficients'!AP528</f>
        <v>0.98745809563683939</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626</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226</v>
      </c>
      <c r="G105" s="64" t="s">
        <v>343</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v>
      </c>
      <c r="T105" s="210">
        <f>'Pseudo-load coefficients'!T531</f>
        <v>0</v>
      </c>
      <c r="U105" s="210">
        <f>'Pseudo-load coefficients'!U531</f>
        <v>0</v>
      </c>
      <c r="V105" s="210">
        <f>'Pseudo-load coefficients'!V531</f>
        <v>0</v>
      </c>
      <c r="W105" s="210">
        <f>'Pseudo-load coefficients'!W531</f>
        <v>0</v>
      </c>
      <c r="X105" s="210">
        <f>'Pseudo-load coefficients'!X531</f>
        <v>0</v>
      </c>
      <c r="Y105" s="210">
        <f>'Pseudo-load coefficients'!Y531</f>
        <v>0</v>
      </c>
      <c r="Z105" s="210">
        <f>'Pseudo-load coefficients'!Z531</f>
        <v>0</v>
      </c>
      <c r="AA105" s="210">
        <f>'Pseudo-load coefficients'!AA531</f>
        <v>0</v>
      </c>
      <c r="AB105" s="210">
        <f>'Pseudo-load coefficients'!AB531</f>
        <v>0</v>
      </c>
      <c r="AC105" s="210">
        <f>'Pseudo-load coefficients'!AC531</f>
        <v>0</v>
      </c>
      <c r="AD105" s="210">
        <f>'Pseudo-load coefficients'!AD531</f>
        <v>0</v>
      </c>
      <c r="AE105" s="210">
        <f>'Pseudo-load coefficients'!AE531</f>
        <v>0</v>
      </c>
      <c r="AF105" s="210">
        <f>'Pseudo-load coefficients'!AF531</f>
        <v>0</v>
      </c>
      <c r="AG105" s="210">
        <f>'Pseudo-load coefficients'!AG531</f>
        <v>0</v>
      </c>
      <c r="AH105" s="210">
        <f>'Pseudo-load coefficients'!AH531</f>
        <v>0</v>
      </c>
      <c r="AI105" s="210">
        <f>'Pseudo-load coefficients'!AI531</f>
        <v>0</v>
      </c>
      <c r="AJ105" s="210">
        <f>'Pseudo-load coefficients'!AJ531</f>
        <v>0</v>
      </c>
      <c r="AK105" s="210">
        <f>'Pseudo-load coefficients'!AK531</f>
        <v>0</v>
      </c>
      <c r="AL105" s="210">
        <f>'Pseudo-load coefficients'!AL531</f>
        <v>0</v>
      </c>
      <c r="AM105" s="210">
        <f>'Pseudo-load coefficients'!AM531</f>
        <v>0</v>
      </c>
      <c r="AN105" s="210">
        <f>'Pseudo-load coefficients'!AN531</f>
        <v>0</v>
      </c>
      <c r="AO105" s="210">
        <f>'Pseudo-load coefficients'!AO531</f>
        <v>0</v>
      </c>
      <c r="AP105" s="210">
        <f>'Pseudo-load coefficients'!AP531</f>
        <v>0</v>
      </c>
    </row>
    <row r="106" spans="3:42" x14ac:dyDescent="0.25">
      <c r="C106" s="32"/>
      <c r="E106" s="32"/>
      <c r="F106" s="208" t="s">
        <v>228</v>
      </c>
      <c r="G106" s="28" t="s">
        <v>343</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v>
      </c>
      <c r="T106" s="211">
        <f>'Pseudo-load coefficients'!T531</f>
        <v>0</v>
      </c>
      <c r="U106" s="211">
        <f>'Pseudo-load coefficients'!U531</f>
        <v>0</v>
      </c>
      <c r="V106" s="211">
        <f>'Pseudo-load coefficients'!V531</f>
        <v>0</v>
      </c>
      <c r="W106" s="211">
        <f>'Pseudo-load coefficients'!W531</f>
        <v>0</v>
      </c>
      <c r="X106" s="211">
        <f>'Pseudo-load coefficients'!X531</f>
        <v>0</v>
      </c>
      <c r="Y106" s="211">
        <f>'Pseudo-load coefficients'!Y531</f>
        <v>0</v>
      </c>
      <c r="Z106" s="211">
        <f>'Pseudo-load coefficients'!Z531</f>
        <v>0</v>
      </c>
      <c r="AA106" s="211">
        <f>'Pseudo-load coefficients'!AA531</f>
        <v>0</v>
      </c>
      <c r="AB106" s="211">
        <f>'Pseudo-load coefficients'!AB531</f>
        <v>0</v>
      </c>
      <c r="AC106" s="211">
        <f>'Pseudo-load coefficients'!AC531</f>
        <v>0</v>
      </c>
      <c r="AD106" s="211">
        <f>'Pseudo-load coefficients'!AD531</f>
        <v>0</v>
      </c>
      <c r="AE106" s="211">
        <f>'Pseudo-load coefficients'!AE531</f>
        <v>0</v>
      </c>
      <c r="AF106" s="211">
        <f>'Pseudo-load coefficients'!AF531</f>
        <v>0</v>
      </c>
      <c r="AG106" s="211">
        <f>'Pseudo-load coefficients'!AG531</f>
        <v>0</v>
      </c>
      <c r="AH106" s="211">
        <f>'Pseudo-load coefficients'!AH531</f>
        <v>0</v>
      </c>
      <c r="AI106" s="211">
        <f>'Pseudo-load coefficients'!AI531</f>
        <v>0</v>
      </c>
      <c r="AJ106" s="211">
        <f>'Pseudo-load coefficients'!AJ531</f>
        <v>0</v>
      </c>
      <c r="AK106" s="211">
        <f>'Pseudo-load coefficients'!AK531</f>
        <v>0</v>
      </c>
      <c r="AL106" s="211">
        <f>'Pseudo-load coefficients'!AL531</f>
        <v>0</v>
      </c>
      <c r="AM106" s="211">
        <f>'Pseudo-load coefficients'!AM531</f>
        <v>0</v>
      </c>
      <c r="AN106" s="211">
        <f>'Pseudo-load coefficients'!AN531</f>
        <v>0</v>
      </c>
      <c r="AO106" s="211">
        <f>'Pseudo-load coefficients'!AO531</f>
        <v>0</v>
      </c>
      <c r="AP106" s="211">
        <f>'Pseudo-load coefficients'!AP531</f>
        <v>0</v>
      </c>
    </row>
    <row r="107" spans="3:42" x14ac:dyDescent="0.25">
      <c r="C107" s="32"/>
      <c r="E107" s="32"/>
      <c r="F107" s="208" t="s">
        <v>229</v>
      </c>
      <c r="G107" s="28" t="s">
        <v>343</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3.7233628813073828E-2</v>
      </c>
      <c r="T107" s="211">
        <f>'Pseudo-load coefficients'!T532</f>
        <v>3.4623260880024327E-2</v>
      </c>
      <c r="U107" s="211">
        <f>'Pseudo-load coefficients'!U532</f>
        <v>2.8952601066176555E-2</v>
      </c>
      <c r="V107" s="211">
        <f>'Pseudo-load coefficients'!V532</f>
        <v>2.8366785366106956E-2</v>
      </c>
      <c r="W107" s="211">
        <f>'Pseudo-load coefficients'!W532</f>
        <v>2.5492312130674114E-2</v>
      </c>
      <c r="X107" s="211">
        <f>'Pseudo-load coefficients'!X532</f>
        <v>0</v>
      </c>
      <c r="Y107" s="211">
        <f>'Pseudo-load coefficients'!Y532</f>
        <v>0</v>
      </c>
      <c r="Z107" s="211">
        <f>'Pseudo-load coefficients'!Z532</f>
        <v>0</v>
      </c>
      <c r="AA107" s="211">
        <f>'Pseudo-load coefficients'!AA532</f>
        <v>0</v>
      </c>
      <c r="AB107" s="211">
        <f>'Pseudo-load coefficients'!AB532</f>
        <v>2.9385033625973882E-2</v>
      </c>
      <c r="AC107" s="211">
        <f>'Pseudo-load coefficients'!AC532</f>
        <v>0</v>
      </c>
      <c r="AD107" s="211">
        <f>'Pseudo-load coefficients'!AD532</f>
        <v>0</v>
      </c>
      <c r="AE107" s="211">
        <f>'Pseudo-load coefficients'!AE532</f>
        <v>0</v>
      </c>
      <c r="AF107" s="211">
        <f>'Pseudo-load coefficients'!AF532</f>
        <v>0</v>
      </c>
      <c r="AG107" s="211">
        <f>'Pseudo-load coefficients'!AG532</f>
        <v>2.4487189487901666E-2</v>
      </c>
      <c r="AH107" s="211">
        <f>'Pseudo-load coefficients'!AH532</f>
        <v>2.4487189487901666E-2</v>
      </c>
      <c r="AI107" s="211">
        <f>'Pseudo-load coefficients'!AI532</f>
        <v>0</v>
      </c>
      <c r="AJ107" s="211">
        <f>'Pseudo-load coefficients'!AJ532</f>
        <v>0</v>
      </c>
      <c r="AK107" s="211">
        <f>'Pseudo-load coefficients'!AK532</f>
        <v>2.4487189487901666E-2</v>
      </c>
      <c r="AL107" s="211">
        <f>'Pseudo-load coefficients'!AL532</f>
        <v>2.4487189487901666E-2</v>
      </c>
      <c r="AM107" s="211">
        <f>'Pseudo-load coefficients'!AM532</f>
        <v>0</v>
      </c>
      <c r="AN107" s="211">
        <f>'Pseudo-load coefficients'!AN532</f>
        <v>0</v>
      </c>
      <c r="AO107" s="211">
        <f>'Pseudo-load coefficients'!AO532</f>
        <v>2.4487189487901666E-2</v>
      </c>
      <c r="AP107" s="211">
        <f>'Pseudo-load coefficients'!AP532</f>
        <v>2.4487189487901666E-2</v>
      </c>
    </row>
    <row r="108" spans="3:42" x14ac:dyDescent="0.25">
      <c r="C108" s="32"/>
      <c r="E108" s="32"/>
      <c r="F108" s="208" t="s">
        <v>230</v>
      </c>
      <c r="G108" s="28" t="s">
        <v>343</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3.7233628813073828E-2</v>
      </c>
      <c r="T108" s="211">
        <f>'Pseudo-load coefficients'!T533</f>
        <v>3.4623260880024327E-2</v>
      </c>
      <c r="U108" s="211">
        <f>'Pseudo-load coefficients'!U533</f>
        <v>2.8952601066176555E-2</v>
      </c>
      <c r="V108" s="211">
        <f>'Pseudo-load coefficients'!V533</f>
        <v>2.8366785366106956E-2</v>
      </c>
      <c r="W108" s="211">
        <f>'Pseudo-load coefficients'!W533</f>
        <v>2.5492312130674114E-2</v>
      </c>
      <c r="X108" s="211">
        <f>'Pseudo-load coefficients'!X533</f>
        <v>0</v>
      </c>
      <c r="Y108" s="211">
        <f>'Pseudo-load coefficients'!Y533</f>
        <v>0</v>
      </c>
      <c r="Z108" s="211">
        <f>'Pseudo-load coefficients'!Z533</f>
        <v>0</v>
      </c>
      <c r="AA108" s="211">
        <f>'Pseudo-load coefficients'!AA533</f>
        <v>0</v>
      </c>
      <c r="AB108" s="211">
        <f>'Pseudo-load coefficients'!AB533</f>
        <v>2.9385033625973882E-2</v>
      </c>
      <c r="AC108" s="211">
        <f>'Pseudo-load coefficients'!AC533</f>
        <v>0</v>
      </c>
      <c r="AD108" s="211">
        <f>'Pseudo-load coefficients'!AD533</f>
        <v>0</v>
      </c>
      <c r="AE108" s="211">
        <f>'Pseudo-load coefficients'!AE533</f>
        <v>0</v>
      </c>
      <c r="AF108" s="211">
        <f>'Pseudo-load coefficients'!AF533</f>
        <v>0</v>
      </c>
      <c r="AG108" s="211">
        <f>'Pseudo-load coefficients'!AG533</f>
        <v>2.4487189487901666E-2</v>
      </c>
      <c r="AH108" s="211">
        <f>'Pseudo-load coefficients'!AH533</f>
        <v>2.4487189487901666E-2</v>
      </c>
      <c r="AI108" s="211">
        <f>'Pseudo-load coefficients'!AI533</f>
        <v>0</v>
      </c>
      <c r="AJ108" s="211">
        <f>'Pseudo-load coefficients'!AJ533</f>
        <v>0</v>
      </c>
      <c r="AK108" s="211">
        <f>'Pseudo-load coefficients'!AK533</f>
        <v>2.4487189487901666E-2</v>
      </c>
      <c r="AL108" s="211">
        <f>'Pseudo-load coefficients'!AL533</f>
        <v>2.4487189487901666E-2</v>
      </c>
      <c r="AM108" s="211">
        <f>'Pseudo-load coefficients'!AM533</f>
        <v>0</v>
      </c>
      <c r="AN108" s="211">
        <f>'Pseudo-load coefficients'!AN533</f>
        <v>0</v>
      </c>
      <c r="AO108" s="211">
        <f>'Pseudo-load coefficients'!AO533</f>
        <v>2.4487189487901666E-2</v>
      </c>
      <c r="AP108" s="211">
        <f>'Pseudo-load coefficients'!AP533</f>
        <v>2.4487189487901666E-2</v>
      </c>
    </row>
    <row r="109" spans="3:42" x14ac:dyDescent="0.25">
      <c r="C109" s="32"/>
      <c r="E109" s="32"/>
      <c r="F109" s="208" t="s">
        <v>231</v>
      </c>
      <c r="G109" s="28" t="s">
        <v>343</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0.10472743091525347</v>
      </c>
      <c r="T109" s="211">
        <f>'Pseudo-load coefficients'!T534</f>
        <v>9.7372341659800646E-2</v>
      </c>
      <c r="U109" s="211">
        <f>'Pseudo-load coefficients'!U534</f>
        <v>8.1429143539480206E-2</v>
      </c>
      <c r="V109" s="211">
        <f>'Pseudo-load coefficients'!V534</f>
        <v>7.9781537833187519E-2</v>
      </c>
      <c r="W109" s="211">
        <f>'Pseudo-load coefficients'!W534</f>
        <v>7.1697086520731895E-2</v>
      </c>
      <c r="X109" s="211">
        <f>'Pseudo-load coefficients'!X534</f>
        <v>0</v>
      </c>
      <c r="Y109" s="211">
        <f>'Pseudo-load coefficients'!Y534</f>
        <v>0</v>
      </c>
      <c r="Z109" s="211">
        <f>'Pseudo-load coefficients'!Z534</f>
        <v>0</v>
      </c>
      <c r="AA109" s="211">
        <f>'Pseudo-load coefficients'!AA534</f>
        <v>0</v>
      </c>
      <c r="AB109" s="211">
        <f>'Pseudo-load coefficients'!AB534</f>
        <v>8.264535941253412E-2</v>
      </c>
      <c r="AC109" s="211">
        <f>'Pseudo-load coefficients'!AC534</f>
        <v>0</v>
      </c>
      <c r="AD109" s="211">
        <f>'Pseudo-load coefficients'!AD534</f>
        <v>0</v>
      </c>
      <c r="AE109" s="211">
        <f>'Pseudo-load coefficients'!AE534</f>
        <v>0</v>
      </c>
      <c r="AF109" s="211">
        <f>'Pseudo-load coefficients'!AF534</f>
        <v>0</v>
      </c>
      <c r="AG109" s="211">
        <f>'Pseudo-load coefficients'!AG534</f>
        <v>6.8870180718174662E-2</v>
      </c>
      <c r="AH109" s="211">
        <f>'Pseudo-load coefficients'!AH534</f>
        <v>6.8870180718174662E-2</v>
      </c>
      <c r="AI109" s="211">
        <f>'Pseudo-load coefficients'!AI534</f>
        <v>0</v>
      </c>
      <c r="AJ109" s="211">
        <f>'Pseudo-load coefficients'!AJ534</f>
        <v>0</v>
      </c>
      <c r="AK109" s="211">
        <f>'Pseudo-load coefficients'!AK534</f>
        <v>6.8870180718174662E-2</v>
      </c>
      <c r="AL109" s="211">
        <f>'Pseudo-load coefficients'!AL534</f>
        <v>6.8870180718174662E-2</v>
      </c>
      <c r="AM109" s="211">
        <f>'Pseudo-load coefficients'!AM534</f>
        <v>0</v>
      </c>
      <c r="AN109" s="211">
        <f>'Pseudo-load coefficients'!AN534</f>
        <v>0</v>
      </c>
      <c r="AO109" s="211">
        <f>'Pseudo-load coefficients'!AO534</f>
        <v>6.8870180718174662E-2</v>
      </c>
      <c r="AP109" s="211">
        <f>'Pseudo-load coefficients'!AP534</f>
        <v>6.8870180718174662E-2</v>
      </c>
    </row>
    <row r="110" spans="3:42" x14ac:dyDescent="0.25">
      <c r="C110" s="32"/>
      <c r="E110" s="32"/>
      <c r="F110" s="208" t="s">
        <v>232</v>
      </c>
      <c r="G110" s="28" t="s">
        <v>343</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0.10472743091525347</v>
      </c>
      <c r="T110" s="211">
        <f>'Pseudo-load coefficients'!T535</f>
        <v>9.7372341659800646E-2</v>
      </c>
      <c r="U110" s="211">
        <f>'Pseudo-load coefficients'!U535</f>
        <v>8.1429143539480206E-2</v>
      </c>
      <c r="V110" s="211">
        <f>'Pseudo-load coefficients'!V535</f>
        <v>7.9781537833187519E-2</v>
      </c>
      <c r="W110" s="211">
        <f>'Pseudo-load coefficients'!W535</f>
        <v>7.1697086520731895E-2</v>
      </c>
      <c r="X110" s="211">
        <f>'Pseudo-load coefficients'!X535</f>
        <v>0</v>
      </c>
      <c r="Y110" s="211">
        <f>'Pseudo-load coefficients'!Y535</f>
        <v>0</v>
      </c>
      <c r="Z110" s="211">
        <f>'Pseudo-load coefficients'!Z535</f>
        <v>0</v>
      </c>
      <c r="AA110" s="211">
        <f>'Pseudo-load coefficients'!AA535</f>
        <v>0</v>
      </c>
      <c r="AB110" s="211">
        <f>'Pseudo-load coefficients'!AB535</f>
        <v>8.264535941253412E-2</v>
      </c>
      <c r="AC110" s="211">
        <f>'Pseudo-load coefficients'!AC535</f>
        <v>0</v>
      </c>
      <c r="AD110" s="211">
        <f>'Pseudo-load coefficients'!AD535</f>
        <v>0</v>
      </c>
      <c r="AE110" s="211">
        <f>'Pseudo-load coefficients'!AE535</f>
        <v>0</v>
      </c>
      <c r="AF110" s="211">
        <f>'Pseudo-load coefficients'!AF535</f>
        <v>0</v>
      </c>
      <c r="AG110" s="211">
        <f>'Pseudo-load coefficients'!AG535</f>
        <v>6.8870180718174662E-2</v>
      </c>
      <c r="AH110" s="211">
        <f>'Pseudo-load coefficients'!AH535</f>
        <v>6.8870180718174662E-2</v>
      </c>
      <c r="AI110" s="211">
        <f>'Pseudo-load coefficients'!AI535</f>
        <v>0</v>
      </c>
      <c r="AJ110" s="211">
        <f>'Pseudo-load coefficients'!AJ535</f>
        <v>0</v>
      </c>
      <c r="AK110" s="211">
        <f>'Pseudo-load coefficients'!AK535</f>
        <v>6.8870180718174662E-2</v>
      </c>
      <c r="AL110" s="211">
        <f>'Pseudo-load coefficients'!AL535</f>
        <v>6.8870180718174662E-2</v>
      </c>
      <c r="AM110" s="211">
        <f>'Pseudo-load coefficients'!AM535</f>
        <v>0</v>
      </c>
      <c r="AN110" s="211">
        <f>'Pseudo-load coefficients'!AN535</f>
        <v>0</v>
      </c>
      <c r="AO110" s="211">
        <f>'Pseudo-load coefficients'!AO535</f>
        <v>6.8870180718174662E-2</v>
      </c>
      <c r="AP110" s="211">
        <f>'Pseudo-load coefficients'!AP535</f>
        <v>6.8870180718174662E-2</v>
      </c>
    </row>
    <row r="111" spans="3:42" x14ac:dyDescent="0.25">
      <c r="C111" s="32"/>
      <c r="E111" s="32"/>
      <c r="F111" s="208" t="s">
        <v>233</v>
      </c>
      <c r="G111" s="28" t="s">
        <v>343</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3.7233628813073828E-2</v>
      </c>
      <c r="T111" s="211">
        <f>'Pseudo-load coefficients'!T536</f>
        <v>3.4623260880024327E-2</v>
      </c>
      <c r="U111" s="211">
        <f>'Pseudo-load coefficients'!U536</f>
        <v>2.8952601066176555E-2</v>
      </c>
      <c r="V111" s="211">
        <f>'Pseudo-load coefficients'!V536</f>
        <v>2.8366785366106956E-2</v>
      </c>
      <c r="W111" s="211">
        <f>'Pseudo-load coefficients'!W536</f>
        <v>2.5492312130674114E-2</v>
      </c>
      <c r="X111" s="211">
        <f>'Pseudo-load coefficients'!X536</f>
        <v>0</v>
      </c>
      <c r="Y111" s="211">
        <f>'Pseudo-load coefficients'!Y536</f>
        <v>0</v>
      </c>
      <c r="Z111" s="211">
        <f>'Pseudo-load coefficients'!Z536</f>
        <v>0</v>
      </c>
      <c r="AA111" s="211">
        <f>'Pseudo-load coefficients'!AA536</f>
        <v>0</v>
      </c>
      <c r="AB111" s="211">
        <f>'Pseudo-load coefficients'!AB536</f>
        <v>2.9385033625973882E-2</v>
      </c>
      <c r="AC111" s="211">
        <f>'Pseudo-load coefficients'!AC536</f>
        <v>0</v>
      </c>
      <c r="AD111" s="211">
        <f>'Pseudo-load coefficients'!AD536</f>
        <v>0</v>
      </c>
      <c r="AE111" s="211">
        <f>'Pseudo-load coefficients'!AE536</f>
        <v>0</v>
      </c>
      <c r="AF111" s="211">
        <f>'Pseudo-load coefficients'!AF536</f>
        <v>0</v>
      </c>
      <c r="AG111" s="211">
        <f>'Pseudo-load coefficients'!AG536</f>
        <v>2.4487189487901666E-2</v>
      </c>
      <c r="AH111" s="211">
        <f>'Pseudo-load coefficients'!AH536</f>
        <v>2.4487189487901666E-2</v>
      </c>
      <c r="AI111" s="211">
        <f>'Pseudo-load coefficients'!AI536</f>
        <v>0</v>
      </c>
      <c r="AJ111" s="211">
        <f>'Pseudo-load coefficients'!AJ536</f>
        <v>0</v>
      </c>
      <c r="AK111" s="211">
        <f>'Pseudo-load coefficients'!AK536</f>
        <v>2.4487189487901666E-2</v>
      </c>
      <c r="AL111" s="211">
        <f>'Pseudo-load coefficients'!AL536</f>
        <v>2.4487189487901666E-2</v>
      </c>
      <c r="AM111" s="211">
        <f>'Pseudo-load coefficients'!AM536</f>
        <v>0</v>
      </c>
      <c r="AN111" s="211">
        <f>'Pseudo-load coefficients'!AN536</f>
        <v>0</v>
      </c>
      <c r="AO111" s="211">
        <f>'Pseudo-load coefficients'!AO536</f>
        <v>2.4487189487901666E-2</v>
      </c>
      <c r="AP111" s="211">
        <f>'Pseudo-load coefficients'!AP536</f>
        <v>2.4487189487901666E-2</v>
      </c>
    </row>
    <row r="112" spans="3:42" x14ac:dyDescent="0.25">
      <c r="C112" s="32"/>
      <c r="E112" s="32"/>
      <c r="F112" s="208" t="s">
        <v>234</v>
      </c>
      <c r="G112" s="28" t="s">
        <v>343</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0.10472743091525347</v>
      </c>
      <c r="T112" s="211">
        <f>'Pseudo-load coefficients'!T537</f>
        <v>9.7372341659800646E-2</v>
      </c>
      <c r="U112" s="211">
        <f>'Pseudo-load coefficients'!U537</f>
        <v>8.1429143539480206E-2</v>
      </c>
      <c r="V112" s="211">
        <f>'Pseudo-load coefficients'!V537</f>
        <v>7.9781537833187519E-2</v>
      </c>
      <c r="W112" s="211">
        <f>'Pseudo-load coefficients'!W537</f>
        <v>7.1697086520731895E-2</v>
      </c>
      <c r="X112" s="211">
        <f>'Pseudo-load coefficients'!X537</f>
        <v>0</v>
      </c>
      <c r="Y112" s="211">
        <f>'Pseudo-load coefficients'!Y537</f>
        <v>0</v>
      </c>
      <c r="Z112" s="211">
        <f>'Pseudo-load coefficients'!Z537</f>
        <v>0</v>
      </c>
      <c r="AA112" s="211">
        <f>'Pseudo-load coefficients'!AA537</f>
        <v>0</v>
      </c>
      <c r="AB112" s="211">
        <f>'Pseudo-load coefficients'!AB537</f>
        <v>8.264535941253412E-2</v>
      </c>
      <c r="AC112" s="211">
        <f>'Pseudo-load coefficients'!AC537</f>
        <v>0</v>
      </c>
      <c r="AD112" s="211">
        <f>'Pseudo-load coefficients'!AD537</f>
        <v>0</v>
      </c>
      <c r="AE112" s="211">
        <f>'Pseudo-load coefficients'!AE537</f>
        <v>0</v>
      </c>
      <c r="AF112" s="211">
        <f>'Pseudo-load coefficients'!AF537</f>
        <v>0</v>
      </c>
      <c r="AG112" s="211">
        <f>'Pseudo-load coefficients'!AG537</f>
        <v>6.8870180718174662E-2</v>
      </c>
      <c r="AH112" s="211">
        <f>'Pseudo-load coefficients'!AH537</f>
        <v>6.8870180718174662E-2</v>
      </c>
      <c r="AI112" s="211">
        <f>'Pseudo-load coefficients'!AI537</f>
        <v>0</v>
      </c>
      <c r="AJ112" s="211">
        <f>'Pseudo-load coefficients'!AJ537</f>
        <v>0</v>
      </c>
      <c r="AK112" s="211">
        <f>'Pseudo-load coefficients'!AK537</f>
        <v>6.8870180718174662E-2</v>
      </c>
      <c r="AL112" s="211">
        <f>'Pseudo-load coefficients'!AL537</f>
        <v>6.8870180718174662E-2</v>
      </c>
      <c r="AM112" s="211">
        <f>'Pseudo-load coefficients'!AM537</f>
        <v>0</v>
      </c>
      <c r="AN112" s="211">
        <f>'Pseudo-load coefficients'!AN537</f>
        <v>0</v>
      </c>
      <c r="AO112" s="211">
        <f>'Pseudo-load coefficients'!AO537</f>
        <v>6.8870180718174662E-2</v>
      </c>
      <c r="AP112" s="211">
        <f>'Pseudo-load coefficients'!AP537</f>
        <v>6.8870180718174662E-2</v>
      </c>
    </row>
    <row r="113" spans="2:44" x14ac:dyDescent="0.25">
      <c r="C113" s="32"/>
      <c r="E113" s="32"/>
      <c r="F113" s="208" t="s">
        <v>235</v>
      </c>
      <c r="G113" s="28" t="s">
        <v>343</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0.10472743091525347</v>
      </c>
      <c r="T113" s="211">
        <f>'Pseudo-load coefficients'!T538</f>
        <v>9.7372341659800646E-2</v>
      </c>
      <c r="U113" s="211">
        <f>'Pseudo-load coefficients'!U538</f>
        <v>8.1429143539480206E-2</v>
      </c>
      <c r="V113" s="211">
        <f>'Pseudo-load coefficients'!V538</f>
        <v>7.9781537833187519E-2</v>
      </c>
      <c r="W113" s="211">
        <f>'Pseudo-load coefficients'!W538</f>
        <v>7.1697086520731895E-2</v>
      </c>
      <c r="X113" s="211">
        <f>'Pseudo-load coefficients'!X538</f>
        <v>0</v>
      </c>
      <c r="Y113" s="211">
        <f>'Pseudo-load coefficients'!Y538</f>
        <v>0</v>
      </c>
      <c r="Z113" s="211">
        <f>'Pseudo-load coefficients'!Z538</f>
        <v>0</v>
      </c>
      <c r="AA113" s="211">
        <f>'Pseudo-load coefficients'!AA538</f>
        <v>0</v>
      </c>
      <c r="AB113" s="211">
        <f>'Pseudo-load coefficients'!AB538</f>
        <v>8.264535941253412E-2</v>
      </c>
      <c r="AC113" s="211">
        <f>'Pseudo-load coefficients'!AC538</f>
        <v>0</v>
      </c>
      <c r="AD113" s="211">
        <f>'Pseudo-load coefficients'!AD538</f>
        <v>0</v>
      </c>
      <c r="AE113" s="211">
        <f>'Pseudo-load coefficients'!AE538</f>
        <v>0</v>
      </c>
      <c r="AF113" s="211">
        <f>'Pseudo-load coefficients'!AF538</f>
        <v>0</v>
      </c>
      <c r="AG113" s="211">
        <f>'Pseudo-load coefficients'!AG538</f>
        <v>6.8870180718174662E-2</v>
      </c>
      <c r="AH113" s="211">
        <f>'Pseudo-load coefficients'!AH538</f>
        <v>6.8870180718174662E-2</v>
      </c>
      <c r="AI113" s="211">
        <f>'Pseudo-load coefficients'!AI538</f>
        <v>0</v>
      </c>
      <c r="AJ113" s="211">
        <f>'Pseudo-load coefficients'!AJ538</f>
        <v>0</v>
      </c>
      <c r="AK113" s="211">
        <f>'Pseudo-load coefficients'!AK538</f>
        <v>6.8870180718174662E-2</v>
      </c>
      <c r="AL113" s="211">
        <f>'Pseudo-load coefficients'!AL538</f>
        <v>6.8870180718174662E-2</v>
      </c>
      <c r="AM113" s="211">
        <f>'Pseudo-load coefficients'!AM538</f>
        <v>0</v>
      </c>
      <c r="AN113" s="211">
        <f>'Pseudo-load coefficients'!AN538</f>
        <v>0</v>
      </c>
      <c r="AO113" s="211">
        <f>'Pseudo-load coefficients'!AO538</f>
        <v>6.8870180718174662E-2</v>
      </c>
      <c r="AP113" s="211">
        <f>'Pseudo-load coefficients'!AP538</f>
        <v>6.8870180718174662E-2</v>
      </c>
    </row>
    <row r="114" spans="2:44" x14ac:dyDescent="0.25">
      <c r="C114" s="32"/>
      <c r="E114" s="32"/>
      <c r="F114" s="209" t="s">
        <v>236</v>
      </c>
      <c r="G114" s="67" t="s">
        <v>343</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0.10472743091525347</v>
      </c>
      <c r="T114" s="212">
        <f>'Pseudo-load coefficients'!T539</f>
        <v>9.7372341659800646E-2</v>
      </c>
      <c r="U114" s="212">
        <f>'Pseudo-load coefficients'!U539</f>
        <v>8.1429143539480206E-2</v>
      </c>
      <c r="V114" s="212">
        <f>'Pseudo-load coefficients'!V539</f>
        <v>7.9781537833187519E-2</v>
      </c>
      <c r="W114" s="212">
        <f>'Pseudo-load coefficients'!W539</f>
        <v>7.1697086520731895E-2</v>
      </c>
      <c r="X114" s="212">
        <f>'Pseudo-load coefficients'!X539</f>
        <v>0</v>
      </c>
      <c r="Y114" s="212">
        <f>'Pseudo-load coefficients'!Y539</f>
        <v>0</v>
      </c>
      <c r="Z114" s="212">
        <f>'Pseudo-load coefficients'!Z539</f>
        <v>0</v>
      </c>
      <c r="AA114" s="212">
        <f>'Pseudo-load coefficients'!AA539</f>
        <v>0</v>
      </c>
      <c r="AB114" s="212">
        <f>'Pseudo-load coefficients'!AB539</f>
        <v>8.264535941253412E-2</v>
      </c>
      <c r="AC114" s="212">
        <f>'Pseudo-load coefficients'!AC539</f>
        <v>0</v>
      </c>
      <c r="AD114" s="212">
        <f>'Pseudo-load coefficients'!AD539</f>
        <v>0</v>
      </c>
      <c r="AE114" s="212">
        <f>'Pseudo-load coefficients'!AE539</f>
        <v>0</v>
      </c>
      <c r="AF114" s="212">
        <f>'Pseudo-load coefficients'!AF539</f>
        <v>0</v>
      </c>
      <c r="AG114" s="212">
        <f>'Pseudo-load coefficients'!AG539</f>
        <v>6.8870180718174662E-2</v>
      </c>
      <c r="AH114" s="212">
        <f>'Pseudo-load coefficients'!AH539</f>
        <v>6.8870180718174662E-2</v>
      </c>
      <c r="AI114" s="212">
        <f>'Pseudo-load coefficients'!AI539</f>
        <v>0</v>
      </c>
      <c r="AJ114" s="212">
        <f>'Pseudo-load coefficients'!AJ539</f>
        <v>0</v>
      </c>
      <c r="AK114" s="212">
        <f>'Pseudo-load coefficients'!AK539</f>
        <v>6.8870180718174662E-2</v>
      </c>
      <c r="AL114" s="212">
        <f>'Pseudo-load coefficients'!AL539</f>
        <v>6.8870180718174662E-2</v>
      </c>
      <c r="AM114" s="212">
        <f>'Pseudo-load coefficients'!AM539</f>
        <v>0</v>
      </c>
      <c r="AN114" s="212">
        <f>'Pseudo-load coefficients'!AN539</f>
        <v>0</v>
      </c>
      <c r="AO114" s="212">
        <f>'Pseudo-load coefficients'!AO539</f>
        <v>6.8870180718174662E-2</v>
      </c>
      <c r="AP114" s="212">
        <f>'Pseudo-load coefficients'!AP539</f>
        <v>6.8870180718174662E-2</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732</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733</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191</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728</v>
      </c>
    </row>
    <row r="122" spans="2:44" x14ac:dyDescent="0.25">
      <c r="E122" s="32" t="s">
        <v>734</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226</v>
      </c>
      <c r="G123" s="23" t="s">
        <v>328</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228</v>
      </c>
      <c r="G124" t="s">
        <v>328</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229</v>
      </c>
      <c r="G125" t="s">
        <v>328</v>
      </c>
      <c r="H125" s="304"/>
      <c r="I125" s="304"/>
      <c r="J125" s="315">
        <f t="shared" ref="J125:AP125" si="2">hundred * $H20 * J57 / $H45 * J$78 * (1 - J69) / hours_in_year</f>
        <v>0.15423278194952716</v>
      </c>
      <c r="K125" s="315">
        <f t="shared" si="2"/>
        <v>0.12741297696448736</v>
      </c>
      <c r="L125" s="315">
        <f t="shared" si="2"/>
        <v>0</v>
      </c>
      <c r="M125" s="315">
        <f t="shared" si="2"/>
        <v>0.12324840514943335</v>
      </c>
      <c r="N125" s="315">
        <f t="shared" si="2"/>
        <v>0.11116016532627249</v>
      </c>
      <c r="O125" s="315">
        <f t="shared" si="2"/>
        <v>0</v>
      </c>
      <c r="P125" s="315">
        <f t="shared" si="2"/>
        <v>0.10661125052993639</v>
      </c>
      <c r="Q125" s="315">
        <f t="shared" si="2"/>
        <v>0.10354543534772115</v>
      </c>
      <c r="R125" s="315">
        <f t="shared" si="2"/>
        <v>0.10450982446134266</v>
      </c>
      <c r="S125" s="315">
        <f t="shared" si="2"/>
        <v>0.14465084246513399</v>
      </c>
      <c r="T125" s="315">
        <f t="shared" si="2"/>
        <v>0.11496177185206501</v>
      </c>
      <c r="U125" s="315">
        <f t="shared" si="2"/>
        <v>9.7949278408787241E-2</v>
      </c>
      <c r="V125" s="315">
        <f t="shared" si="2"/>
        <v>9.2608689376484518E-2</v>
      </c>
      <c r="W125" s="315">
        <f t="shared" si="2"/>
        <v>7.5114333230741931E-2</v>
      </c>
      <c r="X125" s="315">
        <f t="shared" si="2"/>
        <v>6.9141952760277112E-2</v>
      </c>
      <c r="Y125" s="315">
        <f t="shared" si="2"/>
        <v>0.14605590142145713</v>
      </c>
      <c r="Z125" s="315">
        <f t="shared" si="2"/>
        <v>0.26485628281027013</v>
      </c>
      <c r="AA125" s="315">
        <f t="shared" si="2"/>
        <v>3.8285610194816188E-5</v>
      </c>
      <c r="AB125" s="315">
        <f t="shared" si="2"/>
        <v>0.14702985323788592</v>
      </c>
      <c r="AC125" s="315">
        <f t="shared" si="2"/>
        <v>-6.9141952760269715E-2</v>
      </c>
      <c r="AD125" s="315">
        <f t="shared" si="2"/>
        <v>-6.7153640575141366E-2</v>
      </c>
      <c r="AE125" s="315">
        <f t="shared" si="2"/>
        <v>-6.9141952760269715E-2</v>
      </c>
      <c r="AF125" s="315">
        <f t="shared" si="2"/>
        <v>-6.9141952760269715E-2</v>
      </c>
      <c r="AG125" s="315">
        <f t="shared" si="2"/>
        <v>-6.9141952760269715E-2</v>
      </c>
      <c r="AH125" s="315">
        <f t="shared" si="2"/>
        <v>-6.9141952760269715E-2</v>
      </c>
      <c r="AI125" s="315">
        <f t="shared" si="2"/>
        <v>-6.7153640575141366E-2</v>
      </c>
      <c r="AJ125" s="315">
        <f t="shared" si="2"/>
        <v>-6.7153640575141366E-2</v>
      </c>
      <c r="AK125" s="315">
        <f t="shared" si="2"/>
        <v>-6.7153640575141366E-2</v>
      </c>
      <c r="AL125" s="315">
        <f t="shared" si="2"/>
        <v>-6.7153640575141366E-2</v>
      </c>
      <c r="AM125" s="315">
        <f t="shared" si="2"/>
        <v>-6.6448110444934524E-2</v>
      </c>
      <c r="AN125" s="315">
        <f t="shared" si="2"/>
        <v>-6.6448110444934524E-2</v>
      </c>
      <c r="AO125" s="315">
        <f t="shared" si="2"/>
        <v>-6.6448110444934524E-2</v>
      </c>
      <c r="AP125" s="315">
        <f t="shared" si="2"/>
        <v>-6.6448110444934524E-2</v>
      </c>
      <c r="AQ125" s="304"/>
      <c r="AR125" s="304"/>
    </row>
    <row r="126" spans="2:44" x14ac:dyDescent="0.25">
      <c r="E126" s="32"/>
      <c r="F126" s="208" t="s">
        <v>230</v>
      </c>
      <c r="G126" t="s">
        <v>328</v>
      </c>
      <c r="H126" s="304"/>
      <c r="I126" s="304"/>
      <c r="J126" s="315">
        <f t="shared" ref="J126:AP126" si="3">hundred * $H21 * J58 / $H46 * J$78 * (1 - J70) / hours_in_year</f>
        <v>8.0585189427378759E-2</v>
      </c>
      <c r="K126" s="315">
        <f t="shared" si="3"/>
        <v>6.6572091577454265E-2</v>
      </c>
      <c r="L126" s="315">
        <f t="shared" si="3"/>
        <v>0</v>
      </c>
      <c r="M126" s="315">
        <f t="shared" si="3"/>
        <v>6.4396141663577489E-2</v>
      </c>
      <c r="N126" s="315">
        <f t="shared" si="3"/>
        <v>5.8080149150962442E-2</v>
      </c>
      <c r="O126" s="315">
        <f t="shared" si="3"/>
        <v>0</v>
      </c>
      <c r="P126" s="315">
        <f t="shared" si="3"/>
        <v>5.5703383615658082E-2</v>
      </c>
      <c r="Q126" s="315">
        <f t="shared" si="3"/>
        <v>5.4101523789975882E-2</v>
      </c>
      <c r="R126" s="315">
        <f t="shared" si="3"/>
        <v>5.4605408103158566E-2</v>
      </c>
      <c r="S126" s="315">
        <f t="shared" si="3"/>
        <v>7.5578715455559997E-2</v>
      </c>
      <c r="T126" s="315">
        <f t="shared" si="3"/>
        <v>6.0066453088017835E-2</v>
      </c>
      <c r="U126" s="315">
        <f t="shared" si="3"/>
        <v>5.1177584006947732E-2</v>
      </c>
      <c r="V126" s="315">
        <f t="shared" si="3"/>
        <v>4.8387176070438249E-2</v>
      </c>
      <c r="W126" s="315">
        <f t="shared" si="3"/>
        <v>3.9246538223576058E-2</v>
      </c>
      <c r="X126" s="315">
        <f t="shared" si="3"/>
        <v>3.6126025155852969E-2</v>
      </c>
      <c r="Y126" s="315">
        <f t="shared" si="3"/>
        <v>7.6312845649677802E-2</v>
      </c>
      <c r="Z126" s="315">
        <f t="shared" si="3"/>
        <v>0.1383849364027013</v>
      </c>
      <c r="AA126" s="315">
        <f t="shared" si="3"/>
        <v>2.000387408496397E-5</v>
      </c>
      <c r="AB126" s="315">
        <f t="shared" si="3"/>
        <v>7.6821726385847999E-2</v>
      </c>
      <c r="AC126" s="315">
        <f t="shared" si="3"/>
        <v>-3.6126025155849097E-2</v>
      </c>
      <c r="AD126" s="315">
        <f t="shared" si="3"/>
        <v>-3.5087150591998142E-2</v>
      </c>
      <c r="AE126" s="315">
        <f t="shared" si="3"/>
        <v>-3.6126025155849097E-2</v>
      </c>
      <c r="AF126" s="315">
        <f t="shared" si="3"/>
        <v>-3.6126025155849097E-2</v>
      </c>
      <c r="AG126" s="315">
        <f t="shared" si="3"/>
        <v>-3.6126025155849097E-2</v>
      </c>
      <c r="AH126" s="315">
        <f t="shared" si="3"/>
        <v>-3.6126025155849097E-2</v>
      </c>
      <c r="AI126" s="315">
        <f t="shared" si="3"/>
        <v>-3.5087150591998142E-2</v>
      </c>
      <c r="AJ126" s="315">
        <f t="shared" si="3"/>
        <v>-3.5087150591998142E-2</v>
      </c>
      <c r="AK126" s="315">
        <f t="shared" si="3"/>
        <v>-3.5087150591998142E-2</v>
      </c>
      <c r="AL126" s="315">
        <f t="shared" si="3"/>
        <v>-3.5087150591998142E-2</v>
      </c>
      <c r="AM126" s="315">
        <f t="shared" si="3"/>
        <v>-3.4718517682244592E-2</v>
      </c>
      <c r="AN126" s="315">
        <f t="shared" si="3"/>
        <v>-3.4718517682244592E-2</v>
      </c>
      <c r="AO126" s="315">
        <f t="shared" si="3"/>
        <v>-3.4718517682244592E-2</v>
      </c>
      <c r="AP126" s="315">
        <f t="shared" si="3"/>
        <v>-3.4718517682244592E-2</v>
      </c>
      <c r="AQ126" s="304"/>
      <c r="AR126" s="304"/>
    </row>
    <row r="127" spans="2:44" x14ac:dyDescent="0.25">
      <c r="E127" s="32"/>
      <c r="F127" s="208" t="s">
        <v>231</v>
      </c>
      <c r="G127" t="s">
        <v>328</v>
      </c>
      <c r="H127" s="304"/>
      <c r="I127" s="304"/>
      <c r="J127" s="315">
        <f t="shared" ref="J127:AP127" si="4">hundred * $H22 * J59 / $H47 * J$78 * (1 - J71) / hours_in_year</f>
        <v>9.9552090673737242E-2</v>
      </c>
      <c r="K127" s="315">
        <f t="shared" si="4"/>
        <v>8.2240805589115076E-2</v>
      </c>
      <c r="L127" s="315">
        <f t="shared" si="4"/>
        <v>0</v>
      </c>
      <c r="M127" s="315">
        <f t="shared" si="4"/>
        <v>7.9552714084124745E-2</v>
      </c>
      <c r="N127" s="315">
        <f t="shared" si="4"/>
        <v>7.1750160491108397E-2</v>
      </c>
      <c r="O127" s="315">
        <f t="shared" si="4"/>
        <v>0</v>
      </c>
      <c r="P127" s="315">
        <f t="shared" si="4"/>
        <v>6.8813988475355262E-2</v>
      </c>
      <c r="Q127" s="315">
        <f t="shared" si="4"/>
        <v>6.6835107545173425E-2</v>
      </c>
      <c r="R127" s="315">
        <f t="shared" si="4"/>
        <v>6.3044509614600369E-2</v>
      </c>
      <c r="S127" s="315">
        <f t="shared" si="4"/>
        <v>9.3367269935090785E-2</v>
      </c>
      <c r="T127" s="315">
        <f t="shared" si="4"/>
        <v>7.4203970068928385E-2</v>
      </c>
      <c r="U127" s="315">
        <f t="shared" si="4"/>
        <v>6.3222975831232583E-2</v>
      </c>
      <c r="V127" s="315">
        <f t="shared" si="4"/>
        <v>5.977580463406805E-2</v>
      </c>
      <c r="W127" s="315">
        <f t="shared" si="4"/>
        <v>4.5311972610875904E-2</v>
      </c>
      <c r="X127" s="315">
        <f t="shared" si="4"/>
        <v>4.4628812782504995E-2</v>
      </c>
      <c r="Y127" s="315">
        <f t="shared" si="4"/>
        <v>9.4274188392073563E-2</v>
      </c>
      <c r="Z127" s="315">
        <f t="shared" si="4"/>
        <v>0.17095585224200671</v>
      </c>
      <c r="AA127" s="315">
        <f t="shared" si="4"/>
        <v>2.4712077999481257E-5</v>
      </c>
      <c r="AB127" s="315">
        <f t="shared" si="4"/>
        <v>9.4902841641502089E-2</v>
      </c>
      <c r="AC127" s="315">
        <f t="shared" si="4"/>
        <v>-4.4628812782500221E-2</v>
      </c>
      <c r="AD127" s="315">
        <f t="shared" si="4"/>
        <v>-4.3345423917697329E-2</v>
      </c>
      <c r="AE127" s="315">
        <f t="shared" si="4"/>
        <v>-4.4628812782500221E-2</v>
      </c>
      <c r="AF127" s="315">
        <f t="shared" si="4"/>
        <v>-4.4628812782500221E-2</v>
      </c>
      <c r="AG127" s="315">
        <f t="shared" si="4"/>
        <v>-4.4628812782500221E-2</v>
      </c>
      <c r="AH127" s="315">
        <f t="shared" si="4"/>
        <v>-4.4628812782500221E-2</v>
      </c>
      <c r="AI127" s="315">
        <f t="shared" si="4"/>
        <v>-4.3345423917697329E-2</v>
      </c>
      <c r="AJ127" s="315">
        <f t="shared" si="4"/>
        <v>-4.3345423917697329E-2</v>
      </c>
      <c r="AK127" s="315">
        <f t="shared" si="4"/>
        <v>-4.3345423917697329E-2</v>
      </c>
      <c r="AL127" s="315">
        <f t="shared" si="4"/>
        <v>-4.3345423917697329E-2</v>
      </c>
      <c r="AM127" s="315">
        <f t="shared" si="4"/>
        <v>-4.0084160119963165E-2</v>
      </c>
      <c r="AN127" s="315">
        <f t="shared" si="4"/>
        <v>-4.0084160119963165E-2</v>
      </c>
      <c r="AO127" s="315">
        <f t="shared" si="4"/>
        <v>-4.0084160119963165E-2</v>
      </c>
      <c r="AP127" s="315">
        <f t="shared" si="4"/>
        <v>-4.0084160119963165E-2</v>
      </c>
      <c r="AQ127" s="304"/>
      <c r="AR127" s="304"/>
    </row>
    <row r="128" spans="2:44" x14ac:dyDescent="0.25">
      <c r="E128" s="32"/>
      <c r="F128" s="208" t="s">
        <v>232</v>
      </c>
      <c r="G128" t="s">
        <v>328</v>
      </c>
      <c r="H128" s="304"/>
      <c r="I128" s="304"/>
      <c r="J128" s="315">
        <f t="shared" ref="J128:AP128" si="5">hundred * $H23 * J60 / $H48 * J$78 * (1 - J72) / hours_in_year</f>
        <v>0.16015088019193074</v>
      </c>
      <c r="K128" s="315">
        <f t="shared" si="5"/>
        <v>0.13230196687637069</v>
      </c>
      <c r="L128" s="315">
        <f t="shared" si="5"/>
        <v>0</v>
      </c>
      <c r="M128" s="315">
        <f t="shared" si="5"/>
        <v>0.12797759540765355</v>
      </c>
      <c r="N128" s="315">
        <f t="shared" si="5"/>
        <v>0.11542551521315961</v>
      </c>
      <c r="O128" s="315">
        <f t="shared" si="5"/>
        <v>0</v>
      </c>
      <c r="P128" s="315">
        <f t="shared" si="5"/>
        <v>0.11070205305846847</v>
      </c>
      <c r="Q128" s="315">
        <f t="shared" si="5"/>
        <v>0.10751859884250137</v>
      </c>
      <c r="R128" s="315">
        <f t="shared" si="5"/>
        <v>7.0361148612987284E-2</v>
      </c>
      <c r="S128" s="315">
        <f t="shared" si="5"/>
        <v>0.15020127010920806</v>
      </c>
      <c r="T128" s="315">
        <f t="shared" si="5"/>
        <v>0.11937299397580232</v>
      </c>
      <c r="U128" s="315">
        <f t="shared" si="5"/>
        <v>0.10170771059854984</v>
      </c>
      <c r="V128" s="315">
        <f t="shared" si="5"/>
        <v>9.6162196710675149E-2</v>
      </c>
      <c r="W128" s="315">
        <f t="shared" si="5"/>
        <v>5.0570659654763948E-2</v>
      </c>
      <c r="X128" s="315">
        <f t="shared" si="5"/>
        <v>7.1795013049631512E-2</v>
      </c>
      <c r="Y128" s="315">
        <f t="shared" si="5"/>
        <v>0.15166024287577817</v>
      </c>
      <c r="Z128" s="315">
        <f t="shared" si="5"/>
        <v>0.27501913847542919</v>
      </c>
      <c r="AA128" s="315">
        <f t="shared" si="5"/>
        <v>3.9754675328306663E-5</v>
      </c>
      <c r="AB128" s="315">
        <f t="shared" si="5"/>
        <v>0.15267156640047894</v>
      </c>
      <c r="AC128" s="315">
        <f t="shared" si="5"/>
        <v>-7.1795013049623824E-2</v>
      </c>
      <c r="AD128" s="315">
        <f t="shared" si="5"/>
        <v>-6.973040692296488E-2</v>
      </c>
      <c r="AE128" s="315">
        <f t="shared" si="5"/>
        <v>-7.1795013049623824E-2</v>
      </c>
      <c r="AF128" s="315">
        <f t="shared" si="5"/>
        <v>-7.1795013049623824E-2</v>
      </c>
      <c r="AG128" s="315">
        <f t="shared" si="5"/>
        <v>-7.1795013049623824E-2</v>
      </c>
      <c r="AH128" s="315">
        <f t="shared" si="5"/>
        <v>-7.1795013049623824E-2</v>
      </c>
      <c r="AI128" s="315">
        <f t="shared" si="5"/>
        <v>-6.973040692296488E-2</v>
      </c>
      <c r="AJ128" s="315">
        <f t="shared" si="5"/>
        <v>-6.973040692296488E-2</v>
      </c>
      <c r="AK128" s="315">
        <f t="shared" si="5"/>
        <v>-6.973040692296488E-2</v>
      </c>
      <c r="AL128" s="315">
        <f t="shared" si="5"/>
        <v>-6.973040692296488E-2</v>
      </c>
      <c r="AM128" s="315">
        <f t="shared" si="5"/>
        <v>-4.4736132685761147E-2</v>
      </c>
      <c r="AN128" s="315">
        <f t="shared" si="5"/>
        <v>-4.4736132685761147E-2</v>
      </c>
      <c r="AO128" s="315">
        <f t="shared" si="5"/>
        <v>-4.4736132685761147E-2</v>
      </c>
      <c r="AP128" s="315">
        <f t="shared" si="5"/>
        <v>-4.4736132685761147E-2</v>
      </c>
      <c r="AQ128" s="304"/>
      <c r="AR128" s="304"/>
    </row>
    <row r="129" spans="4:44" x14ac:dyDescent="0.25">
      <c r="E129" s="32"/>
      <c r="F129" s="208" t="s">
        <v>233</v>
      </c>
      <c r="G129" t="s">
        <v>328</v>
      </c>
      <c r="H129" s="304"/>
      <c r="I129" s="304"/>
      <c r="J129" s="315">
        <f t="shared" ref="J129:AP129" si="6">hundred * $H24 * J61 / $H49 * J$78 * (1 - J73) / hours_in_year</f>
        <v>1.3485826594138692E-2</v>
      </c>
      <c r="K129" s="315">
        <f t="shared" si="6"/>
        <v>1.1140752902637583E-2</v>
      </c>
      <c r="L129" s="315">
        <f t="shared" si="6"/>
        <v>0</v>
      </c>
      <c r="M129" s="315">
        <f t="shared" si="6"/>
        <v>1.0776610515871613E-2</v>
      </c>
      <c r="N129" s="315">
        <f t="shared" si="6"/>
        <v>9.7196373871832036E-3</v>
      </c>
      <c r="O129" s="315">
        <f t="shared" si="6"/>
        <v>0</v>
      </c>
      <c r="P129" s="315">
        <f t="shared" si="6"/>
        <v>9.3218887674703359E-3</v>
      </c>
      <c r="Q129" s="315">
        <f t="shared" si="6"/>
        <v>9.0538196099642313E-3</v>
      </c>
      <c r="R129" s="315">
        <f t="shared" si="6"/>
        <v>5.9249018676762692E-3</v>
      </c>
      <c r="S129" s="315">
        <f t="shared" si="6"/>
        <v>1.264799968932189E-2</v>
      </c>
      <c r="T129" s="315">
        <f t="shared" si="6"/>
        <v>1.0052042766493302E-2</v>
      </c>
      <c r="U129" s="315">
        <f t="shared" si="6"/>
        <v>8.5645020918717046E-3</v>
      </c>
      <c r="V129" s="315">
        <f t="shared" si="6"/>
        <v>8.0975309545439529E-3</v>
      </c>
      <c r="W129" s="315">
        <f t="shared" si="6"/>
        <v>4.2584039877772359E-3</v>
      </c>
      <c r="X129" s="315">
        <f t="shared" si="6"/>
        <v>6.0456433030584055E-3</v>
      </c>
      <c r="Y129" s="315">
        <f t="shared" si="6"/>
        <v>1.2770855422065635E-2</v>
      </c>
      <c r="Z129" s="315">
        <f t="shared" si="6"/>
        <v>2.3158539042084689E-2</v>
      </c>
      <c r="AA129" s="315">
        <f t="shared" si="6"/>
        <v>3.3476222993049789E-6</v>
      </c>
      <c r="AB129" s="315">
        <f t="shared" si="6"/>
        <v>1.2856015951113882E-2</v>
      </c>
      <c r="AC129" s="315">
        <f t="shared" si="6"/>
        <v>-6.0456433030577584E-3</v>
      </c>
      <c r="AD129" s="315">
        <f t="shared" si="6"/>
        <v>-5.8717889965690835E-3</v>
      </c>
      <c r="AE129" s="315">
        <f t="shared" si="6"/>
        <v>-6.0456433030577584E-3</v>
      </c>
      <c r="AF129" s="315">
        <f t="shared" si="6"/>
        <v>-6.0456433030577584E-3</v>
      </c>
      <c r="AG129" s="315">
        <f t="shared" si="6"/>
        <v>-6.0456433030577584E-3</v>
      </c>
      <c r="AH129" s="315">
        <f t="shared" si="6"/>
        <v>-6.0456433030577584E-3</v>
      </c>
      <c r="AI129" s="315">
        <f t="shared" si="6"/>
        <v>-5.8717889965690835E-3</v>
      </c>
      <c r="AJ129" s="315">
        <f t="shared" si="6"/>
        <v>-5.8717889965690835E-3</v>
      </c>
      <c r="AK129" s="315">
        <f t="shared" si="6"/>
        <v>-5.8717889965690835E-3</v>
      </c>
      <c r="AL129" s="315">
        <f t="shared" si="6"/>
        <v>-5.8717889965690835E-3</v>
      </c>
      <c r="AM129" s="315">
        <f t="shared" si="6"/>
        <v>-3.7670959233538611E-3</v>
      </c>
      <c r="AN129" s="315">
        <f t="shared" si="6"/>
        <v>-3.7670959233538611E-3</v>
      </c>
      <c r="AO129" s="315">
        <f t="shared" si="6"/>
        <v>-3.7670959233538611E-3</v>
      </c>
      <c r="AP129" s="315">
        <f t="shared" si="6"/>
        <v>-3.7670959233538611E-3</v>
      </c>
      <c r="AQ129" s="304"/>
      <c r="AR129" s="304"/>
    </row>
    <row r="130" spans="4:44" x14ac:dyDescent="0.25">
      <c r="E130" s="32"/>
      <c r="F130" s="208" t="s">
        <v>234</v>
      </c>
      <c r="G130" t="s">
        <v>328</v>
      </c>
      <c r="H130" s="304"/>
      <c r="I130" s="304"/>
      <c r="J130" s="315">
        <f t="shared" ref="J130:AP130" si="7">hundred * $H25 * J62 / $H50 * J$78 * (1 - J74) / hours_in_year</f>
        <v>0.19217900546423955</v>
      </c>
      <c r="K130" s="315">
        <f t="shared" si="7"/>
        <v>0.15876066609682465</v>
      </c>
      <c r="L130" s="315">
        <f t="shared" si="7"/>
        <v>0</v>
      </c>
      <c r="M130" s="315">
        <f t="shared" si="7"/>
        <v>0.15357147570886032</v>
      </c>
      <c r="N130" s="315">
        <f t="shared" si="7"/>
        <v>0.1385091402075237</v>
      </c>
      <c r="O130" s="315">
        <f t="shared" si="7"/>
        <v>0</v>
      </c>
      <c r="P130" s="315">
        <f t="shared" si="7"/>
        <v>0.1328410461068317</v>
      </c>
      <c r="Q130" s="315">
        <f t="shared" si="7"/>
        <v>0.12902094181247939</v>
      </c>
      <c r="R130" s="315">
        <f t="shared" si="7"/>
        <v>9.0544359846428418E-2</v>
      </c>
      <c r="S130" s="315">
        <f t="shared" si="7"/>
        <v>0.18023960077184523</v>
      </c>
      <c r="T130" s="315">
        <f t="shared" si="7"/>
        <v>0.14324606417438995</v>
      </c>
      <c r="U130" s="315">
        <f t="shared" si="7"/>
        <v>0.12204795032939723</v>
      </c>
      <c r="V130" s="315">
        <f t="shared" si="7"/>
        <v>0.11539340467543217</v>
      </c>
      <c r="W130" s="315">
        <f t="shared" si="7"/>
        <v>6.5076936572451477E-2</v>
      </c>
      <c r="X130" s="315">
        <f t="shared" si="7"/>
        <v>8.615309630914833E-2</v>
      </c>
      <c r="Y130" s="315">
        <f t="shared" si="7"/>
        <v>0.18199034940927286</v>
      </c>
      <c r="Z130" s="315">
        <f t="shared" si="7"/>
        <v>0.33001944449196347</v>
      </c>
      <c r="AA130" s="315">
        <f t="shared" si="7"/>
        <v>4.770510132689649E-5</v>
      </c>
      <c r="AB130" s="315">
        <f t="shared" si="7"/>
        <v>0.183203924688701</v>
      </c>
      <c r="AC130" s="315">
        <f t="shared" si="7"/>
        <v>-8.6153096309139102E-2</v>
      </c>
      <c r="AD130" s="315">
        <f t="shared" si="7"/>
        <v>-8.3675595394868851E-2</v>
      </c>
      <c r="AE130" s="315">
        <f t="shared" si="7"/>
        <v>-8.6153096309139102E-2</v>
      </c>
      <c r="AF130" s="315">
        <f t="shared" si="7"/>
        <v>-8.6153096309139102E-2</v>
      </c>
      <c r="AG130" s="315">
        <f t="shared" si="7"/>
        <v>-8.6153096309139102E-2</v>
      </c>
      <c r="AH130" s="315">
        <f t="shared" si="7"/>
        <v>-8.6153096309139102E-2</v>
      </c>
      <c r="AI130" s="315">
        <f t="shared" si="7"/>
        <v>-8.3675595394868851E-2</v>
      </c>
      <c r="AJ130" s="315">
        <f t="shared" si="7"/>
        <v>-8.3675595394868851E-2</v>
      </c>
      <c r="AK130" s="315">
        <f t="shared" si="7"/>
        <v>-8.3675595394868851E-2</v>
      </c>
      <c r="AL130" s="315">
        <f t="shared" si="7"/>
        <v>-8.3675595394868851E-2</v>
      </c>
      <c r="AM130" s="315">
        <f t="shared" si="7"/>
        <v>0</v>
      </c>
      <c r="AN130" s="315">
        <f t="shared" si="7"/>
        <v>0</v>
      </c>
      <c r="AO130" s="315">
        <f t="shared" si="7"/>
        <v>0</v>
      </c>
      <c r="AP130" s="315">
        <f t="shared" si="7"/>
        <v>0</v>
      </c>
      <c r="AQ130" s="304"/>
      <c r="AR130" s="304"/>
    </row>
    <row r="131" spans="4:44" x14ac:dyDescent="0.25">
      <c r="E131" s="32"/>
      <c r="F131" s="208" t="s">
        <v>235</v>
      </c>
      <c r="G131" t="s">
        <v>328</v>
      </c>
      <c r="H131" s="304"/>
      <c r="I131" s="304"/>
      <c r="J131" s="315">
        <f t="shared" ref="J131:AP131" si="8">hundred * $H26 * J63 / $H51 * J$78 * (1 - J75) / hours_in_year</f>
        <v>4.9160528639009847E-2</v>
      </c>
      <c r="K131" s="315">
        <f t="shared" si="8"/>
        <v>4.0611919358972473E-2</v>
      </c>
      <c r="L131" s="315">
        <f t="shared" si="8"/>
        <v>0</v>
      </c>
      <c r="M131" s="315">
        <f t="shared" si="8"/>
        <v>3.928449370149989E-2</v>
      </c>
      <c r="N131" s="315">
        <f t="shared" si="8"/>
        <v>3.5431459006086102E-2</v>
      </c>
      <c r="O131" s="315">
        <f t="shared" si="8"/>
        <v>0</v>
      </c>
      <c r="P131" s="315">
        <f t="shared" si="8"/>
        <v>3.3981526940444713E-2</v>
      </c>
      <c r="Q131" s="315">
        <f t="shared" si="8"/>
        <v>3.300432162026494E-2</v>
      </c>
      <c r="R131" s="315">
        <f t="shared" si="8"/>
        <v>0</v>
      </c>
      <c r="S131" s="315">
        <f t="shared" si="8"/>
        <v>4.6106358154074142E-2</v>
      </c>
      <c r="T131" s="315">
        <f t="shared" si="8"/>
        <v>3.6643192232467446E-2</v>
      </c>
      <c r="U131" s="315">
        <f t="shared" si="8"/>
        <v>3.1220589070106549E-2</v>
      </c>
      <c r="V131" s="315">
        <f t="shared" si="8"/>
        <v>2.9518316850458595E-2</v>
      </c>
      <c r="W131" s="315">
        <f t="shared" si="8"/>
        <v>0</v>
      </c>
      <c r="X131" s="315">
        <f t="shared" si="8"/>
        <v>2.2038472663619676E-2</v>
      </c>
      <c r="Y131" s="315">
        <f t="shared" si="8"/>
        <v>4.655421003218152E-2</v>
      </c>
      <c r="Z131" s="315">
        <f t="shared" si="8"/>
        <v>8.4420929919924156E-2</v>
      </c>
      <c r="AA131" s="315">
        <f t="shared" si="8"/>
        <v>1.2203247666635235E-5</v>
      </c>
      <c r="AB131" s="315">
        <f t="shared" si="8"/>
        <v>4.6864649781496501E-2</v>
      </c>
      <c r="AC131" s="315">
        <f t="shared" si="8"/>
        <v>-2.2038472663617321E-2</v>
      </c>
      <c r="AD131" s="315">
        <f t="shared" si="8"/>
        <v>0</v>
      </c>
      <c r="AE131" s="315">
        <f t="shared" si="8"/>
        <v>-2.2038472663617321E-2</v>
      </c>
      <c r="AF131" s="315">
        <f t="shared" si="8"/>
        <v>-2.2038472663617321E-2</v>
      </c>
      <c r="AG131" s="315">
        <f t="shared" si="8"/>
        <v>-2.2038472663617321E-2</v>
      </c>
      <c r="AH131" s="315">
        <f t="shared" si="8"/>
        <v>-2.2038472663617321E-2</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236</v>
      </c>
      <c r="G132" s="37" t="s">
        <v>328</v>
      </c>
      <c r="H132" s="308"/>
      <c r="I132" s="308"/>
      <c r="J132" s="316">
        <f t="shared" ref="J132:AP132" si="9">hundred * $H27 * J64 / $H52 * J$78 * (1 - J76) / hours_in_year</f>
        <v>2.0631095352590438E-2</v>
      </c>
      <c r="K132" s="316">
        <f t="shared" si="9"/>
        <v>1.7043518528842862E-2</v>
      </c>
      <c r="L132" s="316">
        <f t="shared" si="9"/>
        <v>0</v>
      </c>
      <c r="M132" s="316">
        <f t="shared" si="9"/>
        <v>1.648644060330037E-2</v>
      </c>
      <c r="N132" s="316">
        <f t="shared" si="9"/>
        <v>1.4869445660433901E-2</v>
      </c>
      <c r="O132" s="316">
        <f t="shared" si="9"/>
        <v>0</v>
      </c>
      <c r="P132" s="316">
        <f t="shared" si="9"/>
        <v>1.4260955728995514E-2</v>
      </c>
      <c r="Q132" s="316">
        <f t="shared" si="9"/>
        <v>0</v>
      </c>
      <c r="R132" s="316">
        <f t="shared" si="9"/>
        <v>0</v>
      </c>
      <c r="S132" s="316">
        <f t="shared" si="9"/>
        <v>1.9349358067776629E-2</v>
      </c>
      <c r="T132" s="316">
        <f t="shared" si="9"/>
        <v>1.5377971187466945E-2</v>
      </c>
      <c r="U132" s="316">
        <f t="shared" si="9"/>
        <v>1.3102278756992311E-2</v>
      </c>
      <c r="V132" s="316">
        <f t="shared" si="9"/>
        <v>0</v>
      </c>
      <c r="W132" s="316">
        <f t="shared" si="9"/>
        <v>0</v>
      </c>
      <c r="X132" s="316">
        <f t="shared" si="9"/>
        <v>9.2488393338349788E-3</v>
      </c>
      <c r="Y132" s="316">
        <f t="shared" si="9"/>
        <v>1.9537307120743853E-2</v>
      </c>
      <c r="Z132" s="316">
        <f t="shared" si="9"/>
        <v>3.5428753578338044E-2</v>
      </c>
      <c r="AA132" s="316">
        <f t="shared" si="9"/>
        <v>5.1213112061990059E-6</v>
      </c>
      <c r="AB132" s="316">
        <f t="shared" si="9"/>
        <v>1.9667588715483849E-2</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735</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226</v>
      </c>
      <c r="G135" s="23" t="s">
        <v>328</v>
      </c>
      <c r="H135" s="302"/>
      <c r="I135" s="302"/>
      <c r="J135" s="314">
        <f t="shared" ref="J135:AP135" si="10">hundred * $H30 * J55 / $H43 * J$78 / hours_in_year</f>
        <v>7.694495334258554E-2</v>
      </c>
      <c r="K135" s="314">
        <f t="shared" si="10"/>
        <v>6.3564862436188849E-2</v>
      </c>
      <c r="L135" s="314">
        <f t="shared" si="10"/>
        <v>0</v>
      </c>
      <c r="M135" s="314">
        <f t="shared" si="10"/>
        <v>6.1487205663415062E-2</v>
      </c>
      <c r="N135" s="314">
        <f t="shared" si="10"/>
        <v>5.5456522449184496E-2</v>
      </c>
      <c r="O135" s="314">
        <f t="shared" si="10"/>
        <v>0</v>
      </c>
      <c r="P135" s="314">
        <f t="shared" si="10"/>
        <v>5.3187121402667549E-2</v>
      </c>
      <c r="Q135" s="314">
        <f t="shared" si="10"/>
        <v>5.165762162207134E-2</v>
      </c>
      <c r="R135" s="314">
        <f t="shared" si="10"/>
        <v>5.213874421101608E-2</v>
      </c>
      <c r="S135" s="314">
        <f t="shared" si="10"/>
        <v>7.2164634416616941E-2</v>
      </c>
      <c r="T135" s="314">
        <f t="shared" si="10"/>
        <v>5.7353100031826428E-2</v>
      </c>
      <c r="U135" s="314">
        <f t="shared" si="10"/>
        <v>4.8865763567504397E-2</v>
      </c>
      <c r="V135" s="314">
        <f t="shared" si="10"/>
        <v>4.6201405389442521E-2</v>
      </c>
      <c r="W135" s="314">
        <f t="shared" si="10"/>
        <v>3.7473673188948009E-2</v>
      </c>
      <c r="X135" s="314">
        <f t="shared" si="10"/>
        <v>3.4494121560329445E-2</v>
      </c>
      <c r="Y135" s="314">
        <f t="shared" si="10"/>
        <v>7.286560209982483E-2</v>
      </c>
      <c r="Z135" s="314">
        <f t="shared" si="10"/>
        <v>0.13213374008903009</v>
      </c>
      <c r="AA135" s="314">
        <f t="shared" si="10"/>
        <v>1.9100248681869669E-5</v>
      </c>
      <c r="AB135" s="314">
        <f t="shared" si="10"/>
        <v>7.3351495410739515E-2</v>
      </c>
      <c r="AC135" s="314">
        <f t="shared" si="10"/>
        <v>-3.4494121560325754E-2</v>
      </c>
      <c r="AD135" s="314">
        <f t="shared" si="10"/>
        <v>-3.3502175578535305E-2</v>
      </c>
      <c r="AE135" s="314">
        <f t="shared" si="10"/>
        <v>-3.4494121560325754E-2</v>
      </c>
      <c r="AF135" s="314">
        <f t="shared" si="10"/>
        <v>-3.4494121560325754E-2</v>
      </c>
      <c r="AG135" s="314">
        <f t="shared" si="10"/>
        <v>-3.4494121560325754E-2</v>
      </c>
      <c r="AH135" s="314">
        <f t="shared" si="10"/>
        <v>-3.4494121560325754E-2</v>
      </c>
      <c r="AI135" s="314">
        <f t="shared" si="10"/>
        <v>-3.3502175578535305E-2</v>
      </c>
      <c r="AJ135" s="314">
        <f t="shared" si="10"/>
        <v>-3.3502175578535305E-2</v>
      </c>
      <c r="AK135" s="314">
        <f t="shared" si="10"/>
        <v>-3.3502175578535305E-2</v>
      </c>
      <c r="AL135" s="314">
        <f t="shared" si="10"/>
        <v>-3.3502175578535305E-2</v>
      </c>
      <c r="AM135" s="314">
        <f t="shared" si="10"/>
        <v>-3.3150194746287089E-2</v>
      </c>
      <c r="AN135" s="314">
        <f t="shared" si="10"/>
        <v>-3.3150194746287089E-2</v>
      </c>
      <c r="AO135" s="314">
        <f t="shared" si="10"/>
        <v>-3.3150194746287089E-2</v>
      </c>
      <c r="AP135" s="314">
        <f t="shared" si="10"/>
        <v>-3.3150194746287089E-2</v>
      </c>
      <c r="AQ135" s="304"/>
      <c r="AR135" s="304"/>
    </row>
    <row r="136" spans="4:44" x14ac:dyDescent="0.25">
      <c r="D136" s="32"/>
      <c r="E136" s="32"/>
      <c r="F136" s="208" t="s">
        <v>228</v>
      </c>
      <c r="G136" t="s">
        <v>328</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229</v>
      </c>
      <c r="G137" t="s">
        <v>328</v>
      </c>
      <c r="H137" s="304"/>
      <c r="I137" s="304"/>
      <c r="J137" s="315">
        <f t="shared" ref="J137:AP137" si="12">hundred * $H32 * J57 / $H45 * J$78 / hours_in_year</f>
        <v>8.4671722882792164E-2</v>
      </c>
      <c r="K137" s="315">
        <f t="shared" si="12"/>
        <v>6.9948010668309982E-2</v>
      </c>
      <c r="L137" s="315">
        <f t="shared" si="12"/>
        <v>0</v>
      </c>
      <c r="M137" s="315">
        <f t="shared" si="12"/>
        <v>6.7661716754703879E-2</v>
      </c>
      <c r="N137" s="315">
        <f t="shared" si="12"/>
        <v>6.1025435676778692E-2</v>
      </c>
      <c r="O137" s="315">
        <f t="shared" si="12"/>
        <v>0</v>
      </c>
      <c r="P137" s="315">
        <f t="shared" si="12"/>
        <v>5.8528142635803478E-2</v>
      </c>
      <c r="Q137" s="315">
        <f t="shared" si="12"/>
        <v>5.6845051335515991E-2</v>
      </c>
      <c r="R137" s="315">
        <f t="shared" si="12"/>
        <v>5.7374487988007053E-2</v>
      </c>
      <c r="S137" s="315">
        <f t="shared" si="12"/>
        <v>7.9411366981491413E-2</v>
      </c>
      <c r="T137" s="315">
        <f t="shared" si="12"/>
        <v>6.3112466528408268E-2</v>
      </c>
      <c r="U137" s="315">
        <f t="shared" si="12"/>
        <v>5.3772836443502378E-2</v>
      </c>
      <c r="V137" s="315">
        <f t="shared" si="12"/>
        <v>5.0840924894879749E-2</v>
      </c>
      <c r="W137" s="315">
        <f t="shared" si="12"/>
        <v>4.1236758667300852E-2</v>
      </c>
      <c r="X137" s="315">
        <f t="shared" si="12"/>
        <v>3.7958002116626137E-2</v>
      </c>
      <c r="Y137" s="315">
        <f t="shared" si="12"/>
        <v>8.0182725450683209E-2</v>
      </c>
      <c r="Z137" s="315">
        <f t="shared" si="12"/>
        <v>0.14540253698605071</v>
      </c>
      <c r="AA137" s="315">
        <f t="shared" si="12"/>
        <v>2.1018285061310316E-5</v>
      </c>
      <c r="AB137" s="315">
        <f t="shared" si="12"/>
        <v>8.0717411898398581E-2</v>
      </c>
      <c r="AC137" s="315">
        <f t="shared" si="12"/>
        <v>-3.7958002116622071E-2</v>
      </c>
      <c r="AD137" s="315">
        <f t="shared" si="12"/>
        <v>-3.6866445469483589E-2</v>
      </c>
      <c r="AE137" s="315">
        <f t="shared" si="12"/>
        <v>-3.7958002116622071E-2</v>
      </c>
      <c r="AF137" s="315">
        <f t="shared" si="12"/>
        <v>-3.7958002116622071E-2</v>
      </c>
      <c r="AG137" s="315">
        <f t="shared" si="12"/>
        <v>-3.7958002116622071E-2</v>
      </c>
      <c r="AH137" s="315">
        <f t="shared" si="12"/>
        <v>-3.7958002116622071E-2</v>
      </c>
      <c r="AI137" s="315">
        <f t="shared" si="12"/>
        <v>-3.6866445469483589E-2</v>
      </c>
      <c r="AJ137" s="315">
        <f t="shared" si="12"/>
        <v>-3.6866445469483589E-2</v>
      </c>
      <c r="AK137" s="315">
        <f t="shared" si="12"/>
        <v>-3.6866445469483589E-2</v>
      </c>
      <c r="AL137" s="315">
        <f t="shared" si="12"/>
        <v>-3.6866445469483589E-2</v>
      </c>
      <c r="AM137" s="315">
        <f t="shared" si="12"/>
        <v>-3.6479118917273158E-2</v>
      </c>
      <c r="AN137" s="315">
        <f t="shared" si="12"/>
        <v>-3.6479118917273158E-2</v>
      </c>
      <c r="AO137" s="315">
        <f t="shared" si="12"/>
        <v>-3.6479118917273158E-2</v>
      </c>
      <c r="AP137" s="315">
        <f t="shared" si="12"/>
        <v>-3.6479118917273158E-2</v>
      </c>
      <c r="AQ137" s="304"/>
      <c r="AR137" s="304"/>
    </row>
    <row r="138" spans="4:44" x14ac:dyDescent="0.25">
      <c r="D138" s="32"/>
      <c r="E138" s="32"/>
      <c r="F138" s="208" t="s">
        <v>230</v>
      </c>
      <c r="G138" t="s">
        <v>328</v>
      </c>
      <c r="H138" s="304"/>
      <c r="I138" s="304"/>
      <c r="J138" s="315">
        <f t="shared" ref="J138:AP138" si="13">hundred * $H33 * J58 / $H46 * J$78 / hours_in_year</f>
        <v>4.4240185137069316E-2</v>
      </c>
      <c r="K138" s="315">
        <f t="shared" si="13"/>
        <v>3.6547182891499087E-2</v>
      </c>
      <c r="L138" s="315">
        <f t="shared" si="13"/>
        <v>0</v>
      </c>
      <c r="M138" s="315">
        <f t="shared" si="13"/>
        <v>3.5352615654976674E-2</v>
      </c>
      <c r="N138" s="315">
        <f t="shared" si="13"/>
        <v>3.1885220714691284E-2</v>
      </c>
      <c r="O138" s="315">
        <f t="shared" si="13"/>
        <v>0</v>
      </c>
      <c r="P138" s="315">
        <f t="shared" si="13"/>
        <v>3.058040840294474E-2</v>
      </c>
      <c r="Q138" s="315">
        <f t="shared" si="13"/>
        <v>2.9701008903416638E-2</v>
      </c>
      <c r="R138" s="315">
        <f t="shared" si="13"/>
        <v>2.9977634614186427E-2</v>
      </c>
      <c r="S138" s="315">
        <f t="shared" si="13"/>
        <v>4.1491698262855543E-2</v>
      </c>
      <c r="T138" s="315">
        <f t="shared" si="13"/>
        <v>3.2975674860648341E-2</v>
      </c>
      <c r="U138" s="315">
        <f t="shared" si="13"/>
        <v>2.8095805289080296E-2</v>
      </c>
      <c r="V138" s="315">
        <f t="shared" si="13"/>
        <v>2.6563908862499635E-2</v>
      </c>
      <c r="W138" s="315">
        <f t="shared" si="13"/>
        <v>2.1545821624763397E-2</v>
      </c>
      <c r="X138" s="315">
        <f t="shared" si="13"/>
        <v>1.9832701921010363E-2</v>
      </c>
      <c r="Y138" s="315">
        <f t="shared" si="13"/>
        <v>4.1894725865486586E-2</v>
      </c>
      <c r="Z138" s="315">
        <f t="shared" si="13"/>
        <v>7.5971468828700983E-2</v>
      </c>
      <c r="AA138" s="315">
        <f t="shared" si="13"/>
        <v>1.0981857823576196E-5</v>
      </c>
      <c r="AB138" s="315">
        <f t="shared" si="13"/>
        <v>4.217409454527539E-2</v>
      </c>
      <c r="AC138" s="315">
        <f t="shared" si="13"/>
        <v>-1.983270192100824E-2</v>
      </c>
      <c r="AD138" s="315">
        <f t="shared" si="13"/>
        <v>-1.9262373758159205E-2</v>
      </c>
      <c r="AE138" s="315">
        <f t="shared" si="13"/>
        <v>-1.983270192100824E-2</v>
      </c>
      <c r="AF138" s="315">
        <f t="shared" si="13"/>
        <v>-1.983270192100824E-2</v>
      </c>
      <c r="AG138" s="315">
        <f t="shared" si="13"/>
        <v>-1.983270192100824E-2</v>
      </c>
      <c r="AH138" s="315">
        <f t="shared" si="13"/>
        <v>-1.983270192100824E-2</v>
      </c>
      <c r="AI138" s="315">
        <f t="shared" si="13"/>
        <v>-1.9262373758159205E-2</v>
      </c>
      <c r="AJ138" s="315">
        <f t="shared" si="13"/>
        <v>-1.9262373758159205E-2</v>
      </c>
      <c r="AK138" s="315">
        <f t="shared" si="13"/>
        <v>-1.9262373758159205E-2</v>
      </c>
      <c r="AL138" s="315">
        <f t="shared" si="13"/>
        <v>-1.9262373758159205E-2</v>
      </c>
      <c r="AM138" s="315">
        <f t="shared" si="13"/>
        <v>-1.9059999248761162E-2</v>
      </c>
      <c r="AN138" s="315">
        <f t="shared" si="13"/>
        <v>-1.9059999248761162E-2</v>
      </c>
      <c r="AO138" s="315">
        <f t="shared" si="13"/>
        <v>-1.9059999248761162E-2</v>
      </c>
      <c r="AP138" s="315">
        <f t="shared" si="13"/>
        <v>-1.9059999248761162E-2</v>
      </c>
      <c r="AQ138" s="304"/>
      <c r="AR138" s="304"/>
    </row>
    <row r="139" spans="4:44" x14ac:dyDescent="0.25">
      <c r="D139" s="32"/>
      <c r="E139" s="32"/>
      <c r="F139" s="208" t="s">
        <v>231</v>
      </c>
      <c r="G139" t="s">
        <v>328</v>
      </c>
      <c r="H139" s="304"/>
      <c r="I139" s="304"/>
      <c r="J139" s="315">
        <f t="shared" ref="J139:AP139" si="14">hundred * $H34 * J59 / $H47 * J$78 / hours_in_year</f>
        <v>5.4652758819378332E-2</v>
      </c>
      <c r="K139" s="315">
        <f t="shared" si="14"/>
        <v>4.5149096142076572E-2</v>
      </c>
      <c r="L139" s="315">
        <f t="shared" si="14"/>
        <v>0</v>
      </c>
      <c r="M139" s="315">
        <f t="shared" si="14"/>
        <v>4.367337006025946E-2</v>
      </c>
      <c r="N139" s="315">
        <f t="shared" si="14"/>
        <v>3.9389873080854558E-2</v>
      </c>
      <c r="O139" s="315">
        <f t="shared" si="14"/>
        <v>0</v>
      </c>
      <c r="P139" s="315">
        <f t="shared" si="14"/>
        <v>3.7777954135273871E-2</v>
      </c>
      <c r="Q139" s="315">
        <f t="shared" si="14"/>
        <v>3.6691575120252083E-2</v>
      </c>
      <c r="R139" s="315">
        <f t="shared" si="14"/>
        <v>3.7033308732059969E-2</v>
      </c>
      <c r="S139" s="315">
        <f t="shared" si="14"/>
        <v>5.1257375418761235E-2</v>
      </c>
      <c r="T139" s="315">
        <f t="shared" si="14"/>
        <v>4.0736981535711494E-2</v>
      </c>
      <c r="U139" s="315">
        <f t="shared" si="14"/>
        <v>3.4708563391921632E-2</v>
      </c>
      <c r="V139" s="315">
        <f t="shared" si="14"/>
        <v>3.2816112768607478E-2</v>
      </c>
      <c r="W139" s="315">
        <f t="shared" si="14"/>
        <v>2.661694541230273E-2</v>
      </c>
      <c r="X139" s="315">
        <f t="shared" si="14"/>
        <v>2.4500617966839826E-2</v>
      </c>
      <c r="Y139" s="315">
        <f t="shared" si="14"/>
        <v>5.1755261453729245E-2</v>
      </c>
      <c r="Z139" s="315">
        <f t="shared" si="14"/>
        <v>9.3852463550607224E-2</v>
      </c>
      <c r="AA139" s="315">
        <f t="shared" si="14"/>
        <v>1.3566598448018436E-5</v>
      </c>
      <c r="AB139" s="315">
        <f t="shared" si="14"/>
        <v>5.2100383632374757E-2</v>
      </c>
      <c r="AC139" s="315">
        <f t="shared" si="14"/>
        <v>-2.4500617966837203E-2</v>
      </c>
      <c r="AD139" s="315">
        <f t="shared" si="14"/>
        <v>-2.379605474144578E-2</v>
      </c>
      <c r="AE139" s="315">
        <f t="shared" si="14"/>
        <v>-2.4500617966837203E-2</v>
      </c>
      <c r="AF139" s="315">
        <f t="shared" si="14"/>
        <v>-2.4500617966837203E-2</v>
      </c>
      <c r="AG139" s="315">
        <f t="shared" si="14"/>
        <v>-2.4500617966837203E-2</v>
      </c>
      <c r="AH139" s="315">
        <f t="shared" si="14"/>
        <v>-2.4500617966837203E-2</v>
      </c>
      <c r="AI139" s="315">
        <f t="shared" si="14"/>
        <v>-2.379605474144578E-2</v>
      </c>
      <c r="AJ139" s="315">
        <f t="shared" si="14"/>
        <v>-2.379605474144578E-2</v>
      </c>
      <c r="AK139" s="315">
        <f t="shared" si="14"/>
        <v>-2.379605474144578E-2</v>
      </c>
      <c r="AL139" s="315">
        <f t="shared" si="14"/>
        <v>-2.379605474144578E-2</v>
      </c>
      <c r="AM139" s="315">
        <f t="shared" si="14"/>
        <v>-2.3546048435661732E-2</v>
      </c>
      <c r="AN139" s="315">
        <f t="shared" si="14"/>
        <v>-2.3546048435661732E-2</v>
      </c>
      <c r="AO139" s="315">
        <f t="shared" si="14"/>
        <v>-2.3546048435661732E-2</v>
      </c>
      <c r="AP139" s="315">
        <f t="shared" si="14"/>
        <v>-2.3546048435661732E-2</v>
      </c>
      <c r="AQ139" s="304"/>
      <c r="AR139" s="304"/>
    </row>
    <row r="140" spans="4:44" x14ac:dyDescent="0.25">
      <c r="D140" s="32"/>
      <c r="E140" s="32"/>
      <c r="F140" s="208" t="s">
        <v>232</v>
      </c>
      <c r="G140" t="s">
        <v>328</v>
      </c>
      <c r="H140" s="304"/>
      <c r="I140" s="304"/>
      <c r="J140" s="315">
        <f t="shared" ref="J140:AP140" si="15">hundred * $H35 * J60 / $H48 * J$78 / hours_in_year</f>
        <v>8.7920679220348935E-2</v>
      </c>
      <c r="K140" s="315">
        <f t="shared" si="15"/>
        <v>7.263200037376194E-2</v>
      </c>
      <c r="L140" s="315">
        <f t="shared" si="15"/>
        <v>0</v>
      </c>
      <c r="M140" s="315">
        <f t="shared" si="15"/>
        <v>7.025797859957586E-2</v>
      </c>
      <c r="N140" s="315">
        <f t="shared" si="15"/>
        <v>6.3367055396371386E-2</v>
      </c>
      <c r="O140" s="315">
        <f t="shared" si="15"/>
        <v>0</v>
      </c>
      <c r="P140" s="315">
        <f t="shared" si="15"/>
        <v>6.0773938203294721E-2</v>
      </c>
      <c r="Q140" s="315">
        <f t="shared" si="15"/>
        <v>5.9026264655704611E-2</v>
      </c>
      <c r="R140" s="315">
        <f t="shared" si="15"/>
        <v>5.957601643240576E-2</v>
      </c>
      <c r="S140" s="315">
        <f t="shared" si="15"/>
        <v>8.2458477105679037E-2</v>
      </c>
      <c r="T140" s="315">
        <f t="shared" si="15"/>
        <v>6.5534168144072272E-2</v>
      </c>
      <c r="U140" s="315">
        <f t="shared" si="15"/>
        <v>5.5836165165339763E-2</v>
      </c>
      <c r="V140" s="315">
        <f t="shared" si="15"/>
        <v>5.2791752627216311E-2</v>
      </c>
      <c r="W140" s="315">
        <f t="shared" si="15"/>
        <v>4.2819062934309635E-2</v>
      </c>
      <c r="X140" s="315">
        <f t="shared" si="15"/>
        <v>3.941449653222364E-2</v>
      </c>
      <c r="Y140" s="315">
        <f t="shared" si="15"/>
        <v>8.3259433531563856E-2</v>
      </c>
      <c r="Z140" s="315">
        <f t="shared" si="15"/>
        <v>0.15098180805735748</v>
      </c>
      <c r="AA140" s="315">
        <f t="shared" si="15"/>
        <v>2.1824782060893601E-5</v>
      </c>
      <c r="AB140" s="315">
        <f t="shared" si="15"/>
        <v>8.3814636544476726E-2</v>
      </c>
      <c r="AC140" s="315">
        <f t="shared" si="15"/>
        <v>-3.9414496532219422E-2</v>
      </c>
      <c r="AD140" s="315">
        <f t="shared" si="15"/>
        <v>-3.828105553732257E-2</v>
      </c>
      <c r="AE140" s="315">
        <f t="shared" si="15"/>
        <v>-3.9414496532219422E-2</v>
      </c>
      <c r="AF140" s="315">
        <f t="shared" si="15"/>
        <v>-3.9414496532219422E-2</v>
      </c>
      <c r="AG140" s="315">
        <f t="shared" si="15"/>
        <v>-3.9414496532219422E-2</v>
      </c>
      <c r="AH140" s="315">
        <f t="shared" si="15"/>
        <v>-3.9414496532219422E-2</v>
      </c>
      <c r="AI140" s="315">
        <f t="shared" si="15"/>
        <v>-3.828105553732257E-2</v>
      </c>
      <c r="AJ140" s="315">
        <f t="shared" si="15"/>
        <v>-3.828105553732257E-2</v>
      </c>
      <c r="AK140" s="315">
        <f t="shared" si="15"/>
        <v>-3.828105553732257E-2</v>
      </c>
      <c r="AL140" s="315">
        <f t="shared" si="15"/>
        <v>-3.828105553732257E-2</v>
      </c>
      <c r="AM140" s="315">
        <f t="shared" si="15"/>
        <v>-3.7878866797197888E-2</v>
      </c>
      <c r="AN140" s="315">
        <f t="shared" si="15"/>
        <v>-3.7878866797197888E-2</v>
      </c>
      <c r="AO140" s="315">
        <f t="shared" si="15"/>
        <v>-3.7878866797197888E-2</v>
      </c>
      <c r="AP140" s="315">
        <f t="shared" si="15"/>
        <v>-3.7878866797197888E-2</v>
      </c>
      <c r="AQ140" s="304"/>
      <c r="AR140" s="304"/>
    </row>
    <row r="141" spans="4:44" x14ac:dyDescent="0.25">
      <c r="D141" s="32"/>
      <c r="E141" s="32"/>
      <c r="F141" s="208" t="s">
        <v>233</v>
      </c>
      <c r="G141" t="s">
        <v>328</v>
      </c>
      <c r="H141" s="304"/>
      <c r="I141" s="304"/>
      <c r="J141" s="315">
        <f t="shared" ref="J141:AP141" si="16">hundred * $H36 * J61 / $H49 * J$78 / hours_in_year</f>
        <v>7.4035374178621606E-3</v>
      </c>
      <c r="K141" s="315">
        <f t="shared" si="16"/>
        <v>6.1161235021131221E-3</v>
      </c>
      <c r="L141" s="315">
        <f t="shared" si="16"/>
        <v>0</v>
      </c>
      <c r="M141" s="315">
        <f t="shared" si="16"/>
        <v>5.9162142294384157E-3</v>
      </c>
      <c r="N141" s="315">
        <f t="shared" si="16"/>
        <v>5.3359501979165676E-3</v>
      </c>
      <c r="O141" s="315">
        <f t="shared" si="16"/>
        <v>0</v>
      </c>
      <c r="P141" s="315">
        <f t="shared" si="16"/>
        <v>5.1175915553527424E-3</v>
      </c>
      <c r="Q141" s="315">
        <f t="shared" si="16"/>
        <v>4.9704251933713542E-3</v>
      </c>
      <c r="R141" s="315">
        <f t="shared" si="16"/>
        <v>5.0167181461264468E-3</v>
      </c>
      <c r="S141" s="315">
        <f t="shared" si="16"/>
        <v>6.9435817157623893E-3</v>
      </c>
      <c r="T141" s="315">
        <f t="shared" si="16"/>
        <v>5.5184362803559319E-3</v>
      </c>
      <c r="U141" s="315">
        <f t="shared" si="16"/>
        <v>4.701796457184877E-3</v>
      </c>
      <c r="V141" s="315">
        <f t="shared" si="16"/>
        <v>4.4454355834828334E-3</v>
      </c>
      <c r="W141" s="315">
        <f t="shared" si="16"/>
        <v>3.6056652137257902E-3</v>
      </c>
      <c r="X141" s="315">
        <f t="shared" si="16"/>
        <v>3.3189768603946188E-3</v>
      </c>
      <c r="Y141" s="315">
        <f t="shared" si="16"/>
        <v>7.011027860647754E-3</v>
      </c>
      <c r="Z141" s="315">
        <f t="shared" si="16"/>
        <v>1.2713726455270809E-2</v>
      </c>
      <c r="AA141" s="315">
        <f t="shared" si="16"/>
        <v>1.8377996173068163E-6</v>
      </c>
      <c r="AB141" s="315">
        <f t="shared" si="16"/>
        <v>7.0577798456990578E-3</v>
      </c>
      <c r="AC141" s="315">
        <f t="shared" si="16"/>
        <v>-3.3189768603942636E-3</v>
      </c>
      <c r="AD141" s="315">
        <f t="shared" si="16"/>
        <v>-3.2235331844460043E-3</v>
      </c>
      <c r="AE141" s="315">
        <f t="shared" si="16"/>
        <v>-3.3189768603942636E-3</v>
      </c>
      <c r="AF141" s="315">
        <f t="shared" si="16"/>
        <v>-3.3189768603942636E-3</v>
      </c>
      <c r="AG141" s="315">
        <f t="shared" si="16"/>
        <v>-3.3189768603942636E-3</v>
      </c>
      <c r="AH141" s="315">
        <f t="shared" si="16"/>
        <v>-3.3189768603942636E-3</v>
      </c>
      <c r="AI141" s="315">
        <f t="shared" si="16"/>
        <v>-3.2235331844460043E-3</v>
      </c>
      <c r="AJ141" s="315">
        <f t="shared" si="16"/>
        <v>-3.2235331844460043E-3</v>
      </c>
      <c r="AK141" s="315">
        <f t="shared" si="16"/>
        <v>-3.2235331844460043E-3</v>
      </c>
      <c r="AL141" s="315">
        <f t="shared" si="16"/>
        <v>-3.2235331844460043E-3</v>
      </c>
      <c r="AM141" s="315">
        <f t="shared" si="16"/>
        <v>-3.1896660736256558E-3</v>
      </c>
      <c r="AN141" s="315">
        <f t="shared" si="16"/>
        <v>-3.1896660736256558E-3</v>
      </c>
      <c r="AO141" s="315">
        <f t="shared" si="16"/>
        <v>-3.1896660736256558E-3</v>
      </c>
      <c r="AP141" s="315">
        <f t="shared" si="16"/>
        <v>-3.1896660736256558E-3</v>
      </c>
      <c r="AQ141" s="304"/>
      <c r="AR141" s="304"/>
    </row>
    <row r="142" spans="4:44" x14ac:dyDescent="0.25">
      <c r="D142" s="32"/>
      <c r="E142" s="32"/>
      <c r="F142" s="208" t="s">
        <v>234</v>
      </c>
      <c r="G142" t="s">
        <v>328</v>
      </c>
      <c r="H142" s="304"/>
      <c r="I142" s="304"/>
      <c r="J142" s="315">
        <f t="shared" ref="J142:AP142" si="17">hundred * $H37 * J62 / $H50 * J$78 / hours_in_year</f>
        <v>0.20255419203275962</v>
      </c>
      <c r="K142" s="315">
        <f t="shared" si="17"/>
        <v>0.16733169354343913</v>
      </c>
      <c r="L142" s="315">
        <f t="shared" si="17"/>
        <v>0</v>
      </c>
      <c r="M142" s="315">
        <f t="shared" si="17"/>
        <v>0.1618623538317511</v>
      </c>
      <c r="N142" s="315">
        <f t="shared" si="17"/>
        <v>0.14598684656585831</v>
      </c>
      <c r="O142" s="315">
        <f t="shared" si="17"/>
        <v>0</v>
      </c>
      <c r="P142" s="315">
        <f t="shared" si="17"/>
        <v>0.14001274852035167</v>
      </c>
      <c r="Q142" s="315">
        <f t="shared" si="17"/>
        <v>0.13598640788572189</v>
      </c>
      <c r="R142" s="315">
        <f t="shared" si="17"/>
        <v>0.13725294185629319</v>
      </c>
      <c r="S142" s="315">
        <f t="shared" si="17"/>
        <v>0.18997021354365209</v>
      </c>
      <c r="T142" s="315">
        <f t="shared" si="17"/>
        <v>0.15097950330539872</v>
      </c>
      <c r="U142" s="315">
        <f t="shared" si="17"/>
        <v>0.12863696483654427</v>
      </c>
      <c r="V142" s="315">
        <f t="shared" si="17"/>
        <v>0.12162315958228191</v>
      </c>
      <c r="W142" s="315">
        <f t="shared" si="17"/>
        <v>9.8647789953055731E-2</v>
      </c>
      <c r="X142" s="315">
        <f t="shared" si="17"/>
        <v>9.0804251858131638E-2</v>
      </c>
      <c r="Y142" s="315">
        <f t="shared" si="17"/>
        <v>0.19181548001721907</v>
      </c>
      <c r="Z142" s="315">
        <f t="shared" si="17"/>
        <v>0.34783623618350235</v>
      </c>
      <c r="AA142" s="315">
        <f t="shared" si="17"/>
        <v>5.0280561249488318E-5</v>
      </c>
      <c r="AB142" s="315">
        <f t="shared" si="17"/>
        <v>0.19309457270271657</v>
      </c>
      <c r="AC142" s="315">
        <f t="shared" si="17"/>
        <v>-9.0804251858121923E-2</v>
      </c>
      <c r="AD142" s="315">
        <f t="shared" si="17"/>
        <v>-8.8192997862201902E-2</v>
      </c>
      <c r="AE142" s="315">
        <f t="shared" si="17"/>
        <v>-9.0804251858121923E-2</v>
      </c>
      <c r="AF142" s="315">
        <f t="shared" si="17"/>
        <v>-9.0804251858121923E-2</v>
      </c>
      <c r="AG142" s="315">
        <f t="shared" si="17"/>
        <v>-9.0804251858121923E-2</v>
      </c>
      <c r="AH142" s="315">
        <f t="shared" si="17"/>
        <v>-9.0804251858121923E-2</v>
      </c>
      <c r="AI142" s="315">
        <f t="shared" si="17"/>
        <v>-8.8192997862201902E-2</v>
      </c>
      <c r="AJ142" s="315">
        <f t="shared" si="17"/>
        <v>-8.8192997862201902E-2</v>
      </c>
      <c r="AK142" s="315">
        <f t="shared" si="17"/>
        <v>-8.8192997862201902E-2</v>
      </c>
      <c r="AL142" s="315">
        <f t="shared" si="17"/>
        <v>-8.8192997862201902E-2</v>
      </c>
      <c r="AM142" s="315">
        <f t="shared" si="17"/>
        <v>0</v>
      </c>
      <c r="AN142" s="315">
        <f t="shared" si="17"/>
        <v>0</v>
      </c>
      <c r="AO142" s="315">
        <f t="shared" si="17"/>
        <v>0</v>
      </c>
      <c r="AP142" s="315">
        <f t="shared" si="17"/>
        <v>0</v>
      </c>
      <c r="AQ142" s="304"/>
      <c r="AR142" s="304"/>
    </row>
    <row r="143" spans="4:44" x14ac:dyDescent="0.25">
      <c r="D143" s="32"/>
      <c r="E143" s="32"/>
      <c r="F143" s="208" t="s">
        <v>235</v>
      </c>
      <c r="G143" t="s">
        <v>328</v>
      </c>
      <c r="H143" s="304"/>
      <c r="I143" s="304"/>
      <c r="J143" s="315">
        <f t="shared" ref="J143:AP143" si="18">hundred * $H38 * J63 / $H51 * J$78 / hours_in_year</f>
        <v>9.27196151850746E-2</v>
      </c>
      <c r="K143" s="315">
        <f t="shared" si="18"/>
        <v>7.6596441070472809E-2</v>
      </c>
      <c r="L143" s="315">
        <f t="shared" si="18"/>
        <v>0</v>
      </c>
      <c r="M143" s="315">
        <f t="shared" si="18"/>
        <v>7.4092839104525118E-2</v>
      </c>
      <c r="N143" s="315">
        <f t="shared" si="18"/>
        <v>6.6825791655201694E-2</v>
      </c>
      <c r="O143" s="315">
        <f t="shared" si="18"/>
        <v>0</v>
      </c>
      <c r="P143" s="315">
        <f t="shared" si="18"/>
        <v>6.4091135480977987E-2</v>
      </c>
      <c r="Q143" s="315">
        <f t="shared" si="18"/>
        <v>6.224806943282369E-2</v>
      </c>
      <c r="R143" s="315">
        <f t="shared" si="18"/>
        <v>0</v>
      </c>
      <c r="S143" s="315">
        <f t="shared" si="18"/>
        <v>8.6959272082332992E-2</v>
      </c>
      <c r="T143" s="315">
        <f t="shared" si="18"/>
        <v>6.9111190969803324E-2</v>
      </c>
      <c r="U143" s="315">
        <f t="shared" si="18"/>
        <v>5.8883846137784912E-2</v>
      </c>
      <c r="V143" s="315">
        <f t="shared" si="18"/>
        <v>5.5673261762157263E-2</v>
      </c>
      <c r="W143" s="315">
        <f t="shared" si="18"/>
        <v>0</v>
      </c>
      <c r="X143" s="315">
        <f t="shared" si="18"/>
        <v>4.1565840750868679E-2</v>
      </c>
      <c r="Y143" s="315">
        <f t="shared" si="18"/>
        <v>8.7803946762358254E-2</v>
      </c>
      <c r="Z143" s="315">
        <f t="shared" si="18"/>
        <v>0.15922278202538004</v>
      </c>
      <c r="AA143" s="315">
        <f t="shared" si="18"/>
        <v>2.3016034590822656E-5</v>
      </c>
      <c r="AB143" s="315">
        <f t="shared" si="18"/>
        <v>8.838945417839926E-2</v>
      </c>
      <c r="AC143" s="315">
        <f t="shared" si="18"/>
        <v>-4.1565840750864232E-2</v>
      </c>
      <c r="AD143" s="315">
        <f t="shared" si="18"/>
        <v>0</v>
      </c>
      <c r="AE143" s="315">
        <f t="shared" si="18"/>
        <v>-4.1565840750864232E-2</v>
      </c>
      <c r="AF143" s="315">
        <f t="shared" si="18"/>
        <v>-4.1565840750864232E-2</v>
      </c>
      <c r="AG143" s="315">
        <f t="shared" si="18"/>
        <v>-4.1565840750864232E-2</v>
      </c>
      <c r="AH143" s="315">
        <f t="shared" si="18"/>
        <v>-4.1565840750864232E-2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236</v>
      </c>
      <c r="G144" s="37" t="s">
        <v>328</v>
      </c>
      <c r="H144" s="308"/>
      <c r="I144" s="308"/>
      <c r="J144" s="316">
        <f t="shared" ref="J144:AP144" si="19">hundred * $H39 * J64 / $H52 * J$78 / hours_in_year</f>
        <v>0.18480934813850272</v>
      </c>
      <c r="K144" s="316">
        <f t="shared" si="19"/>
        <v>0.15267253121906851</v>
      </c>
      <c r="L144" s="316">
        <f t="shared" si="19"/>
        <v>0</v>
      </c>
      <c r="M144" s="316">
        <f t="shared" si="19"/>
        <v>0.14768233527831198</v>
      </c>
      <c r="N144" s="316">
        <f t="shared" si="19"/>
        <v>0.13319760840233999</v>
      </c>
      <c r="O144" s="316">
        <f t="shared" si="19"/>
        <v>0</v>
      </c>
      <c r="P144" s="316">
        <f t="shared" si="19"/>
        <v>0.12774687369067811</v>
      </c>
      <c r="Q144" s="316">
        <f t="shared" si="19"/>
        <v>0</v>
      </c>
      <c r="R144" s="316">
        <f t="shared" si="19"/>
        <v>0</v>
      </c>
      <c r="S144" s="316">
        <f t="shared" si="19"/>
        <v>0.17332779429742118</v>
      </c>
      <c r="T144" s="316">
        <f t="shared" si="19"/>
        <v>0.13775288138017366</v>
      </c>
      <c r="U144" s="316">
        <f t="shared" si="19"/>
        <v>0.11736767024852451</v>
      </c>
      <c r="V144" s="316">
        <f t="shared" si="19"/>
        <v>0</v>
      </c>
      <c r="W144" s="316">
        <f t="shared" si="19"/>
        <v>0</v>
      </c>
      <c r="X144" s="316">
        <f t="shared" si="19"/>
        <v>8.2849307761508187E-2</v>
      </c>
      <c r="Y144" s="316">
        <f t="shared" si="19"/>
        <v>0.17501140543723204</v>
      </c>
      <c r="Z144" s="316">
        <f t="shared" si="19"/>
        <v>0.31736389863324388</v>
      </c>
      <c r="AA144" s="316">
        <f t="shared" si="19"/>
        <v>4.5875711854204059E-5</v>
      </c>
      <c r="AB144" s="316">
        <f t="shared" si="19"/>
        <v>0.17617844267819566</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736</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737</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191</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738</v>
      </c>
    </row>
    <row r="151" spans="3:44" x14ac:dyDescent="0.25">
      <c r="E151" s="32" t="s">
        <v>734</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226</v>
      </c>
      <c r="G152" s="23" t="s">
        <v>328</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228</v>
      </c>
      <c r="G153" t="s">
        <v>328</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229</v>
      </c>
      <c r="G154" t="s">
        <v>328</v>
      </c>
      <c r="H154" s="304"/>
      <c r="I154" s="304"/>
      <c r="J154" s="315">
        <f t="shared" ref="J154:AP154" si="22">hundred * $H20 * J57 / $H45 * J83 * (1 - J69) / hours_in_year</f>
        <v>0.14657660776207709</v>
      </c>
      <c r="K154" s="315">
        <f t="shared" si="22"/>
        <v>0.17561057762842913</v>
      </c>
      <c r="L154" s="315">
        <f t="shared" si="22"/>
        <v>4.3550387727968126E-2</v>
      </c>
      <c r="M154" s="315">
        <f t="shared" si="22"/>
        <v>0.12884591674664936</v>
      </c>
      <c r="N154" s="315">
        <f t="shared" si="22"/>
        <v>0.14727166417007254</v>
      </c>
      <c r="O154" s="315">
        <f t="shared" si="22"/>
        <v>1.9467208101184703E-2</v>
      </c>
      <c r="P154" s="315">
        <f t="shared" si="22"/>
        <v>0.14004554375680095</v>
      </c>
      <c r="Q154" s="315">
        <f t="shared" si="22"/>
        <v>0.10515455841302399</v>
      </c>
      <c r="R154" s="315">
        <f t="shared" si="22"/>
        <v>0.14275004470377178</v>
      </c>
      <c r="S154" s="315">
        <f t="shared" si="22"/>
        <v>0.90969857556581457</v>
      </c>
      <c r="T154" s="315">
        <f t="shared" si="22"/>
        <v>0.84592160657041005</v>
      </c>
      <c r="U154" s="315">
        <f t="shared" si="22"/>
        <v>0.70737504746187918</v>
      </c>
      <c r="V154" s="315">
        <f t="shared" si="22"/>
        <v>0.67313193227576207</v>
      </c>
      <c r="W154" s="315">
        <f t="shared" si="22"/>
        <v>0.59856645138486109</v>
      </c>
      <c r="X154" s="315">
        <f t="shared" si="22"/>
        <v>8.3605178158947996E-2</v>
      </c>
      <c r="Y154" s="315">
        <f t="shared" si="22"/>
        <v>0.1139197146924361</v>
      </c>
      <c r="Z154" s="315">
        <f t="shared" si="22"/>
        <v>0.20961033443612143</v>
      </c>
      <c r="AA154" s="315">
        <f t="shared" si="22"/>
        <v>5.3425038646439986E-2</v>
      </c>
      <c r="AB154" s="315">
        <f t="shared" si="22"/>
        <v>2.1213309144797847</v>
      </c>
      <c r="AC154" s="315">
        <f t="shared" si="22"/>
        <v>-6.9141952760269715E-2</v>
      </c>
      <c r="AD154" s="315">
        <f t="shared" si="22"/>
        <v>-6.7153640575141366E-2</v>
      </c>
      <c r="AE154" s="315">
        <f t="shared" si="22"/>
        <v>-6.9141952760269715E-2</v>
      </c>
      <c r="AF154" s="315">
        <f t="shared" si="22"/>
        <v>-6.9141952760269715E-2</v>
      </c>
      <c r="AG154" s="315">
        <f t="shared" si="22"/>
        <v>-0.59827532547492623</v>
      </c>
      <c r="AH154" s="315">
        <f t="shared" si="22"/>
        <v>-0.59827532547492623</v>
      </c>
      <c r="AI154" s="315">
        <f t="shared" si="22"/>
        <v>-6.7153640575141366E-2</v>
      </c>
      <c r="AJ154" s="315">
        <f t="shared" si="22"/>
        <v>-6.7153640575141366E-2</v>
      </c>
      <c r="AK154" s="315">
        <f t="shared" si="22"/>
        <v>-0.58107074746961751</v>
      </c>
      <c r="AL154" s="315">
        <f t="shared" si="22"/>
        <v>-0.58107074746961751</v>
      </c>
      <c r="AM154" s="315">
        <f t="shared" si="22"/>
        <v>-6.6448110444934524E-2</v>
      </c>
      <c r="AN154" s="315">
        <f t="shared" si="22"/>
        <v>-6.6448110444934524E-2</v>
      </c>
      <c r="AO154" s="315">
        <f t="shared" si="22"/>
        <v>-0.57496589720966917</v>
      </c>
      <c r="AP154" s="315">
        <f t="shared" si="22"/>
        <v>-0.57496589720966917</v>
      </c>
      <c r="AQ154" s="304"/>
      <c r="AR154" s="304"/>
    </row>
    <row r="155" spans="3:44" x14ac:dyDescent="0.25">
      <c r="E155" s="32"/>
      <c r="F155" s="208" t="s">
        <v>230</v>
      </c>
      <c r="G155" t="s">
        <v>328</v>
      </c>
      <c r="H155" s="304"/>
      <c r="I155" s="304"/>
      <c r="J155" s="315">
        <f t="shared" ref="J155:AP155" si="23">hundred * $H21 * J58 / $H46 * J84 * (1 - J70) / hours_in_year</f>
        <v>7.6584909853957203E-2</v>
      </c>
      <c r="K155" s="315">
        <f t="shared" si="23"/>
        <v>9.1754888194064285E-2</v>
      </c>
      <c r="L155" s="315">
        <f t="shared" si="23"/>
        <v>2.2754671220561882E-2</v>
      </c>
      <c r="M155" s="315">
        <f t="shared" si="23"/>
        <v>6.7320789242917775E-2</v>
      </c>
      <c r="N155" s="315">
        <f t="shared" si="23"/>
        <v>7.6948070341585281E-2</v>
      </c>
      <c r="O155" s="315">
        <f t="shared" si="23"/>
        <v>1.0171434584961014E-2</v>
      </c>
      <c r="P155" s="315">
        <f t="shared" si="23"/>
        <v>7.3172489852353723E-2</v>
      </c>
      <c r="Q155" s="315">
        <f t="shared" si="23"/>
        <v>5.4942275576919775E-2</v>
      </c>
      <c r="R155" s="315">
        <f t="shared" si="23"/>
        <v>7.4585566361532532E-2</v>
      </c>
      <c r="S155" s="315">
        <f t="shared" si="23"/>
        <v>0.47530901736427195</v>
      </c>
      <c r="T155" s="315">
        <f t="shared" si="23"/>
        <v>0.44198614616506976</v>
      </c>
      <c r="U155" s="315">
        <f t="shared" si="23"/>
        <v>0.36959686180445844</v>
      </c>
      <c r="V155" s="315">
        <f t="shared" si="23"/>
        <v>0.35170515364114552</v>
      </c>
      <c r="W155" s="315">
        <f t="shared" si="23"/>
        <v>0.3127453856438126</v>
      </c>
      <c r="X155" s="315">
        <f t="shared" si="23"/>
        <v>4.3682925470756098E-2</v>
      </c>
      <c r="Y155" s="315">
        <f t="shared" si="23"/>
        <v>5.9521987945514374E-2</v>
      </c>
      <c r="Z155" s="315">
        <f t="shared" si="23"/>
        <v>0.10951944387541951</v>
      </c>
      <c r="AA155" s="315">
        <f t="shared" si="23"/>
        <v>2.7914084185405533E-2</v>
      </c>
      <c r="AB155" s="315">
        <f t="shared" si="23"/>
        <v>1.1083756087434831</v>
      </c>
      <c r="AC155" s="315">
        <f t="shared" si="23"/>
        <v>-3.6126025155849097E-2</v>
      </c>
      <c r="AD155" s="315">
        <f t="shared" si="23"/>
        <v>-3.5087150591998142E-2</v>
      </c>
      <c r="AE155" s="315">
        <f t="shared" si="23"/>
        <v>-3.6126025155849097E-2</v>
      </c>
      <c r="AF155" s="315">
        <f t="shared" si="23"/>
        <v>-3.6126025155849097E-2</v>
      </c>
      <c r="AG155" s="315">
        <f t="shared" si="23"/>
        <v>-0.31259327507235823</v>
      </c>
      <c r="AH155" s="315">
        <f t="shared" si="23"/>
        <v>-0.31259327507235823</v>
      </c>
      <c r="AI155" s="315">
        <f t="shared" si="23"/>
        <v>-3.5087150591998142E-2</v>
      </c>
      <c r="AJ155" s="315">
        <f t="shared" si="23"/>
        <v>-3.5087150591998142E-2</v>
      </c>
      <c r="AK155" s="315">
        <f t="shared" si="23"/>
        <v>-0.30360404359996196</v>
      </c>
      <c r="AL155" s="315">
        <f t="shared" si="23"/>
        <v>-0.30360404359996196</v>
      </c>
      <c r="AM155" s="315">
        <f t="shared" si="23"/>
        <v>-3.4718517682244592E-2</v>
      </c>
      <c r="AN155" s="315">
        <f t="shared" si="23"/>
        <v>-3.4718517682244592E-2</v>
      </c>
      <c r="AO155" s="315">
        <f t="shared" si="23"/>
        <v>-0.30041431630330528</v>
      </c>
      <c r="AP155" s="315">
        <f t="shared" si="23"/>
        <v>-0.30041431630330528</v>
      </c>
      <c r="AQ155" s="304"/>
      <c r="AR155" s="304"/>
    </row>
    <row r="156" spans="3:44" x14ac:dyDescent="0.25">
      <c r="E156" s="32"/>
      <c r="F156" s="208" t="s">
        <v>231</v>
      </c>
      <c r="G156" t="s">
        <v>328</v>
      </c>
      <c r="H156" s="304"/>
      <c r="I156" s="304"/>
      <c r="J156" s="315">
        <f t="shared" ref="J156:AP156" si="24">hundred * $H22 * J59 / $H47 * J85 * (1 - J71) / hours_in_year</f>
        <v>9.1450414642696806E-2</v>
      </c>
      <c r="K156" s="315">
        <f t="shared" si="24"/>
        <v>0.10918906545502731</v>
      </c>
      <c r="L156" s="315">
        <f t="shared" si="24"/>
        <v>3.1087203216355122E-2</v>
      </c>
      <c r="M156" s="315">
        <f t="shared" si="24"/>
        <v>8.40509649774831E-2</v>
      </c>
      <c r="N156" s="315">
        <f t="shared" si="24"/>
        <v>9.4850655227218805E-2</v>
      </c>
      <c r="O156" s="315">
        <f t="shared" si="24"/>
        <v>1.5711601525750924E-2</v>
      </c>
      <c r="P156" s="315">
        <f t="shared" si="24"/>
        <v>8.9875597572073515E-2</v>
      </c>
      <c r="Q156" s="315">
        <f t="shared" si="24"/>
        <v>6.7525405634905888E-2</v>
      </c>
      <c r="R156" s="315">
        <f t="shared" si="24"/>
        <v>8.6060962601853946E-2</v>
      </c>
      <c r="S156" s="315">
        <f t="shared" si="24"/>
        <v>0.49344836060101199</v>
      </c>
      <c r="T156" s="315">
        <f t="shared" si="24"/>
        <v>0.45879309689923908</v>
      </c>
      <c r="U156" s="315">
        <f t="shared" si="24"/>
        <v>0.38367290244344815</v>
      </c>
      <c r="V156" s="315">
        <f t="shared" si="24"/>
        <v>0.36509979127801506</v>
      </c>
      <c r="W156" s="315">
        <f t="shared" si="24"/>
        <v>0.30341721867242549</v>
      </c>
      <c r="X156" s="315">
        <f t="shared" si="24"/>
        <v>5.3890393413257208E-2</v>
      </c>
      <c r="Y156" s="315">
        <f t="shared" si="24"/>
        <v>6.6080054539435024E-2</v>
      </c>
      <c r="Z156" s="315">
        <f t="shared" si="24"/>
        <v>0.11946183533008875</v>
      </c>
      <c r="AA156" s="315">
        <f t="shared" si="24"/>
        <v>4.145983350426187E-2</v>
      </c>
      <c r="AB156" s="315">
        <f t="shared" si="24"/>
        <v>1.1594053481193398</v>
      </c>
      <c r="AC156" s="315">
        <f t="shared" si="24"/>
        <v>-4.4628812782500214E-2</v>
      </c>
      <c r="AD156" s="315">
        <f t="shared" si="24"/>
        <v>-4.3345423917697322E-2</v>
      </c>
      <c r="AE156" s="315">
        <f t="shared" si="24"/>
        <v>-4.4628812782500214E-2</v>
      </c>
      <c r="AF156" s="315">
        <f t="shared" si="24"/>
        <v>-4.4628812782500214E-2</v>
      </c>
      <c r="AG156" s="315">
        <f t="shared" si="24"/>
        <v>-0.32449834272339617</v>
      </c>
      <c r="AH156" s="315">
        <f t="shared" si="24"/>
        <v>-0.32449834272339617</v>
      </c>
      <c r="AI156" s="315">
        <f t="shared" si="24"/>
        <v>-4.3345423917697322E-2</v>
      </c>
      <c r="AJ156" s="315">
        <f t="shared" si="24"/>
        <v>-4.3345423917697322E-2</v>
      </c>
      <c r="AK156" s="315">
        <f t="shared" si="24"/>
        <v>-0.31516675772856745</v>
      </c>
      <c r="AL156" s="315">
        <f t="shared" si="24"/>
        <v>-0.31516675772856745</v>
      </c>
      <c r="AM156" s="315">
        <f t="shared" si="24"/>
        <v>-4.0084160119963158E-2</v>
      </c>
      <c r="AN156" s="315">
        <f t="shared" si="24"/>
        <v>-4.0084160119963158E-2</v>
      </c>
      <c r="AO156" s="315">
        <f t="shared" si="24"/>
        <v>-0.29145394460252538</v>
      </c>
      <c r="AP156" s="315">
        <f t="shared" si="24"/>
        <v>-0.29145394460252538</v>
      </c>
      <c r="AQ156" s="304"/>
      <c r="AR156" s="304"/>
    </row>
    <row r="157" spans="3:44" x14ac:dyDescent="0.25">
      <c r="E157" s="32"/>
      <c r="F157" s="208" t="s">
        <v>232</v>
      </c>
      <c r="G157" t="s">
        <v>328</v>
      </c>
      <c r="H157" s="304"/>
      <c r="I157" s="304"/>
      <c r="J157" s="315">
        <f t="shared" ref="J157:AP157" si="25">hundred * $H23 * J60 / $H48 * J86 * (1 - J72) / hours_in_year</f>
        <v>0.14711759742890701</v>
      </c>
      <c r="K157" s="315">
        <f t="shared" si="25"/>
        <v>0.17565402013772194</v>
      </c>
      <c r="L157" s="315">
        <f t="shared" si="25"/>
        <v>5.0010430962431858E-2</v>
      </c>
      <c r="M157" s="315">
        <f t="shared" si="25"/>
        <v>0.1352139963211858</v>
      </c>
      <c r="N157" s="315">
        <f t="shared" si="25"/>
        <v>0.15258761336518889</v>
      </c>
      <c r="O157" s="315">
        <f t="shared" si="25"/>
        <v>2.5275479365072701E-2</v>
      </c>
      <c r="P157" s="315">
        <f t="shared" si="25"/>
        <v>0.14458416655573567</v>
      </c>
      <c r="Q157" s="315">
        <f t="shared" si="25"/>
        <v>0.10862909130847855</v>
      </c>
      <c r="R157" s="315">
        <f t="shared" si="25"/>
        <v>9.6048779131171755E-2</v>
      </c>
      <c r="S157" s="315">
        <f t="shared" si="25"/>
        <v>0.7938174753005478</v>
      </c>
      <c r="T157" s="315">
        <f t="shared" si="25"/>
        <v>0.73806705411339579</v>
      </c>
      <c r="U157" s="315">
        <f t="shared" si="25"/>
        <v>0.61722011678777222</v>
      </c>
      <c r="V157" s="315">
        <f t="shared" si="25"/>
        <v>0.58734128570631328</v>
      </c>
      <c r="W157" s="315">
        <f t="shared" si="25"/>
        <v>0.3386303445812775</v>
      </c>
      <c r="X157" s="315">
        <f t="shared" si="25"/>
        <v>8.6694251025904348E-2</v>
      </c>
      <c r="Y157" s="315">
        <f t="shared" si="25"/>
        <v>0.10630393421173165</v>
      </c>
      <c r="Z157" s="315">
        <f t="shared" si="25"/>
        <v>0.19217997279593421</v>
      </c>
      <c r="AA157" s="315">
        <f t="shared" si="25"/>
        <v>6.6697030503148291E-2</v>
      </c>
      <c r="AB157" s="315">
        <f t="shared" si="25"/>
        <v>1.8651520600313034</v>
      </c>
      <c r="AC157" s="315">
        <f t="shared" si="25"/>
        <v>-7.179501304962381E-2</v>
      </c>
      <c r="AD157" s="315">
        <f t="shared" si="25"/>
        <v>-6.9730406922964866E-2</v>
      </c>
      <c r="AE157" s="315">
        <f t="shared" si="25"/>
        <v>-7.179501304962381E-2</v>
      </c>
      <c r="AF157" s="315">
        <f t="shared" si="25"/>
        <v>-7.179501304962381E-2</v>
      </c>
      <c r="AG157" s="315">
        <f t="shared" si="25"/>
        <v>-0.52202515141838712</v>
      </c>
      <c r="AH157" s="315">
        <f t="shared" si="25"/>
        <v>-0.52202515141838712</v>
      </c>
      <c r="AI157" s="315">
        <f t="shared" si="25"/>
        <v>-6.9730406922964866E-2</v>
      </c>
      <c r="AJ157" s="315">
        <f t="shared" si="25"/>
        <v>-6.9730406922964866E-2</v>
      </c>
      <c r="AK157" s="315">
        <f t="shared" si="25"/>
        <v>-0.50701329641470438</v>
      </c>
      <c r="AL157" s="315">
        <f t="shared" si="25"/>
        <v>-0.50701329641470438</v>
      </c>
      <c r="AM157" s="315">
        <f t="shared" si="25"/>
        <v>-4.473613268576114E-2</v>
      </c>
      <c r="AN157" s="315">
        <f t="shared" si="25"/>
        <v>-4.473613268576114E-2</v>
      </c>
      <c r="AO157" s="315">
        <f t="shared" si="25"/>
        <v>-0.32527867113856435</v>
      </c>
      <c r="AP157" s="315">
        <f t="shared" si="25"/>
        <v>-0.32527867113856435</v>
      </c>
      <c r="AQ157" s="304"/>
      <c r="AR157" s="304"/>
    </row>
    <row r="158" spans="3:44" x14ac:dyDescent="0.25">
      <c r="E158" s="32"/>
      <c r="F158" s="208" t="s">
        <v>233</v>
      </c>
      <c r="G158" t="s">
        <v>328</v>
      </c>
      <c r="H158" s="304"/>
      <c r="I158" s="304"/>
      <c r="J158" s="315">
        <f t="shared" ref="J158:AP158" si="26">hundred * $H24 * J61 / $H49 * J87 * (1 - J73) / hours_in_year</f>
        <v>1.281638501264494E-2</v>
      </c>
      <c r="K158" s="315">
        <f t="shared" si="26"/>
        <v>1.5355061148858356E-2</v>
      </c>
      <c r="L158" s="315">
        <f t="shared" si="26"/>
        <v>3.8079646206413023E-3</v>
      </c>
      <c r="M158" s="315">
        <f t="shared" si="26"/>
        <v>1.1266046482756002E-2</v>
      </c>
      <c r="N158" s="315">
        <f t="shared" si="26"/>
        <v>1.2877159447709199E-2</v>
      </c>
      <c r="O158" s="315">
        <f t="shared" si="26"/>
        <v>1.7021763428380779E-3</v>
      </c>
      <c r="P158" s="315">
        <f t="shared" si="26"/>
        <v>1.2245320965578746E-2</v>
      </c>
      <c r="Q158" s="315">
        <f t="shared" si="26"/>
        <v>9.1945183275326161E-3</v>
      </c>
      <c r="R158" s="315">
        <f t="shared" si="26"/>
        <v>8.092827739741305E-3</v>
      </c>
      <c r="S158" s="315">
        <f t="shared" si="26"/>
        <v>7.9542345589216398E-2</v>
      </c>
      <c r="T158" s="315">
        <f t="shared" si="26"/>
        <v>7.3965806453371419E-2</v>
      </c>
      <c r="U158" s="315">
        <f t="shared" si="26"/>
        <v>6.1851553907737673E-2</v>
      </c>
      <c r="V158" s="315">
        <f t="shared" si="26"/>
        <v>5.8857399827094703E-2</v>
      </c>
      <c r="W158" s="315">
        <f t="shared" si="26"/>
        <v>3.3934106233718946E-2</v>
      </c>
      <c r="X158" s="315">
        <f t="shared" si="26"/>
        <v>7.3102807378045915E-3</v>
      </c>
      <c r="Y158" s="315">
        <f t="shared" si="26"/>
        <v>9.9609272333472092E-3</v>
      </c>
      <c r="Z158" s="315">
        <f t="shared" si="26"/>
        <v>1.8327936427095081E-2</v>
      </c>
      <c r="AA158" s="315">
        <f t="shared" si="26"/>
        <v>4.6713856669383415E-3</v>
      </c>
      <c r="AB158" s="315">
        <f t="shared" si="26"/>
        <v>0.18548521591746947</v>
      </c>
      <c r="AC158" s="315">
        <f t="shared" si="26"/>
        <v>-6.0456433030577584E-3</v>
      </c>
      <c r="AD158" s="315">
        <f t="shared" si="26"/>
        <v>-5.8717889965690835E-3</v>
      </c>
      <c r="AE158" s="315">
        <f t="shared" si="26"/>
        <v>-6.0456433030577584E-3</v>
      </c>
      <c r="AF158" s="315">
        <f t="shared" si="26"/>
        <v>-6.0456433030577584E-3</v>
      </c>
      <c r="AG158" s="315">
        <f t="shared" si="26"/>
        <v>-5.2312077840540275E-2</v>
      </c>
      <c r="AH158" s="315">
        <f t="shared" si="26"/>
        <v>-5.2312077840540275E-2</v>
      </c>
      <c r="AI158" s="315">
        <f t="shared" si="26"/>
        <v>-5.8717889965690835E-3</v>
      </c>
      <c r="AJ158" s="315">
        <f t="shared" si="26"/>
        <v>-5.8717889965690835E-3</v>
      </c>
      <c r="AK158" s="315">
        <f t="shared" si="26"/>
        <v>-5.0807741650320648E-2</v>
      </c>
      <c r="AL158" s="315">
        <f t="shared" si="26"/>
        <v>-5.0807741650320648E-2</v>
      </c>
      <c r="AM158" s="315">
        <f t="shared" si="26"/>
        <v>-3.7670959233538611E-3</v>
      </c>
      <c r="AN158" s="315">
        <f t="shared" si="26"/>
        <v>-3.7670959233538611E-3</v>
      </c>
      <c r="AO158" s="315">
        <f t="shared" si="26"/>
        <v>-3.259613663869286E-2</v>
      </c>
      <c r="AP158" s="315">
        <f t="shared" si="26"/>
        <v>-3.259613663869286E-2</v>
      </c>
      <c r="AQ158" s="304"/>
      <c r="AR158" s="304"/>
    </row>
    <row r="159" spans="3:44" x14ac:dyDescent="0.25">
      <c r="E159" s="32"/>
      <c r="F159" s="208" t="s">
        <v>234</v>
      </c>
      <c r="G159" t="s">
        <v>328</v>
      </c>
      <c r="H159" s="304"/>
      <c r="I159" s="304"/>
      <c r="J159" s="315">
        <f t="shared" ref="J159:AP159" si="27">hundred * $H25 * J62 / $H50 * J88 * (1 - J74) / hours_in_year</f>
        <v>0.17653923304256844</v>
      </c>
      <c r="K159" s="315">
        <f t="shared" si="27"/>
        <v>0.21078257487818525</v>
      </c>
      <c r="L159" s="315">
        <f t="shared" si="27"/>
        <v>6.001187676071492E-2</v>
      </c>
      <c r="M159" s="315">
        <f t="shared" si="27"/>
        <v>0.1622550641414465</v>
      </c>
      <c r="N159" s="315">
        <f t="shared" si="27"/>
        <v>0.18310318212138943</v>
      </c>
      <c r="O159" s="315">
        <f t="shared" si="27"/>
        <v>3.0330251580199079E-2</v>
      </c>
      <c r="P159" s="315">
        <f t="shared" si="27"/>
        <v>0.1734991484358839</v>
      </c>
      <c r="Q159" s="315">
        <f t="shared" si="27"/>
        <v>0.1303535185515598</v>
      </c>
      <c r="R159" s="315">
        <f t="shared" si="27"/>
        <v>0.12360052943845357</v>
      </c>
      <c r="S159" s="315">
        <f t="shared" si="27"/>
        <v>0.9525708053590789</v>
      </c>
      <c r="T159" s="315">
        <f t="shared" si="27"/>
        <v>0.88567101383049518</v>
      </c>
      <c r="U159" s="315">
        <f t="shared" si="27"/>
        <v>0.74065623651047796</v>
      </c>
      <c r="V159" s="315">
        <f t="shared" si="27"/>
        <v>0.70480202181751295</v>
      </c>
      <c r="W159" s="315">
        <f t="shared" si="27"/>
        <v>0.4357670160180957</v>
      </c>
      <c r="X159" s="315">
        <f t="shared" si="27"/>
        <v>0.10403199109276509</v>
      </c>
      <c r="Y159" s="315">
        <f t="shared" si="27"/>
        <v>0.1275633598095946</v>
      </c>
      <c r="Z159" s="315">
        <f t="shared" si="27"/>
        <v>0.23061350644970188</v>
      </c>
      <c r="AA159" s="315">
        <f t="shared" si="27"/>
        <v>8.003558253411909E-2</v>
      </c>
      <c r="AB159" s="315">
        <f t="shared" si="27"/>
        <v>2.2381585883688064</v>
      </c>
      <c r="AC159" s="315">
        <f t="shared" si="27"/>
        <v>-8.6153096309139102E-2</v>
      </c>
      <c r="AD159" s="315">
        <f t="shared" si="27"/>
        <v>-8.3675595394868851E-2</v>
      </c>
      <c r="AE159" s="315">
        <f t="shared" si="27"/>
        <v>-8.6153096309139102E-2</v>
      </c>
      <c r="AF159" s="315">
        <f t="shared" si="27"/>
        <v>-8.6153096309139102E-2</v>
      </c>
      <c r="AG159" s="315">
        <f t="shared" si="27"/>
        <v>-0.62642349705899081</v>
      </c>
      <c r="AH159" s="315">
        <f t="shared" si="27"/>
        <v>-0.62642349705899081</v>
      </c>
      <c r="AI159" s="315">
        <f t="shared" si="27"/>
        <v>-8.3675595394868851E-2</v>
      </c>
      <c r="AJ159" s="315">
        <f t="shared" si="27"/>
        <v>-8.3675595394868851E-2</v>
      </c>
      <c r="AK159" s="315">
        <f t="shared" si="27"/>
        <v>-0.60840946328456702</v>
      </c>
      <c r="AL159" s="315">
        <f t="shared" si="27"/>
        <v>-0.60840946328456702</v>
      </c>
      <c r="AM159" s="315">
        <f t="shared" si="27"/>
        <v>0</v>
      </c>
      <c r="AN159" s="315">
        <f t="shared" si="27"/>
        <v>0</v>
      </c>
      <c r="AO159" s="315">
        <f t="shared" si="27"/>
        <v>0</v>
      </c>
      <c r="AP159" s="315">
        <f t="shared" si="27"/>
        <v>0</v>
      </c>
      <c r="AQ159" s="304"/>
      <c r="AR159" s="304"/>
    </row>
    <row r="160" spans="3:44" x14ac:dyDescent="0.25">
      <c r="E160" s="32"/>
      <c r="F160" s="208" t="s">
        <v>235</v>
      </c>
      <c r="G160" t="s">
        <v>328</v>
      </c>
      <c r="H160" s="304"/>
      <c r="I160" s="304"/>
      <c r="J160" s="315">
        <f t="shared" ref="J160:AP160" si="28">hundred * $H26 * J63 / $H51 * J89 * (1 - J75) / hours_in_year</f>
        <v>4.5159782156916989E-2</v>
      </c>
      <c r="K160" s="315">
        <f t="shared" si="28"/>
        <v>5.3919431958094122E-2</v>
      </c>
      <c r="L160" s="315">
        <f t="shared" si="28"/>
        <v>1.5351393764626532E-2</v>
      </c>
      <c r="M160" s="315">
        <f t="shared" si="28"/>
        <v>4.1505807090016542E-2</v>
      </c>
      <c r="N160" s="315">
        <f t="shared" si="28"/>
        <v>4.6838879235678942E-2</v>
      </c>
      <c r="O160" s="315">
        <f t="shared" si="28"/>
        <v>7.7586581210308302E-3</v>
      </c>
      <c r="P160" s="315">
        <f t="shared" si="28"/>
        <v>4.4382110496004282E-2</v>
      </c>
      <c r="Q160" s="315">
        <f t="shared" si="28"/>
        <v>3.3345202648278338E-2</v>
      </c>
      <c r="R160" s="315">
        <f t="shared" si="28"/>
        <v>0</v>
      </c>
      <c r="S160" s="315">
        <f t="shared" si="28"/>
        <v>0.24367325787963628</v>
      </c>
      <c r="T160" s="315">
        <f t="shared" si="28"/>
        <v>0.22655989469285101</v>
      </c>
      <c r="U160" s="315">
        <f t="shared" si="28"/>
        <v>0.18946425515460336</v>
      </c>
      <c r="V160" s="315">
        <f t="shared" si="28"/>
        <v>0.18029253452890426</v>
      </c>
      <c r="W160" s="315">
        <f t="shared" si="28"/>
        <v>0</v>
      </c>
      <c r="X160" s="315">
        <f t="shared" si="28"/>
        <v>2.6611999917133262E-2</v>
      </c>
      <c r="Y160" s="315">
        <f t="shared" si="28"/>
        <v>3.2631463504866606E-2</v>
      </c>
      <c r="Z160" s="315">
        <f t="shared" si="28"/>
        <v>5.8992301791636871E-2</v>
      </c>
      <c r="AA160" s="315">
        <f t="shared" si="28"/>
        <v>2.0473576381581086E-2</v>
      </c>
      <c r="AB160" s="315">
        <f t="shared" si="28"/>
        <v>0.57253423242750956</v>
      </c>
      <c r="AC160" s="315">
        <f t="shared" si="28"/>
        <v>-2.2038472663617317E-2</v>
      </c>
      <c r="AD160" s="315">
        <f t="shared" si="28"/>
        <v>0</v>
      </c>
      <c r="AE160" s="315">
        <f t="shared" si="28"/>
        <v>-2.2038472663617317E-2</v>
      </c>
      <c r="AF160" s="315">
        <f t="shared" si="28"/>
        <v>-2.2038472663617317E-2</v>
      </c>
      <c r="AG160" s="315">
        <f t="shared" si="28"/>
        <v>-0.16024284334767033</v>
      </c>
      <c r="AH160" s="315">
        <f t="shared" si="28"/>
        <v>-0.16024284334767033</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236</v>
      </c>
      <c r="G161" s="37" t="s">
        <v>328</v>
      </c>
      <c r="H161" s="308"/>
      <c r="I161" s="308"/>
      <c r="J161" s="316">
        <f t="shared" ref="J161:AP161" si="29">hundred * $H27 * J64 / $H52 * J90 * (1 - J76) / hours_in_year</f>
        <v>1.8952110515797989E-2</v>
      </c>
      <c r="K161" s="316">
        <f t="shared" si="29"/>
        <v>2.262825426987429E-2</v>
      </c>
      <c r="L161" s="316">
        <f t="shared" si="29"/>
        <v>6.4424870383076351E-3</v>
      </c>
      <c r="M161" s="316">
        <f t="shared" si="29"/>
        <v>1.7418654507324726E-2</v>
      </c>
      <c r="N161" s="316">
        <f t="shared" si="29"/>
        <v>1.9656773644882101E-2</v>
      </c>
      <c r="O161" s="316">
        <f t="shared" si="29"/>
        <v>3.2560596872043971E-3</v>
      </c>
      <c r="P161" s="316">
        <f t="shared" si="29"/>
        <v>1.8625746690316948E-2</v>
      </c>
      <c r="Q161" s="316">
        <f t="shared" si="29"/>
        <v>0</v>
      </c>
      <c r="R161" s="316">
        <f t="shared" si="29"/>
        <v>0</v>
      </c>
      <c r="S161" s="316">
        <f t="shared" si="29"/>
        <v>0.10226184211945021</v>
      </c>
      <c r="T161" s="316">
        <f t="shared" si="29"/>
        <v>9.5079913090519622E-2</v>
      </c>
      <c r="U161" s="316">
        <f t="shared" si="29"/>
        <v>7.9512064296647797E-2</v>
      </c>
      <c r="V161" s="316">
        <f t="shared" si="29"/>
        <v>0</v>
      </c>
      <c r="W161" s="316">
        <f t="shared" si="29"/>
        <v>0</v>
      </c>
      <c r="X161" s="316">
        <f t="shared" si="29"/>
        <v>1.1168201868721061E-2</v>
      </c>
      <c r="Y161" s="316">
        <f t="shared" si="29"/>
        <v>1.3694377454868584E-2</v>
      </c>
      <c r="Z161" s="316">
        <f t="shared" si="29"/>
        <v>2.4757174851986405E-2</v>
      </c>
      <c r="AA161" s="316">
        <f t="shared" si="29"/>
        <v>8.5921026122116641E-3</v>
      </c>
      <c r="AB161" s="316">
        <f t="shared" si="29"/>
        <v>0.2402742335944098</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735</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226</v>
      </c>
      <c r="G164" s="23" t="s">
        <v>328</v>
      </c>
      <c r="H164" s="302"/>
      <c r="I164" s="302"/>
      <c r="J164" s="314">
        <f t="shared" ref="J164:AP164" si="30">hundred * $H30 * J55 / $H43 * J81 / hours_in_year</f>
        <v>7.5224465739553589E-2</v>
      </c>
      <c r="K164" s="314">
        <f t="shared" si="30"/>
        <v>9.0275130452876995E-2</v>
      </c>
      <c r="L164" s="314">
        <f t="shared" si="30"/>
        <v>1.9569916463561134E-2</v>
      </c>
      <c r="M164" s="314">
        <f t="shared" si="30"/>
        <v>6.314487394393653E-2</v>
      </c>
      <c r="N164" s="314">
        <f t="shared" si="30"/>
        <v>7.3092518381714988E-2</v>
      </c>
      <c r="O164" s="314">
        <f t="shared" si="30"/>
        <v>7.6959353951705977E-3</v>
      </c>
      <c r="P164" s="314">
        <f t="shared" si="30"/>
        <v>6.9720833315190786E-2</v>
      </c>
      <c r="Q164" s="314">
        <f t="shared" si="30"/>
        <v>5.2322618105660509E-2</v>
      </c>
      <c r="R164" s="314">
        <f t="shared" si="30"/>
        <v>7.0680570180624361E-2</v>
      </c>
      <c r="S164" s="314">
        <f t="shared" si="30"/>
        <v>0.52179338011400589</v>
      </c>
      <c r="T164" s="314">
        <f t="shared" si="30"/>
        <v>0.48527435609656067</v>
      </c>
      <c r="U164" s="314">
        <f t="shared" si="30"/>
        <v>0.40575170138526651</v>
      </c>
      <c r="V164" s="314">
        <f t="shared" si="30"/>
        <v>0.38610978399313867</v>
      </c>
      <c r="W164" s="314">
        <f t="shared" si="30"/>
        <v>0.34333887930170059</v>
      </c>
      <c r="X164" s="314">
        <f t="shared" si="30"/>
        <v>4.1723179398164577E-2</v>
      </c>
      <c r="Y164" s="314">
        <f t="shared" si="30"/>
        <v>5.7881229666073113E-2</v>
      </c>
      <c r="Z164" s="314">
        <f t="shared" si="30"/>
        <v>0.10738110083716003</v>
      </c>
      <c r="AA164" s="314">
        <f t="shared" si="30"/>
        <v>2.5666537610813528E-2</v>
      </c>
      <c r="AB164" s="314">
        <f t="shared" si="30"/>
        <v>1.0989740579068357</v>
      </c>
      <c r="AC164" s="314">
        <f t="shared" si="30"/>
        <v>-3.4494121560325754E-2</v>
      </c>
      <c r="AD164" s="314">
        <f t="shared" si="30"/>
        <v>-3.3502175578535305E-2</v>
      </c>
      <c r="AE164" s="314">
        <f t="shared" si="30"/>
        <v>-3.4494121560325754E-2</v>
      </c>
      <c r="AF164" s="314">
        <f t="shared" si="30"/>
        <v>-3.4494121560325754E-2</v>
      </c>
      <c r="AG164" s="314">
        <f t="shared" si="30"/>
        <v>-0.34317188891421468</v>
      </c>
      <c r="AH164" s="314">
        <f t="shared" si="30"/>
        <v>-0.34317188891421468</v>
      </c>
      <c r="AI164" s="314">
        <f t="shared" si="30"/>
        <v>-3.3502175578535305E-2</v>
      </c>
      <c r="AJ164" s="314">
        <f t="shared" si="30"/>
        <v>-3.3502175578535305E-2</v>
      </c>
      <c r="AK164" s="314">
        <f t="shared" si="30"/>
        <v>-0.33330330954840692</v>
      </c>
      <c r="AL164" s="314">
        <f t="shared" si="30"/>
        <v>-0.33330330954840692</v>
      </c>
      <c r="AM164" s="314">
        <f t="shared" si="30"/>
        <v>-3.3150194746287089E-2</v>
      </c>
      <c r="AN164" s="314">
        <f t="shared" si="30"/>
        <v>-3.3150194746287089E-2</v>
      </c>
      <c r="AO164" s="314">
        <f t="shared" si="30"/>
        <v>-0.32980155557989466</v>
      </c>
      <c r="AP164" s="314">
        <f t="shared" si="30"/>
        <v>-0.32980155557989466</v>
      </c>
      <c r="AQ164" s="304"/>
      <c r="AR164" s="304"/>
    </row>
    <row r="165" spans="3:44" x14ac:dyDescent="0.25">
      <c r="D165" s="32"/>
      <c r="E165" s="32"/>
      <c r="F165" s="208" t="s">
        <v>228</v>
      </c>
      <c r="G165" t="s">
        <v>328</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229</v>
      </c>
      <c r="G166" t="s">
        <v>328</v>
      </c>
      <c r="H166" s="304"/>
      <c r="I166" s="304"/>
      <c r="J166" s="315">
        <f t="shared" ref="J166:AP166" si="32">hundred * $H32 * J57 / $H45 * J83 / hours_in_year</f>
        <v>8.0468586228262348E-2</v>
      </c>
      <c r="K166" s="315">
        <f t="shared" si="32"/>
        <v>9.6407845182403487E-2</v>
      </c>
      <c r="L166" s="315">
        <f t="shared" si="32"/>
        <v>2.390857711655232E-2</v>
      </c>
      <c r="M166" s="315">
        <f t="shared" si="32"/>
        <v>7.0734675335894434E-2</v>
      </c>
      <c r="N166" s="315">
        <f t="shared" si="32"/>
        <v>8.0850162847848697E-2</v>
      </c>
      <c r="O166" s="315">
        <f t="shared" si="32"/>
        <v>1.0687235416557373E-2</v>
      </c>
      <c r="P166" s="315">
        <f t="shared" si="32"/>
        <v>7.6883119931184934E-2</v>
      </c>
      <c r="Q166" s="315">
        <f t="shared" si="32"/>
        <v>5.7728438255906359E-2</v>
      </c>
      <c r="R166" s="315">
        <f t="shared" si="32"/>
        <v>7.8367854575944834E-2</v>
      </c>
      <c r="S166" s="315">
        <f t="shared" si="32"/>
        <v>0.49941228267792087</v>
      </c>
      <c r="T166" s="315">
        <f t="shared" si="32"/>
        <v>0.46439958448999286</v>
      </c>
      <c r="U166" s="315">
        <f t="shared" si="32"/>
        <v>0.3883393869695923</v>
      </c>
      <c r="V166" s="315">
        <f t="shared" si="32"/>
        <v>0.3695403772971137</v>
      </c>
      <c r="W166" s="315">
        <f t="shared" si="32"/>
        <v>0.32860493118240491</v>
      </c>
      <c r="X166" s="315">
        <f t="shared" si="32"/>
        <v>4.5898118332310951E-2</v>
      </c>
      <c r="Y166" s="315">
        <f t="shared" si="32"/>
        <v>6.2540391163282555E-2</v>
      </c>
      <c r="Z166" s="315">
        <f t="shared" si="32"/>
        <v>0.11507325437826006</v>
      </c>
      <c r="AA166" s="315">
        <f t="shared" si="32"/>
        <v>2.9329627658237902E-2</v>
      </c>
      <c r="AB166" s="315">
        <f t="shared" si="32"/>
        <v>1.1645821404707084</v>
      </c>
      <c r="AC166" s="315">
        <f t="shared" si="32"/>
        <v>-3.7958002116622071E-2</v>
      </c>
      <c r="AD166" s="315">
        <f t="shared" si="32"/>
        <v>-3.6866445469483589E-2</v>
      </c>
      <c r="AE166" s="315">
        <f t="shared" si="32"/>
        <v>-3.7958002116622071E-2</v>
      </c>
      <c r="AF166" s="315">
        <f t="shared" si="32"/>
        <v>-3.7958002116622071E-2</v>
      </c>
      <c r="AG166" s="315">
        <f t="shared" si="32"/>
        <v>-0.32844510697344992</v>
      </c>
      <c r="AH166" s="315">
        <f t="shared" si="32"/>
        <v>-0.32844510697344992</v>
      </c>
      <c r="AI166" s="315">
        <f t="shared" si="32"/>
        <v>-3.6866445469483589E-2</v>
      </c>
      <c r="AJ166" s="315">
        <f t="shared" si="32"/>
        <v>-3.6866445469483589E-2</v>
      </c>
      <c r="AK166" s="315">
        <f t="shared" si="32"/>
        <v>-0.3190000250474973</v>
      </c>
      <c r="AL166" s="315">
        <f t="shared" si="32"/>
        <v>-0.3190000250474973</v>
      </c>
      <c r="AM166" s="315">
        <f t="shared" si="32"/>
        <v>-3.6479118917273158E-2</v>
      </c>
      <c r="AN166" s="315">
        <f t="shared" si="32"/>
        <v>-3.6479118917273158E-2</v>
      </c>
      <c r="AO166" s="315">
        <f t="shared" si="32"/>
        <v>-0.31564854436409467</v>
      </c>
      <c r="AP166" s="315">
        <f t="shared" si="32"/>
        <v>-0.31564854436409467</v>
      </c>
      <c r="AQ166" s="304"/>
      <c r="AR166" s="304"/>
    </row>
    <row r="167" spans="3:44" x14ac:dyDescent="0.25">
      <c r="D167" s="32"/>
      <c r="E167" s="32"/>
      <c r="F167" s="208" t="s">
        <v>230</v>
      </c>
      <c r="G167" t="s">
        <v>328</v>
      </c>
      <c r="H167" s="304"/>
      <c r="I167" s="304"/>
      <c r="J167" s="315">
        <f t="shared" ref="J167:AP167" si="33">hundred * $H33 * J58 / $H46 * J84 / hours_in_year</f>
        <v>4.2044085454413738E-2</v>
      </c>
      <c r="K167" s="315">
        <f t="shared" si="33"/>
        <v>5.0372199529227286E-2</v>
      </c>
      <c r="L167" s="315">
        <f t="shared" si="33"/>
        <v>1.2492008453215662E-2</v>
      </c>
      <c r="M167" s="315">
        <f t="shared" si="33"/>
        <v>3.6958207839968629E-2</v>
      </c>
      <c r="N167" s="315">
        <f t="shared" si="33"/>
        <v>4.2243455677668143E-2</v>
      </c>
      <c r="O167" s="315">
        <f t="shared" si="33"/>
        <v>5.5839807828928752E-3</v>
      </c>
      <c r="P167" s="315">
        <f t="shared" si="33"/>
        <v>4.0170712770064308E-2</v>
      </c>
      <c r="Q167" s="315">
        <f t="shared" si="33"/>
        <v>3.0162570326464962E-2</v>
      </c>
      <c r="R167" s="315">
        <f t="shared" si="33"/>
        <v>4.0946472767938974E-2</v>
      </c>
      <c r="S167" s="315">
        <f t="shared" si="33"/>
        <v>0.26093825769887341</v>
      </c>
      <c r="T167" s="315">
        <f t="shared" si="33"/>
        <v>0.24264444959806925</v>
      </c>
      <c r="U167" s="315">
        <f t="shared" si="33"/>
        <v>0.20290370610897657</v>
      </c>
      <c r="V167" s="315">
        <f t="shared" si="33"/>
        <v>0.19308139896807588</v>
      </c>
      <c r="W167" s="315">
        <f t="shared" si="33"/>
        <v>0.17169301034050388</v>
      </c>
      <c r="X167" s="315">
        <f t="shared" si="33"/>
        <v>2.3981338554730398E-2</v>
      </c>
      <c r="Y167" s="315">
        <f t="shared" si="33"/>
        <v>3.2676770820387439E-2</v>
      </c>
      <c r="Z167" s="315">
        <f t="shared" si="33"/>
        <v>6.0124701667714789E-2</v>
      </c>
      <c r="AA167" s="315">
        <f t="shared" si="33"/>
        <v>1.5324456777593861E-2</v>
      </c>
      <c r="AB167" s="315">
        <f t="shared" si="33"/>
        <v>0.60848330171653198</v>
      </c>
      <c r="AC167" s="315">
        <f t="shared" si="33"/>
        <v>-1.983270192100824E-2</v>
      </c>
      <c r="AD167" s="315">
        <f t="shared" si="33"/>
        <v>-1.9262373758159205E-2</v>
      </c>
      <c r="AE167" s="315">
        <f t="shared" si="33"/>
        <v>-1.983270192100824E-2</v>
      </c>
      <c r="AF167" s="315">
        <f t="shared" si="33"/>
        <v>-1.983270192100824E-2</v>
      </c>
      <c r="AG167" s="315">
        <f t="shared" si="33"/>
        <v>-0.17160950368263961</v>
      </c>
      <c r="AH167" s="315">
        <f t="shared" si="33"/>
        <v>-0.17160950368263961</v>
      </c>
      <c r="AI167" s="315">
        <f t="shared" si="33"/>
        <v>-1.9262373758159205E-2</v>
      </c>
      <c r="AJ167" s="315">
        <f t="shared" si="33"/>
        <v>-1.9262373758159205E-2</v>
      </c>
      <c r="AK167" s="315">
        <f t="shared" si="33"/>
        <v>-0.16667453650809241</v>
      </c>
      <c r="AL167" s="315">
        <f t="shared" si="33"/>
        <v>-0.16667453650809241</v>
      </c>
      <c r="AM167" s="315">
        <f t="shared" si="33"/>
        <v>-1.9059999248761162E-2</v>
      </c>
      <c r="AN167" s="315">
        <f t="shared" si="33"/>
        <v>-1.9059999248761162E-2</v>
      </c>
      <c r="AO167" s="315">
        <f t="shared" si="33"/>
        <v>-0.16492341912357567</v>
      </c>
      <c r="AP167" s="315">
        <f t="shared" si="33"/>
        <v>-0.16492341912357567</v>
      </c>
      <c r="AQ167" s="304"/>
      <c r="AR167" s="304"/>
    </row>
    <row r="168" spans="3:44" x14ac:dyDescent="0.25">
      <c r="D168" s="32"/>
      <c r="E168" s="32"/>
      <c r="F168" s="208" t="s">
        <v>231</v>
      </c>
      <c r="G168" t="s">
        <v>328</v>
      </c>
      <c r="H168" s="304"/>
      <c r="I168" s="304"/>
      <c r="J168" s="315">
        <f t="shared" ref="J168:AP168" si="34">hundred * $H34 * J59 / $H47 * J85 / hours_in_year</f>
        <v>5.0205047644649572E-2</v>
      </c>
      <c r="K168" s="315">
        <f t="shared" si="34"/>
        <v>5.9943328358459051E-2</v>
      </c>
      <c r="L168" s="315">
        <f t="shared" si="34"/>
        <v>1.7066456447616032E-2</v>
      </c>
      <c r="M168" s="315">
        <f t="shared" si="34"/>
        <v>4.6142849299921712E-2</v>
      </c>
      <c r="N168" s="315">
        <f t="shared" si="34"/>
        <v>5.2071733992832582E-2</v>
      </c>
      <c r="O168" s="315">
        <f t="shared" si="34"/>
        <v>8.6254579189824088E-3</v>
      </c>
      <c r="P168" s="315">
        <f t="shared" si="34"/>
        <v>4.9340494253927863E-2</v>
      </c>
      <c r="Q168" s="315">
        <f t="shared" si="34"/>
        <v>3.7070539487110712E-2</v>
      </c>
      <c r="R168" s="315">
        <f t="shared" si="34"/>
        <v>5.055352507769565E-2</v>
      </c>
      <c r="S168" s="315">
        <f t="shared" si="34"/>
        <v>0.27089651316443147</v>
      </c>
      <c r="T168" s="315">
        <f t="shared" si="34"/>
        <v>0.2518712395001928</v>
      </c>
      <c r="U168" s="315">
        <f t="shared" si="34"/>
        <v>0.21063126309917266</v>
      </c>
      <c r="V168" s="315">
        <f t="shared" si="34"/>
        <v>0.20043487487487491</v>
      </c>
      <c r="W168" s="315">
        <f t="shared" si="34"/>
        <v>0.17823191269801919</v>
      </c>
      <c r="X168" s="315">
        <f t="shared" si="34"/>
        <v>2.9585101166269591E-2</v>
      </c>
      <c r="Y168" s="315">
        <f t="shared" si="34"/>
        <v>3.6277061175449966E-2</v>
      </c>
      <c r="Z168" s="315">
        <f t="shared" si="34"/>
        <v>6.5582940852672786E-2</v>
      </c>
      <c r="AA168" s="315">
        <f t="shared" si="34"/>
        <v>2.2760890965374456E-2</v>
      </c>
      <c r="AB168" s="315">
        <f t="shared" si="34"/>
        <v>0.63649794229163115</v>
      </c>
      <c r="AC168" s="315">
        <f t="shared" si="34"/>
        <v>-2.4500617966837199E-2</v>
      </c>
      <c r="AD168" s="315">
        <f t="shared" si="34"/>
        <v>-2.3796054741445777E-2</v>
      </c>
      <c r="AE168" s="315">
        <f t="shared" si="34"/>
        <v>-2.4500617966837199E-2</v>
      </c>
      <c r="AF168" s="315">
        <f t="shared" si="34"/>
        <v>-2.4500617966837199E-2</v>
      </c>
      <c r="AG168" s="315">
        <f t="shared" si="34"/>
        <v>-0.17814522570170718</v>
      </c>
      <c r="AH168" s="315">
        <f t="shared" si="34"/>
        <v>-0.17814522570170718</v>
      </c>
      <c r="AI168" s="315">
        <f t="shared" si="34"/>
        <v>-2.3796054741445777E-2</v>
      </c>
      <c r="AJ168" s="315">
        <f t="shared" si="34"/>
        <v>-2.3796054741445777E-2</v>
      </c>
      <c r="AK168" s="315">
        <f t="shared" si="34"/>
        <v>-0.17302231104794749</v>
      </c>
      <c r="AL168" s="315">
        <f t="shared" si="34"/>
        <v>-0.17302231104794749</v>
      </c>
      <c r="AM168" s="315">
        <f t="shared" si="34"/>
        <v>-2.3546048435661729E-2</v>
      </c>
      <c r="AN168" s="315">
        <f t="shared" si="34"/>
        <v>-2.3546048435661729E-2</v>
      </c>
      <c r="AO168" s="315">
        <f t="shared" si="34"/>
        <v>-0.1712045026224199</v>
      </c>
      <c r="AP168" s="315">
        <f t="shared" si="34"/>
        <v>-0.1712045026224199</v>
      </c>
      <c r="AQ168" s="304"/>
      <c r="AR168" s="304"/>
    </row>
    <row r="169" spans="3:44" x14ac:dyDescent="0.25">
      <c r="D169" s="32"/>
      <c r="E169" s="32"/>
      <c r="F169" s="208" t="s">
        <v>232</v>
      </c>
      <c r="G169" t="s">
        <v>328</v>
      </c>
      <c r="H169" s="304"/>
      <c r="I169" s="304"/>
      <c r="J169" s="315">
        <f t="shared" ref="J169:AP169" si="35">hundred * $H35 * J60 / $H48 * J86 / hours_in_year</f>
        <v>8.0765582279123074E-2</v>
      </c>
      <c r="K169" s="315">
        <f t="shared" si="35"/>
        <v>9.6431694535710072E-2</v>
      </c>
      <c r="L169" s="315">
        <f t="shared" si="35"/>
        <v>2.7455053965672303E-2</v>
      </c>
      <c r="M169" s="315">
        <f t="shared" si="35"/>
        <v>7.4230665372611582E-2</v>
      </c>
      <c r="N169" s="315">
        <f t="shared" si="35"/>
        <v>8.3768547457258077E-2</v>
      </c>
      <c r="O169" s="315">
        <f t="shared" si="35"/>
        <v>1.3875898220065319E-2</v>
      </c>
      <c r="P169" s="315">
        <f t="shared" si="35"/>
        <v>7.937476280401258E-2</v>
      </c>
      <c r="Q169" s="315">
        <f t="shared" si="35"/>
        <v>5.9635910083571025E-2</v>
      </c>
      <c r="R169" s="315">
        <f t="shared" si="35"/>
        <v>8.132618293805105E-2</v>
      </c>
      <c r="S169" s="315">
        <f t="shared" si="35"/>
        <v>0.43579511721549241</v>
      </c>
      <c r="T169" s="315">
        <f t="shared" si="35"/>
        <v>0.40518888581844564</v>
      </c>
      <c r="U169" s="315">
        <f t="shared" si="35"/>
        <v>0.33884554259963579</v>
      </c>
      <c r="V169" s="315">
        <f t="shared" si="35"/>
        <v>0.32244246620165601</v>
      </c>
      <c r="W169" s="315">
        <f t="shared" si="35"/>
        <v>0.28672424158751791</v>
      </c>
      <c r="X169" s="315">
        <f t="shared" si="35"/>
        <v>4.7593977788708969E-2</v>
      </c>
      <c r="Y169" s="315">
        <f t="shared" si="35"/>
        <v>5.8359430110466869E-2</v>
      </c>
      <c r="Z169" s="315">
        <f t="shared" si="35"/>
        <v>0.10550422027351468</v>
      </c>
      <c r="AA169" s="315">
        <f t="shared" si="35"/>
        <v>3.6615772681295518E-2</v>
      </c>
      <c r="AB169" s="315">
        <f t="shared" si="35"/>
        <v>1.0239433949451855</v>
      </c>
      <c r="AC169" s="315">
        <f t="shared" si="35"/>
        <v>-3.9414496532219415E-2</v>
      </c>
      <c r="AD169" s="315">
        <f t="shared" si="35"/>
        <v>-3.8281055537322563E-2</v>
      </c>
      <c r="AE169" s="315">
        <f t="shared" si="35"/>
        <v>-3.9414496532219415E-2</v>
      </c>
      <c r="AF169" s="315">
        <f t="shared" si="35"/>
        <v>-3.9414496532219415E-2</v>
      </c>
      <c r="AG169" s="315">
        <f t="shared" si="35"/>
        <v>-0.28658478696967304</v>
      </c>
      <c r="AH169" s="315">
        <f t="shared" si="35"/>
        <v>-0.28658478696967304</v>
      </c>
      <c r="AI169" s="315">
        <f t="shared" si="35"/>
        <v>-3.8281055537322563E-2</v>
      </c>
      <c r="AJ169" s="315">
        <f t="shared" si="35"/>
        <v>-3.8281055537322563E-2</v>
      </c>
      <c r="AK169" s="315">
        <f t="shared" si="35"/>
        <v>-0.27834348047982155</v>
      </c>
      <c r="AL169" s="315">
        <f t="shared" si="35"/>
        <v>-0.27834348047982155</v>
      </c>
      <c r="AM169" s="315">
        <f t="shared" si="35"/>
        <v>-3.7878866797197881E-2</v>
      </c>
      <c r="AN169" s="315">
        <f t="shared" si="35"/>
        <v>-3.7878866797197881E-2</v>
      </c>
      <c r="AO169" s="315">
        <f t="shared" si="35"/>
        <v>-0.27541914591890659</v>
      </c>
      <c r="AP169" s="315">
        <f t="shared" si="35"/>
        <v>-0.27541914591890659</v>
      </c>
      <c r="AQ169" s="304"/>
      <c r="AR169" s="304"/>
    </row>
    <row r="170" spans="3:44" x14ac:dyDescent="0.25">
      <c r="D170" s="32"/>
      <c r="E170" s="32"/>
      <c r="F170" s="208" t="s">
        <v>233</v>
      </c>
      <c r="G170" t="s">
        <v>328</v>
      </c>
      <c r="H170" s="304"/>
      <c r="I170" s="304"/>
      <c r="J170" s="315">
        <f t="shared" ref="J170:AP170" si="36">hundred * $H36 * J61 / $H49 * J87 / hours_in_year</f>
        <v>7.0360229935097131E-3</v>
      </c>
      <c r="K170" s="315">
        <f t="shared" si="36"/>
        <v>8.4297220474823225E-3</v>
      </c>
      <c r="L170" s="315">
        <f t="shared" si="36"/>
        <v>2.090521360186135E-3</v>
      </c>
      <c r="M170" s="315">
        <f t="shared" si="36"/>
        <v>6.1849079924185075E-3</v>
      </c>
      <c r="N170" s="315">
        <f t="shared" si="36"/>
        <v>7.0693873409530678E-3</v>
      </c>
      <c r="O170" s="315">
        <f t="shared" si="36"/>
        <v>9.3447191820475472E-4</v>
      </c>
      <c r="P170" s="315">
        <f t="shared" si="36"/>
        <v>6.7225165123950938E-3</v>
      </c>
      <c r="Q170" s="315">
        <f t="shared" si="36"/>
        <v>5.0476668969400111E-3</v>
      </c>
      <c r="R170" s="315">
        <f t="shared" si="36"/>
        <v>6.8523389386293222E-3</v>
      </c>
      <c r="S170" s="315">
        <f t="shared" si="36"/>
        <v>4.366767789600947E-2</v>
      </c>
      <c r="T170" s="315">
        <f t="shared" si="36"/>
        <v>4.0606232914035201E-2</v>
      </c>
      <c r="U170" s="315">
        <f t="shared" si="36"/>
        <v>3.3955671201339563E-2</v>
      </c>
      <c r="V170" s="315">
        <f t="shared" si="36"/>
        <v>3.2311920881984313E-2</v>
      </c>
      <c r="W170" s="315">
        <f t="shared" si="36"/>
        <v>2.8732601875488491E-2</v>
      </c>
      <c r="X170" s="315">
        <f t="shared" si="36"/>
        <v>4.0132458028888018E-3</v>
      </c>
      <c r="Y170" s="315">
        <f t="shared" si="36"/>
        <v>5.468415078148812E-3</v>
      </c>
      <c r="Z170" s="315">
        <f t="shared" si="36"/>
        <v>1.00617905905132E-2</v>
      </c>
      <c r="AA170" s="315">
        <f t="shared" si="36"/>
        <v>2.5645279017212398E-3</v>
      </c>
      <c r="AB170" s="315">
        <f t="shared" si="36"/>
        <v>0.10182888879070102</v>
      </c>
      <c r="AC170" s="315">
        <f t="shared" si="36"/>
        <v>-3.3189768603942636E-3</v>
      </c>
      <c r="AD170" s="315">
        <f t="shared" si="36"/>
        <v>-3.2235331844460043E-3</v>
      </c>
      <c r="AE170" s="315">
        <f t="shared" si="36"/>
        <v>-3.3189768603942636E-3</v>
      </c>
      <c r="AF170" s="315">
        <f t="shared" si="36"/>
        <v>-3.3189768603942636E-3</v>
      </c>
      <c r="AG170" s="315">
        <f t="shared" si="36"/>
        <v>-2.8718627144952807E-2</v>
      </c>
      <c r="AH170" s="315">
        <f t="shared" si="36"/>
        <v>-2.8718627144952807E-2</v>
      </c>
      <c r="AI170" s="315">
        <f t="shared" si="36"/>
        <v>-3.2235331844460043E-3</v>
      </c>
      <c r="AJ170" s="315">
        <f t="shared" si="36"/>
        <v>-3.2235331844460043E-3</v>
      </c>
      <c r="AK170" s="315">
        <f t="shared" si="36"/>
        <v>-2.7892766809615565E-2</v>
      </c>
      <c r="AL170" s="315">
        <f t="shared" si="36"/>
        <v>-2.7892766809615565E-2</v>
      </c>
      <c r="AM170" s="315">
        <f t="shared" si="36"/>
        <v>-3.1896660736256558E-3</v>
      </c>
      <c r="AN170" s="315">
        <f t="shared" si="36"/>
        <v>-3.1896660736256558E-3</v>
      </c>
      <c r="AO170" s="315">
        <f t="shared" si="36"/>
        <v>-2.7599719593850748E-2</v>
      </c>
      <c r="AP170" s="315">
        <f t="shared" si="36"/>
        <v>-2.7599719593850748E-2</v>
      </c>
      <c r="AQ170" s="304"/>
      <c r="AR170" s="304"/>
    </row>
    <row r="171" spans="3:44" x14ac:dyDescent="0.25">
      <c r="D171" s="32"/>
      <c r="E171" s="32"/>
      <c r="F171" s="208" t="s">
        <v>234</v>
      </c>
      <c r="G171" t="s">
        <v>328</v>
      </c>
      <c r="H171" s="304"/>
      <c r="I171" s="304"/>
      <c r="J171" s="315">
        <f t="shared" ref="J171:AP171" si="37">hundred * $H37 * J62 / $H50 * J88 / hours_in_year</f>
        <v>0.18607007370362552</v>
      </c>
      <c r="K171" s="315">
        <f t="shared" si="37"/>
        <v>0.22216211414924864</v>
      </c>
      <c r="L171" s="315">
        <f t="shared" si="37"/>
        <v>6.3251743759794116E-2</v>
      </c>
      <c r="M171" s="315">
        <f t="shared" si="37"/>
        <v>0.17101474399350999</v>
      </c>
      <c r="N171" s="315">
        <f t="shared" si="37"/>
        <v>0.19298839133667298</v>
      </c>
      <c r="O171" s="315">
        <f t="shared" si="37"/>
        <v>3.1967693807847988E-2</v>
      </c>
      <c r="P171" s="315">
        <f t="shared" si="37"/>
        <v>0.1828658637550378</v>
      </c>
      <c r="Q171" s="315">
        <f t="shared" si="37"/>
        <v>0.13739092657419183</v>
      </c>
      <c r="R171" s="315">
        <f t="shared" si="37"/>
        <v>0.18736160164141136</v>
      </c>
      <c r="S171" s="315">
        <f t="shared" si="37"/>
        <v>1.00399733762493</v>
      </c>
      <c r="T171" s="315">
        <f t="shared" si="37"/>
        <v>0.93348582057603013</v>
      </c>
      <c r="U171" s="315">
        <f t="shared" si="37"/>
        <v>0.78064211643722181</v>
      </c>
      <c r="V171" s="315">
        <f t="shared" si="37"/>
        <v>0.74285223678538848</v>
      </c>
      <c r="W171" s="315">
        <f t="shared" si="37"/>
        <v>0.66056356258817095</v>
      </c>
      <c r="X171" s="315">
        <f t="shared" si="37"/>
        <v>0.10964837626488474</v>
      </c>
      <c r="Y171" s="315">
        <f t="shared" si="37"/>
        <v>0.13445013526217167</v>
      </c>
      <c r="Z171" s="315">
        <f t="shared" si="37"/>
        <v>0.2430636601429027</v>
      </c>
      <c r="AA171" s="315">
        <f t="shared" si="37"/>
        <v>8.4356471274831119E-2</v>
      </c>
      <c r="AB171" s="315">
        <f t="shared" si="37"/>
        <v>2.3589902727048089</v>
      </c>
      <c r="AC171" s="315">
        <f t="shared" si="37"/>
        <v>-9.0804251858121909E-2</v>
      </c>
      <c r="AD171" s="315">
        <f t="shared" si="37"/>
        <v>-8.8192997862201888E-2</v>
      </c>
      <c r="AE171" s="315">
        <f t="shared" si="37"/>
        <v>-9.0804251858121909E-2</v>
      </c>
      <c r="AF171" s="315">
        <f t="shared" si="37"/>
        <v>-9.0804251858121909E-2</v>
      </c>
      <c r="AG171" s="315">
        <f t="shared" si="37"/>
        <v>-0.66024228302466792</v>
      </c>
      <c r="AH171" s="315">
        <f t="shared" si="37"/>
        <v>-0.66024228302466792</v>
      </c>
      <c r="AI171" s="315">
        <f t="shared" si="37"/>
        <v>-8.8192997862201888E-2</v>
      </c>
      <c r="AJ171" s="315">
        <f t="shared" si="37"/>
        <v>-8.8192997862201888E-2</v>
      </c>
      <c r="AK171" s="315">
        <f t="shared" si="37"/>
        <v>-0.64125572386533136</v>
      </c>
      <c r="AL171" s="315">
        <f t="shared" si="37"/>
        <v>-0.64125572386533136</v>
      </c>
      <c r="AM171" s="315">
        <f t="shared" si="37"/>
        <v>0</v>
      </c>
      <c r="AN171" s="315">
        <f t="shared" si="37"/>
        <v>0</v>
      </c>
      <c r="AO171" s="315">
        <f t="shared" si="37"/>
        <v>0</v>
      </c>
      <c r="AP171" s="315">
        <f t="shared" si="37"/>
        <v>0</v>
      </c>
      <c r="AQ171" s="304"/>
      <c r="AR171" s="304"/>
    </row>
    <row r="172" spans="3:44" x14ac:dyDescent="0.25">
      <c r="D172" s="32"/>
      <c r="E172" s="32"/>
      <c r="F172" s="208" t="s">
        <v>235</v>
      </c>
      <c r="G172" t="s">
        <v>328</v>
      </c>
      <c r="H172" s="304"/>
      <c r="I172" s="304"/>
      <c r="J172" s="315">
        <f t="shared" ref="J172:AP172" si="38">hundred * $H38 * J63 / $H51 * J89 / hours_in_year</f>
        <v>8.5173974718174977E-2</v>
      </c>
      <c r="K172" s="315">
        <f t="shared" si="38"/>
        <v>0.10169518352545105</v>
      </c>
      <c r="L172" s="315">
        <f t="shared" si="38"/>
        <v>2.8953621163488652E-2</v>
      </c>
      <c r="M172" s="315">
        <f t="shared" si="38"/>
        <v>7.8282365301468509E-2</v>
      </c>
      <c r="N172" s="315">
        <f t="shared" si="38"/>
        <v>8.8340849430698948E-2</v>
      </c>
      <c r="O172" s="315">
        <f t="shared" si="38"/>
        <v>1.463328030129624E-2</v>
      </c>
      <c r="P172" s="315">
        <f t="shared" si="38"/>
        <v>8.3707240752199111E-2</v>
      </c>
      <c r="Q172" s="315">
        <f t="shared" si="38"/>
        <v>6.2890990870332703E-2</v>
      </c>
      <c r="R172" s="315">
        <f t="shared" si="38"/>
        <v>0</v>
      </c>
      <c r="S172" s="315">
        <f t="shared" si="38"/>
        <v>0.45958193141896159</v>
      </c>
      <c r="T172" s="315">
        <f t="shared" si="38"/>
        <v>0.42730513348514032</v>
      </c>
      <c r="U172" s="315">
        <f t="shared" si="38"/>
        <v>0.35734060059154465</v>
      </c>
      <c r="V172" s="315">
        <f t="shared" si="38"/>
        <v>0.34004220225160026</v>
      </c>
      <c r="W172" s="315">
        <f t="shared" si="38"/>
        <v>0</v>
      </c>
      <c r="X172" s="315">
        <f t="shared" si="38"/>
        <v>5.019177905389445E-2</v>
      </c>
      <c r="Y172" s="315">
        <f t="shared" si="38"/>
        <v>6.1544837349372647E-2</v>
      </c>
      <c r="Z172" s="315">
        <f t="shared" si="38"/>
        <v>0.11126291096597378</v>
      </c>
      <c r="AA172" s="315">
        <f t="shared" si="38"/>
        <v>3.8614355380549956E-2</v>
      </c>
      <c r="AB172" s="315">
        <f t="shared" si="38"/>
        <v>1.0798328492512717</v>
      </c>
      <c r="AC172" s="315">
        <f t="shared" si="38"/>
        <v>-4.1565840750864225E-2</v>
      </c>
      <c r="AD172" s="315">
        <f t="shared" si="38"/>
        <v>0</v>
      </c>
      <c r="AE172" s="315">
        <f t="shared" si="38"/>
        <v>-4.1565840750864225E-2</v>
      </c>
      <c r="AF172" s="315">
        <f t="shared" si="38"/>
        <v>-4.1565840750864225E-2</v>
      </c>
      <c r="AG172" s="315">
        <f t="shared" si="38"/>
        <v>-0.30222731900340755</v>
      </c>
      <c r="AH172" s="315">
        <f t="shared" si="38"/>
        <v>-0.30222731900340755</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236</v>
      </c>
      <c r="G173" s="37" t="s">
        <v>328</v>
      </c>
      <c r="H173" s="308"/>
      <c r="I173" s="308"/>
      <c r="J173" s="316">
        <f t="shared" ref="J173:AP173" si="39">hundred * $H39 * J64 / $H52 * J90 / hours_in_year</f>
        <v>0.16976932782358123</v>
      </c>
      <c r="K173" s="316">
        <f t="shared" si="39"/>
        <v>0.2026995101160578</v>
      </c>
      <c r="L173" s="316">
        <f t="shared" si="39"/>
        <v>5.7710548547820643E-2</v>
      </c>
      <c r="M173" s="316">
        <f t="shared" si="39"/>
        <v>0.15603292650888176</v>
      </c>
      <c r="N173" s="316">
        <f t="shared" si="39"/>
        <v>0.17608156337470632</v>
      </c>
      <c r="O173" s="316">
        <f t="shared" si="39"/>
        <v>2.9167150750274928E-2</v>
      </c>
      <c r="P173" s="316">
        <f t="shared" si="39"/>
        <v>0.16684582401477516</v>
      </c>
      <c r="Q173" s="316">
        <f t="shared" si="39"/>
        <v>0</v>
      </c>
      <c r="R173" s="316">
        <f t="shared" si="39"/>
        <v>0</v>
      </c>
      <c r="S173" s="316">
        <f t="shared" si="39"/>
        <v>0.91604173499033958</v>
      </c>
      <c r="T173" s="316">
        <f t="shared" si="39"/>
        <v>0.8517074085995211</v>
      </c>
      <c r="U173" s="316">
        <f t="shared" si="39"/>
        <v>0.71225364047213069</v>
      </c>
      <c r="V173" s="316">
        <f t="shared" si="39"/>
        <v>0</v>
      </c>
      <c r="W173" s="316">
        <f t="shared" si="39"/>
        <v>0</v>
      </c>
      <c r="X173" s="316">
        <f t="shared" si="39"/>
        <v>0.10004258484406614</v>
      </c>
      <c r="Y173" s="316">
        <f t="shared" si="39"/>
        <v>0.12267157547110548</v>
      </c>
      <c r="Z173" s="316">
        <f t="shared" si="39"/>
        <v>0.22176996751517891</v>
      </c>
      <c r="AA173" s="316">
        <f t="shared" si="39"/>
        <v>7.6966387666982869E-2</v>
      </c>
      <c r="AB173" s="316">
        <f t="shared" si="39"/>
        <v>2.1523299527325257</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739</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737</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191</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738</v>
      </c>
    </row>
    <row r="180" spans="4:44" x14ac:dyDescent="0.25">
      <c r="E180" s="32" t="s">
        <v>734</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226</v>
      </c>
      <c r="G181" s="23" t="s">
        <v>328</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228</v>
      </c>
      <c r="G182" t="s">
        <v>328</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229</v>
      </c>
      <c r="G183" t="s">
        <v>328</v>
      </c>
      <c r="H183" s="304"/>
      <c r="I183" s="304"/>
      <c r="J183" s="315">
        <f t="shared" ref="J183:AP183" si="42">hundred * $H20 * J57 / $H45 * J95 * (1 - J69) / hours_in_year</f>
        <v>0</v>
      </c>
      <c r="K183" s="315">
        <f t="shared" si="42"/>
        <v>2.6910400796617117E-3</v>
      </c>
      <c r="L183" s="315">
        <f t="shared" si="42"/>
        <v>0</v>
      </c>
      <c r="M183" s="315">
        <f t="shared" si="42"/>
        <v>0</v>
      </c>
      <c r="N183" s="315">
        <f t="shared" si="42"/>
        <v>2.4538591622587872E-3</v>
      </c>
      <c r="O183" s="315">
        <f t="shared" si="42"/>
        <v>0</v>
      </c>
      <c r="P183" s="315">
        <f t="shared" si="42"/>
        <v>2.2280180987646063E-3</v>
      </c>
      <c r="Q183" s="315">
        <f t="shared" si="42"/>
        <v>1.6860020977404226E-3</v>
      </c>
      <c r="R183" s="315">
        <f t="shared" si="42"/>
        <v>2.2804209813975704E-3</v>
      </c>
      <c r="S183" s="315">
        <f t="shared" si="42"/>
        <v>7.122354059288899E-2</v>
      </c>
      <c r="T183" s="315">
        <f t="shared" si="42"/>
        <v>6.6230214603222232E-2</v>
      </c>
      <c r="U183" s="315">
        <f t="shared" si="42"/>
        <v>5.5382911175783117E-2</v>
      </c>
      <c r="V183" s="315">
        <f t="shared" si="42"/>
        <v>5.27018957603545E-2</v>
      </c>
      <c r="W183" s="315">
        <f t="shared" si="42"/>
        <v>4.6863898760350256E-2</v>
      </c>
      <c r="X183" s="315">
        <f t="shared" si="42"/>
        <v>0</v>
      </c>
      <c r="Y183" s="315">
        <f t="shared" si="42"/>
        <v>0</v>
      </c>
      <c r="Z183" s="315">
        <f t="shared" si="42"/>
        <v>0</v>
      </c>
      <c r="AA183" s="315">
        <f t="shared" si="42"/>
        <v>0</v>
      </c>
      <c r="AB183" s="315">
        <f t="shared" si="42"/>
        <v>5.3618379455198394E-2</v>
      </c>
      <c r="AC183" s="315">
        <f t="shared" si="42"/>
        <v>0</v>
      </c>
      <c r="AD183" s="315">
        <f t="shared" si="42"/>
        <v>0</v>
      </c>
      <c r="AE183" s="315">
        <f t="shared" si="42"/>
        <v>0</v>
      </c>
      <c r="AF183" s="315">
        <f t="shared" si="42"/>
        <v>0</v>
      </c>
      <c r="AG183" s="315">
        <f t="shared" si="42"/>
        <v>-4.6841105476266028E-2</v>
      </c>
      <c r="AH183" s="315">
        <f t="shared" si="42"/>
        <v>-4.6841105476266028E-2</v>
      </c>
      <c r="AI183" s="315">
        <f t="shared" si="42"/>
        <v>0</v>
      </c>
      <c r="AJ183" s="315">
        <f t="shared" si="42"/>
        <v>0</v>
      </c>
      <c r="AK183" s="315">
        <f t="shared" si="42"/>
        <v>-4.5494097804870619E-2</v>
      </c>
      <c r="AL183" s="315">
        <f t="shared" si="42"/>
        <v>-4.5494097804870619E-2</v>
      </c>
      <c r="AM183" s="315">
        <f t="shared" si="42"/>
        <v>0</v>
      </c>
      <c r="AN183" s="315">
        <f t="shared" si="42"/>
        <v>0</v>
      </c>
      <c r="AO183" s="315">
        <f t="shared" si="42"/>
        <v>-4.5016127340827078E-2</v>
      </c>
      <c r="AP183" s="315">
        <f t="shared" si="42"/>
        <v>-4.5016127340827078E-2</v>
      </c>
      <c r="AQ183" s="304"/>
      <c r="AR183" s="304"/>
    </row>
    <row r="184" spans="4:44" x14ac:dyDescent="0.25">
      <c r="E184" s="32"/>
      <c r="F184" s="208" t="s">
        <v>230</v>
      </c>
      <c r="G184" t="s">
        <v>328</v>
      </c>
      <c r="H184" s="304"/>
      <c r="I184" s="304"/>
      <c r="J184" s="315">
        <f t="shared" ref="J184:AP184" si="43">hundred * $H21 * J58 / $H46 * J96 * (1 - J70) / hours_in_year</f>
        <v>0</v>
      </c>
      <c r="K184" s="315">
        <f t="shared" si="43"/>
        <v>1.4060433316126942E-3</v>
      </c>
      <c r="L184" s="315">
        <f t="shared" si="43"/>
        <v>0</v>
      </c>
      <c r="M184" s="315">
        <f t="shared" si="43"/>
        <v>0</v>
      </c>
      <c r="N184" s="315">
        <f t="shared" si="43"/>
        <v>1.2821185153973653E-3</v>
      </c>
      <c r="O184" s="315">
        <f t="shared" si="43"/>
        <v>0</v>
      </c>
      <c r="P184" s="315">
        <f t="shared" si="43"/>
        <v>1.1641186670375331E-3</v>
      </c>
      <c r="Q184" s="315">
        <f t="shared" si="43"/>
        <v>8.8092036403669628E-4</v>
      </c>
      <c r="R184" s="315">
        <f t="shared" si="43"/>
        <v>1.1914986842436032E-3</v>
      </c>
      <c r="S184" s="315">
        <f t="shared" si="43"/>
        <v>3.7213635375161924E-2</v>
      </c>
      <c r="T184" s="315">
        <f t="shared" si="43"/>
        <v>3.4604669138129172E-2</v>
      </c>
      <c r="U184" s="315">
        <f t="shared" si="43"/>
        <v>2.8937054313140177E-2</v>
      </c>
      <c r="V184" s="315">
        <f t="shared" si="43"/>
        <v>2.7536248775049448E-2</v>
      </c>
      <c r="W184" s="315">
        <f t="shared" si="43"/>
        <v>2.4485949816714068E-2</v>
      </c>
      <c r="X184" s="315">
        <f t="shared" si="43"/>
        <v>0</v>
      </c>
      <c r="Y184" s="315">
        <f t="shared" si="43"/>
        <v>0</v>
      </c>
      <c r="Z184" s="315">
        <f t="shared" si="43"/>
        <v>0</v>
      </c>
      <c r="AA184" s="315">
        <f t="shared" si="43"/>
        <v>0</v>
      </c>
      <c r="AB184" s="315">
        <f t="shared" si="43"/>
        <v>2.8015102953924783E-2</v>
      </c>
      <c r="AC184" s="315">
        <f t="shared" si="43"/>
        <v>0</v>
      </c>
      <c r="AD184" s="315">
        <f t="shared" si="43"/>
        <v>0</v>
      </c>
      <c r="AE184" s="315">
        <f t="shared" si="43"/>
        <v>0</v>
      </c>
      <c r="AF184" s="315">
        <f t="shared" si="43"/>
        <v>0</v>
      </c>
      <c r="AG184" s="315">
        <f t="shared" si="43"/>
        <v>-2.4474040538463471E-2</v>
      </c>
      <c r="AH184" s="315">
        <f t="shared" si="43"/>
        <v>-2.4474040538463471E-2</v>
      </c>
      <c r="AI184" s="315">
        <f t="shared" si="43"/>
        <v>0</v>
      </c>
      <c r="AJ184" s="315">
        <f t="shared" si="43"/>
        <v>0</v>
      </c>
      <c r="AK184" s="315">
        <f t="shared" si="43"/>
        <v>-2.3770241599045686E-2</v>
      </c>
      <c r="AL184" s="315">
        <f t="shared" si="43"/>
        <v>-2.3770241599045686E-2</v>
      </c>
      <c r="AM184" s="315">
        <f t="shared" si="43"/>
        <v>0</v>
      </c>
      <c r="AN184" s="315">
        <f t="shared" si="43"/>
        <v>0</v>
      </c>
      <c r="AO184" s="315">
        <f t="shared" si="43"/>
        <v>-2.352050649151035E-2</v>
      </c>
      <c r="AP184" s="315">
        <f t="shared" si="43"/>
        <v>-2.352050649151035E-2</v>
      </c>
      <c r="AQ184" s="304"/>
      <c r="AR184" s="304"/>
    </row>
    <row r="185" spans="4:44" x14ac:dyDescent="0.25">
      <c r="E185" s="32"/>
      <c r="F185" s="208" t="s">
        <v>231</v>
      </c>
      <c r="G185" t="s">
        <v>328</v>
      </c>
      <c r="H185" s="304"/>
      <c r="I185" s="304"/>
      <c r="J185" s="315">
        <f t="shared" ref="J185:AP185" si="44">hundred * $H22 * J59 / $H47 * J97 * (1 - J71) / hours_in_year</f>
        <v>0</v>
      </c>
      <c r="K185" s="315">
        <f t="shared" si="44"/>
        <v>4.8852622459550953E-3</v>
      </c>
      <c r="L185" s="315">
        <f t="shared" si="44"/>
        <v>0</v>
      </c>
      <c r="M185" s="315">
        <f t="shared" si="44"/>
        <v>0</v>
      </c>
      <c r="N185" s="315">
        <f t="shared" si="44"/>
        <v>4.4547227496481538E-3</v>
      </c>
      <c r="O185" s="315">
        <f t="shared" si="44"/>
        <v>0</v>
      </c>
      <c r="P185" s="315">
        <f t="shared" si="44"/>
        <v>4.0446848460235895E-3</v>
      </c>
      <c r="Q185" s="315">
        <f t="shared" si="44"/>
        <v>3.0607234020566831E-3</v>
      </c>
      <c r="R185" s="315">
        <f t="shared" si="44"/>
        <v>3.8689887017511557E-3</v>
      </c>
      <c r="S185" s="315">
        <f t="shared" si="44"/>
        <v>6.701364426334995E-2</v>
      </c>
      <c r="T185" s="315">
        <f t="shared" si="44"/>
        <v>6.2307223695380914E-2</v>
      </c>
      <c r="U185" s="315">
        <f t="shared" si="44"/>
        <v>5.2105390251000597E-2</v>
      </c>
      <c r="V185" s="315">
        <f t="shared" si="44"/>
        <v>4.9583035403194399E-2</v>
      </c>
      <c r="W185" s="315">
        <f t="shared" si="44"/>
        <v>4.1206122421247091E-2</v>
      </c>
      <c r="X185" s="315">
        <f t="shared" si="44"/>
        <v>0</v>
      </c>
      <c r="Y185" s="315">
        <f t="shared" si="44"/>
        <v>0</v>
      </c>
      <c r="Z185" s="315">
        <f t="shared" si="44"/>
        <v>0</v>
      </c>
      <c r="AA185" s="315">
        <f t="shared" si="44"/>
        <v>0</v>
      </c>
      <c r="AB185" s="315">
        <f t="shared" si="44"/>
        <v>4.7172122529675266E-2</v>
      </c>
      <c r="AC185" s="315">
        <f t="shared" si="44"/>
        <v>0</v>
      </c>
      <c r="AD185" s="315">
        <f t="shared" si="44"/>
        <v>0</v>
      </c>
      <c r="AE185" s="315">
        <f t="shared" si="44"/>
        <v>0</v>
      </c>
      <c r="AF185" s="315">
        <f t="shared" si="44"/>
        <v>0</v>
      </c>
      <c r="AG185" s="315">
        <f t="shared" si="44"/>
        <v>-4.40690824807407E-2</v>
      </c>
      <c r="AH185" s="315">
        <f t="shared" si="44"/>
        <v>-4.40690824807407E-2</v>
      </c>
      <c r="AI185" s="315">
        <f t="shared" si="44"/>
        <v>0</v>
      </c>
      <c r="AJ185" s="315">
        <f t="shared" si="44"/>
        <v>0</v>
      </c>
      <c r="AK185" s="315">
        <f t="shared" si="44"/>
        <v>-4.280178975634092E-2</v>
      </c>
      <c r="AL185" s="315">
        <f t="shared" si="44"/>
        <v>-4.280178975634092E-2</v>
      </c>
      <c r="AM185" s="315">
        <f t="shared" si="44"/>
        <v>0</v>
      </c>
      <c r="AN185" s="315">
        <f t="shared" si="44"/>
        <v>0</v>
      </c>
      <c r="AO185" s="315">
        <f t="shared" si="44"/>
        <v>-3.9581428417260971E-2</v>
      </c>
      <c r="AP185" s="315">
        <f t="shared" si="44"/>
        <v>-3.9581428417260971E-2</v>
      </c>
      <c r="AQ185" s="304"/>
      <c r="AR185" s="304"/>
    </row>
    <row r="186" spans="4:44" x14ac:dyDescent="0.25">
      <c r="E186" s="32"/>
      <c r="F186" s="208" t="s">
        <v>232</v>
      </c>
      <c r="G186" t="s">
        <v>328</v>
      </c>
      <c r="H186" s="304"/>
      <c r="I186" s="304"/>
      <c r="J186" s="315">
        <f t="shared" ref="J186:AP186" si="45">hundred * $H23 * J60 / $H48 * J98 * (1 - J72) / hours_in_year</f>
        <v>0</v>
      </c>
      <c r="K186" s="315">
        <f t="shared" si="45"/>
        <v>7.8589916431008287E-3</v>
      </c>
      <c r="L186" s="315">
        <f t="shared" si="45"/>
        <v>0</v>
      </c>
      <c r="M186" s="315">
        <f t="shared" si="45"/>
        <v>0</v>
      </c>
      <c r="N186" s="315">
        <f t="shared" si="45"/>
        <v>7.1663765626509193E-3</v>
      </c>
      <c r="O186" s="315">
        <f t="shared" si="45"/>
        <v>0</v>
      </c>
      <c r="P186" s="315">
        <f t="shared" si="45"/>
        <v>6.5067426892374313E-3</v>
      </c>
      <c r="Q186" s="315">
        <f t="shared" si="45"/>
        <v>4.9238297613445493E-3</v>
      </c>
      <c r="R186" s="315">
        <f t="shared" si="45"/>
        <v>4.31800470318572E-3</v>
      </c>
      <c r="S186" s="315">
        <f t="shared" si="45"/>
        <v>0.10780581342904635</v>
      </c>
      <c r="T186" s="315">
        <f t="shared" si="45"/>
        <v>0.10023452696572259</v>
      </c>
      <c r="U186" s="315">
        <f t="shared" si="45"/>
        <v>8.3822690763873706E-2</v>
      </c>
      <c r="V186" s="315">
        <f t="shared" si="45"/>
        <v>7.9764942239471157E-2</v>
      </c>
      <c r="W186" s="315">
        <f t="shared" si="45"/>
        <v>4.5988304472033954E-2</v>
      </c>
      <c r="X186" s="315">
        <f t="shared" si="45"/>
        <v>0</v>
      </c>
      <c r="Y186" s="315">
        <f t="shared" si="45"/>
        <v>0</v>
      </c>
      <c r="Z186" s="315">
        <f t="shared" si="45"/>
        <v>0</v>
      </c>
      <c r="AA186" s="315">
        <f t="shared" si="45"/>
        <v>0</v>
      </c>
      <c r="AB186" s="315">
        <f t="shared" si="45"/>
        <v>7.5886472022049539E-2</v>
      </c>
      <c r="AC186" s="315">
        <f t="shared" si="45"/>
        <v>0</v>
      </c>
      <c r="AD186" s="315">
        <f t="shared" si="45"/>
        <v>0</v>
      </c>
      <c r="AE186" s="315">
        <f t="shared" si="45"/>
        <v>0</v>
      </c>
      <c r="AF186" s="315">
        <f t="shared" si="45"/>
        <v>0</v>
      </c>
      <c r="AG186" s="315">
        <f t="shared" si="45"/>
        <v>-7.0894566862203565E-2</v>
      </c>
      <c r="AH186" s="315">
        <f t="shared" si="45"/>
        <v>-7.0894566862203565E-2</v>
      </c>
      <c r="AI186" s="315">
        <f t="shared" si="45"/>
        <v>0</v>
      </c>
      <c r="AJ186" s="315">
        <f t="shared" si="45"/>
        <v>0</v>
      </c>
      <c r="AK186" s="315">
        <f t="shared" si="45"/>
        <v>-6.8855854828132779E-2</v>
      </c>
      <c r="AL186" s="315">
        <f t="shared" si="45"/>
        <v>-6.8855854828132779E-2</v>
      </c>
      <c r="AM186" s="315">
        <f t="shared" si="45"/>
        <v>0</v>
      </c>
      <c r="AN186" s="315">
        <f t="shared" si="45"/>
        <v>0</v>
      </c>
      <c r="AO186" s="315">
        <f t="shared" si="45"/>
        <v>-4.4175056388038661E-2</v>
      </c>
      <c r="AP186" s="315">
        <f t="shared" si="45"/>
        <v>-4.4175056388038661E-2</v>
      </c>
      <c r="AQ186" s="304"/>
      <c r="AR186" s="304"/>
    </row>
    <row r="187" spans="4:44" x14ac:dyDescent="0.25">
      <c r="E187" s="32"/>
      <c r="F187" s="208" t="s">
        <v>233</v>
      </c>
      <c r="G187" t="s">
        <v>328</v>
      </c>
      <c r="H187" s="304"/>
      <c r="I187" s="304"/>
      <c r="J187" s="315">
        <f t="shared" ref="J187:AP187" si="46">hundred * $H24 * J61 / $H49 * J99 * (1 - J73) / hours_in_year</f>
        <v>0</v>
      </c>
      <c r="K187" s="315">
        <f t="shared" si="46"/>
        <v>2.3529952201777212E-4</v>
      </c>
      <c r="L187" s="315">
        <f t="shared" si="46"/>
        <v>0</v>
      </c>
      <c r="M187" s="315">
        <f t="shared" si="46"/>
        <v>0</v>
      </c>
      <c r="N187" s="315">
        <f t="shared" si="46"/>
        <v>2.1456086527370003E-4</v>
      </c>
      <c r="O187" s="315">
        <f t="shared" si="46"/>
        <v>0</v>
      </c>
      <c r="P187" s="315">
        <f t="shared" si="46"/>
        <v>1.9481374419074446E-4</v>
      </c>
      <c r="Q187" s="315">
        <f t="shared" si="46"/>
        <v>1.4742087667796953E-4</v>
      </c>
      <c r="R187" s="315">
        <f t="shared" si="46"/>
        <v>1.2928230050533024E-4</v>
      </c>
      <c r="S187" s="315">
        <f t="shared" si="46"/>
        <v>6.227653458073695E-3</v>
      </c>
      <c r="T187" s="315">
        <f t="shared" si="46"/>
        <v>5.7910463530634988E-3</v>
      </c>
      <c r="U187" s="315">
        <f t="shared" si="46"/>
        <v>4.842578386737623E-3</v>
      </c>
      <c r="V187" s="315">
        <f t="shared" si="46"/>
        <v>4.6081554026503949E-3</v>
      </c>
      <c r="W187" s="315">
        <f t="shared" si="46"/>
        <v>2.6568220042747894E-3</v>
      </c>
      <c r="X187" s="315">
        <f t="shared" si="46"/>
        <v>0</v>
      </c>
      <c r="Y187" s="315">
        <f t="shared" si="46"/>
        <v>0</v>
      </c>
      <c r="Z187" s="315">
        <f t="shared" si="46"/>
        <v>0</v>
      </c>
      <c r="AA187" s="315">
        <f t="shared" si="46"/>
        <v>0</v>
      </c>
      <c r="AB187" s="315">
        <f t="shared" si="46"/>
        <v>4.6882910264055633E-3</v>
      </c>
      <c r="AC187" s="315">
        <f t="shared" si="46"/>
        <v>0</v>
      </c>
      <c r="AD187" s="315">
        <f t="shared" si="46"/>
        <v>0</v>
      </c>
      <c r="AE187" s="315">
        <f t="shared" si="46"/>
        <v>0</v>
      </c>
      <c r="AF187" s="315">
        <f t="shared" si="46"/>
        <v>0</v>
      </c>
      <c r="AG187" s="315">
        <f t="shared" si="46"/>
        <v>-4.0956988387683066E-3</v>
      </c>
      <c r="AH187" s="315">
        <f t="shared" si="46"/>
        <v>-4.0956988387683066E-3</v>
      </c>
      <c r="AI187" s="315">
        <f t="shared" si="46"/>
        <v>0</v>
      </c>
      <c r="AJ187" s="315">
        <f t="shared" si="46"/>
        <v>0</v>
      </c>
      <c r="AK187" s="315">
        <f t="shared" si="46"/>
        <v>-3.9779190020319257E-3</v>
      </c>
      <c r="AL187" s="315">
        <f t="shared" si="46"/>
        <v>-3.9779190020319257E-3</v>
      </c>
      <c r="AM187" s="315">
        <f t="shared" si="46"/>
        <v>0</v>
      </c>
      <c r="AN187" s="315">
        <f t="shared" si="46"/>
        <v>0</v>
      </c>
      <c r="AO187" s="315">
        <f t="shared" si="46"/>
        <v>-2.5520676006481596E-3</v>
      </c>
      <c r="AP187" s="315">
        <f t="shared" si="46"/>
        <v>-2.5520676006481596E-3</v>
      </c>
      <c r="AQ187" s="304"/>
      <c r="AR187" s="304"/>
    </row>
    <row r="188" spans="4:44" x14ac:dyDescent="0.25">
      <c r="E188" s="32"/>
      <c r="F188" s="208" t="s">
        <v>234</v>
      </c>
      <c r="G188" t="s">
        <v>328</v>
      </c>
      <c r="H188" s="304"/>
      <c r="I188" s="304"/>
      <c r="J188" s="315">
        <f t="shared" ref="J188:AP188" si="47">hundred * $H25 * J62 / $H50 * J100 * (1 - J74) / hours_in_year</f>
        <v>0</v>
      </c>
      <c r="K188" s="315">
        <f t="shared" si="47"/>
        <v>9.43068933566177E-3</v>
      </c>
      <c r="L188" s="315">
        <f t="shared" si="47"/>
        <v>0</v>
      </c>
      <c r="M188" s="315">
        <f t="shared" si="47"/>
        <v>0</v>
      </c>
      <c r="N188" s="315">
        <f t="shared" si="47"/>
        <v>8.599560108205272E-3</v>
      </c>
      <c r="O188" s="315">
        <f t="shared" si="47"/>
        <v>0</v>
      </c>
      <c r="P188" s="315">
        <f t="shared" si="47"/>
        <v>7.8080079068611067E-3</v>
      </c>
      <c r="Q188" s="315">
        <f t="shared" si="47"/>
        <v>5.9085326629263E-3</v>
      </c>
      <c r="R188" s="315">
        <f t="shared" si="47"/>
        <v>5.5566314560085593E-3</v>
      </c>
      <c r="S188" s="315">
        <f t="shared" si="47"/>
        <v>0.12936559563848951</v>
      </c>
      <c r="T188" s="315">
        <f t="shared" si="47"/>
        <v>0.12028014883443421</v>
      </c>
      <c r="U188" s="315">
        <f t="shared" si="47"/>
        <v>0.10058615554926811</v>
      </c>
      <c r="V188" s="315">
        <f t="shared" si="47"/>
        <v>9.57169092803178E-2</v>
      </c>
      <c r="W188" s="315">
        <f t="shared" si="47"/>
        <v>5.9180125266948332E-2</v>
      </c>
      <c r="X188" s="315">
        <f t="shared" si="47"/>
        <v>0</v>
      </c>
      <c r="Y188" s="315">
        <f t="shared" si="47"/>
        <v>0</v>
      </c>
      <c r="Z188" s="315">
        <f t="shared" si="47"/>
        <v>0</v>
      </c>
      <c r="AA188" s="315">
        <f t="shared" si="47"/>
        <v>0</v>
      </c>
      <c r="AB188" s="315">
        <f t="shared" si="47"/>
        <v>9.1062794684047765E-2</v>
      </c>
      <c r="AC188" s="315">
        <f t="shared" si="47"/>
        <v>0</v>
      </c>
      <c r="AD188" s="315">
        <f t="shared" si="47"/>
        <v>0</v>
      </c>
      <c r="AE188" s="315">
        <f t="shared" si="47"/>
        <v>0</v>
      </c>
      <c r="AF188" s="315">
        <f t="shared" si="47"/>
        <v>0</v>
      </c>
      <c r="AG188" s="315">
        <f t="shared" si="47"/>
        <v>-8.5072572414639724E-2</v>
      </c>
      <c r="AH188" s="315">
        <f t="shared" si="47"/>
        <v>-8.5072572414639724E-2</v>
      </c>
      <c r="AI188" s="315">
        <f t="shared" si="47"/>
        <v>0</v>
      </c>
      <c r="AJ188" s="315">
        <f t="shared" si="47"/>
        <v>0</v>
      </c>
      <c r="AK188" s="315">
        <f t="shared" si="47"/>
        <v>-8.2626144079895894E-2</v>
      </c>
      <c r="AL188" s="315">
        <f t="shared" si="47"/>
        <v>-8.2626144079895894E-2</v>
      </c>
      <c r="AM188" s="315">
        <f t="shared" si="47"/>
        <v>0</v>
      </c>
      <c r="AN188" s="315">
        <f t="shared" si="47"/>
        <v>0</v>
      </c>
      <c r="AO188" s="315">
        <f t="shared" si="47"/>
        <v>0</v>
      </c>
      <c r="AP188" s="315">
        <f t="shared" si="47"/>
        <v>0</v>
      </c>
      <c r="AQ188" s="304"/>
      <c r="AR188" s="304"/>
    </row>
    <row r="189" spans="4:44" x14ac:dyDescent="0.25">
      <c r="E189" s="32"/>
      <c r="F189" s="208" t="s">
        <v>235</v>
      </c>
      <c r="G189" t="s">
        <v>328</v>
      </c>
      <c r="H189" s="304"/>
      <c r="I189" s="304"/>
      <c r="J189" s="315">
        <f t="shared" ref="J189:AP189" si="48">hundred * $H26 * J63 / $H51 * J101 * (1 - J75) / hours_in_year</f>
        <v>0</v>
      </c>
      <c r="K189" s="315">
        <f t="shared" si="48"/>
        <v>2.4124262275760119E-3</v>
      </c>
      <c r="L189" s="315">
        <f t="shared" si="48"/>
        <v>0</v>
      </c>
      <c r="M189" s="315">
        <f t="shared" si="48"/>
        <v>0</v>
      </c>
      <c r="N189" s="315">
        <f t="shared" si="48"/>
        <v>2.1998184451057444E-3</v>
      </c>
      <c r="O189" s="315">
        <f t="shared" si="48"/>
        <v>0</v>
      </c>
      <c r="P189" s="315">
        <f t="shared" si="48"/>
        <v>1.9973347004872831E-3</v>
      </c>
      <c r="Q189" s="315">
        <f t="shared" si="48"/>
        <v>1.511437674935638E-3</v>
      </c>
      <c r="R189" s="315">
        <f t="shared" si="48"/>
        <v>0</v>
      </c>
      <c r="S189" s="315">
        <f t="shared" si="48"/>
        <v>3.3092486111714912E-2</v>
      </c>
      <c r="T189" s="315">
        <f t="shared" si="48"/>
        <v>3.0768374969969651E-2</v>
      </c>
      <c r="U189" s="315">
        <f t="shared" si="48"/>
        <v>2.5730534761705955E-2</v>
      </c>
      <c r="V189" s="315">
        <f t="shared" si="48"/>
        <v>2.4484952706179779E-2</v>
      </c>
      <c r="W189" s="315">
        <f t="shared" si="48"/>
        <v>0</v>
      </c>
      <c r="X189" s="315">
        <f t="shared" si="48"/>
        <v>0</v>
      </c>
      <c r="Y189" s="315">
        <f t="shared" si="48"/>
        <v>0</v>
      </c>
      <c r="Z189" s="315">
        <f t="shared" si="48"/>
        <v>0</v>
      </c>
      <c r="AA189" s="315">
        <f t="shared" si="48"/>
        <v>0</v>
      </c>
      <c r="AB189" s="315">
        <f t="shared" si="48"/>
        <v>2.3294402607606495E-2</v>
      </c>
      <c r="AC189" s="315">
        <f t="shared" si="48"/>
        <v>0</v>
      </c>
      <c r="AD189" s="315">
        <f t="shared" si="48"/>
        <v>0</v>
      </c>
      <c r="AE189" s="315">
        <f t="shared" si="48"/>
        <v>0</v>
      </c>
      <c r="AF189" s="315">
        <f t="shared" si="48"/>
        <v>0</v>
      </c>
      <c r="AG189" s="315">
        <f t="shared" si="48"/>
        <v>-2.17620682471601E-2</v>
      </c>
      <c r="AH189" s="315">
        <f t="shared" si="48"/>
        <v>-2.17620682471601E-2</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236</v>
      </c>
      <c r="G190" s="37" t="s">
        <v>328</v>
      </c>
      <c r="H190" s="308"/>
      <c r="I190" s="308"/>
      <c r="J190" s="316">
        <f t="shared" ref="J190:AP190" si="49">hundred * $H27 * J64 / $H52 * J102 * (1 - J76) / hours_in_year</f>
        <v>0</v>
      </c>
      <c r="K190" s="316">
        <f t="shared" si="49"/>
        <v>1.0124178260507246E-3</v>
      </c>
      <c r="L190" s="316">
        <f t="shared" si="49"/>
        <v>0</v>
      </c>
      <c r="M190" s="316">
        <f t="shared" si="49"/>
        <v>0</v>
      </c>
      <c r="N190" s="316">
        <f t="shared" si="49"/>
        <v>9.2319316646546847E-4</v>
      </c>
      <c r="O190" s="316">
        <f t="shared" si="49"/>
        <v>0</v>
      </c>
      <c r="P190" s="316">
        <f t="shared" si="49"/>
        <v>8.3821724048939688E-4</v>
      </c>
      <c r="Q190" s="316">
        <f t="shared" si="49"/>
        <v>0</v>
      </c>
      <c r="R190" s="316">
        <f t="shared" si="49"/>
        <v>0</v>
      </c>
      <c r="S190" s="316">
        <f t="shared" si="49"/>
        <v>1.3887853839783611E-2</v>
      </c>
      <c r="T190" s="316">
        <f t="shared" si="49"/>
        <v>1.2912499019507823E-2</v>
      </c>
      <c r="U190" s="316">
        <f t="shared" si="49"/>
        <v>1.0798279246343563E-2</v>
      </c>
      <c r="V190" s="316">
        <f t="shared" si="49"/>
        <v>0</v>
      </c>
      <c r="W190" s="316">
        <f t="shared" si="49"/>
        <v>0</v>
      </c>
      <c r="X190" s="316">
        <f t="shared" si="49"/>
        <v>0</v>
      </c>
      <c r="Y190" s="316">
        <f t="shared" si="49"/>
        <v>0</v>
      </c>
      <c r="Z190" s="316">
        <f t="shared" si="49"/>
        <v>0</v>
      </c>
      <c r="AA190" s="316">
        <f t="shared" si="49"/>
        <v>0</v>
      </c>
      <c r="AB190" s="316">
        <f t="shared" si="49"/>
        <v>9.7759128041150466E-3</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735</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226</v>
      </c>
      <c r="G193" s="23" t="s">
        <v>328</v>
      </c>
      <c r="H193" s="302"/>
      <c r="I193" s="302"/>
      <c r="J193" s="314">
        <f t="shared" ref="J193:AP193" si="50">hundred * $H30 * J55 / $H43 * J93 / hours_in_year</f>
        <v>0</v>
      </c>
      <c r="K193" s="314">
        <f t="shared" si="50"/>
        <v>0</v>
      </c>
      <c r="L193" s="314">
        <f t="shared" si="50"/>
        <v>0</v>
      </c>
      <c r="M193" s="314">
        <f t="shared" si="50"/>
        <v>0</v>
      </c>
      <c r="N193" s="314">
        <f t="shared" si="50"/>
        <v>0</v>
      </c>
      <c r="O193" s="314">
        <f t="shared" si="50"/>
        <v>0</v>
      </c>
      <c r="P193" s="314">
        <f t="shared" si="50"/>
        <v>0</v>
      </c>
      <c r="Q193" s="314">
        <f t="shared" si="50"/>
        <v>0</v>
      </c>
      <c r="R193" s="314">
        <f t="shared" si="50"/>
        <v>0</v>
      </c>
      <c r="S193" s="314">
        <f t="shared" si="50"/>
        <v>1.8567216037547039E-2</v>
      </c>
      <c r="T193" s="314">
        <f t="shared" si="50"/>
        <v>1.7267742655450613E-2</v>
      </c>
      <c r="U193" s="314">
        <f t="shared" si="50"/>
        <v>1.4438051122029368E-2</v>
      </c>
      <c r="V193" s="314">
        <f t="shared" si="50"/>
        <v>1.3739123658573221E-2</v>
      </c>
      <c r="W193" s="314">
        <f t="shared" si="50"/>
        <v>1.22171867046131E-2</v>
      </c>
      <c r="X193" s="314">
        <f t="shared" si="50"/>
        <v>0</v>
      </c>
      <c r="Y193" s="314">
        <f t="shared" si="50"/>
        <v>0</v>
      </c>
      <c r="Z193" s="314">
        <f t="shared" si="50"/>
        <v>0</v>
      </c>
      <c r="AA193" s="314">
        <f t="shared" si="50"/>
        <v>0</v>
      </c>
      <c r="AB193" s="314">
        <f t="shared" si="50"/>
        <v>2.5200805882497443E-2</v>
      </c>
      <c r="AC193" s="314">
        <f t="shared" si="50"/>
        <v>0</v>
      </c>
      <c r="AD193" s="314">
        <f t="shared" si="50"/>
        <v>0</v>
      </c>
      <c r="AE193" s="314">
        <f t="shared" si="50"/>
        <v>0</v>
      </c>
      <c r="AF193" s="314">
        <f t="shared" si="50"/>
        <v>0</v>
      </c>
      <c r="AG193" s="314">
        <f t="shared" si="50"/>
        <v>-1.2211244608145787E-2</v>
      </c>
      <c r="AH193" s="314">
        <f t="shared" si="50"/>
        <v>-1.2211244608145787E-2</v>
      </c>
      <c r="AI193" s="314">
        <f t="shared" si="50"/>
        <v>0</v>
      </c>
      <c r="AJ193" s="314">
        <f t="shared" si="50"/>
        <v>0</v>
      </c>
      <c r="AK193" s="314">
        <f t="shared" si="50"/>
        <v>-1.1860086368022854E-2</v>
      </c>
      <c r="AL193" s="314">
        <f t="shared" si="50"/>
        <v>-1.1860086368022854E-2</v>
      </c>
      <c r="AM193" s="314">
        <f t="shared" si="50"/>
        <v>0</v>
      </c>
      <c r="AN193" s="314">
        <f t="shared" si="50"/>
        <v>0</v>
      </c>
      <c r="AO193" s="314">
        <f t="shared" si="50"/>
        <v>-1.1735481831205041E-2</v>
      </c>
      <c r="AP193" s="314">
        <f t="shared" si="50"/>
        <v>-1.1735481831205041E-2</v>
      </c>
      <c r="AQ193" s="304"/>
      <c r="AR193" s="304"/>
    </row>
    <row r="194" spans="3:44" x14ac:dyDescent="0.25">
      <c r="D194" s="32"/>
      <c r="E194" s="32"/>
      <c r="F194" s="208" t="s">
        <v>228</v>
      </c>
      <c r="G194" t="s">
        <v>328</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229</v>
      </c>
      <c r="G195" t="s">
        <v>328</v>
      </c>
      <c r="H195" s="304"/>
      <c r="I195" s="304"/>
      <c r="J195" s="315">
        <f t="shared" ref="J195:AP195" si="52">hundred * $H32 * J57 / $H45 * J95 / hours_in_year</f>
        <v>0</v>
      </c>
      <c r="K195" s="315">
        <f t="shared" si="52"/>
        <v>1.4773448096538201E-3</v>
      </c>
      <c r="L195" s="315">
        <f t="shared" si="52"/>
        <v>0</v>
      </c>
      <c r="M195" s="315">
        <f t="shared" si="52"/>
        <v>0</v>
      </c>
      <c r="N195" s="315">
        <f t="shared" si="52"/>
        <v>1.34713567604694E-3</v>
      </c>
      <c r="O195" s="315">
        <f t="shared" si="52"/>
        <v>0</v>
      </c>
      <c r="P195" s="315">
        <f t="shared" si="52"/>
        <v>1.2231519697166464E-3</v>
      </c>
      <c r="Q195" s="315">
        <f t="shared" si="52"/>
        <v>9.2559247518728279E-4</v>
      </c>
      <c r="R195" s="315">
        <f t="shared" si="52"/>
        <v>1.2519204474713292E-3</v>
      </c>
      <c r="S195" s="315">
        <f t="shared" si="52"/>
        <v>3.9100765839689786E-2</v>
      </c>
      <c r="T195" s="315">
        <f t="shared" si="52"/>
        <v>3.63594970308391E-2</v>
      </c>
      <c r="U195" s="315">
        <f t="shared" si="52"/>
        <v>3.040447334375905E-2</v>
      </c>
      <c r="V195" s="315">
        <f t="shared" si="52"/>
        <v>2.8932631939938988E-2</v>
      </c>
      <c r="W195" s="315">
        <f t="shared" si="52"/>
        <v>2.5727650107109857E-2</v>
      </c>
      <c r="X195" s="315">
        <f t="shared" si="52"/>
        <v>0</v>
      </c>
      <c r="Y195" s="315">
        <f t="shared" si="52"/>
        <v>0</v>
      </c>
      <c r="Z195" s="315">
        <f t="shared" si="52"/>
        <v>0</v>
      </c>
      <c r="AA195" s="315">
        <f t="shared" si="52"/>
        <v>0</v>
      </c>
      <c r="AB195" s="315">
        <f t="shared" si="52"/>
        <v>2.9435769161841752E-2</v>
      </c>
      <c r="AC195" s="315">
        <f t="shared" si="52"/>
        <v>0</v>
      </c>
      <c r="AD195" s="315">
        <f t="shared" si="52"/>
        <v>0</v>
      </c>
      <c r="AE195" s="315">
        <f t="shared" si="52"/>
        <v>0</v>
      </c>
      <c r="AF195" s="315">
        <f t="shared" si="52"/>
        <v>0</v>
      </c>
      <c r="AG195" s="315">
        <f t="shared" si="52"/>
        <v>-2.5715136900713823E-2</v>
      </c>
      <c r="AH195" s="315">
        <f t="shared" si="52"/>
        <v>-2.5715136900713823E-2</v>
      </c>
      <c r="AI195" s="315">
        <f t="shared" si="52"/>
        <v>0</v>
      </c>
      <c r="AJ195" s="315">
        <f t="shared" si="52"/>
        <v>0</v>
      </c>
      <c r="AK195" s="315">
        <f t="shared" si="52"/>
        <v>-2.4975647806166394E-2</v>
      </c>
      <c r="AL195" s="315">
        <f t="shared" si="52"/>
        <v>-2.4975647806166394E-2</v>
      </c>
      <c r="AM195" s="315">
        <f t="shared" si="52"/>
        <v>0</v>
      </c>
      <c r="AN195" s="315">
        <f t="shared" si="52"/>
        <v>0</v>
      </c>
      <c r="AO195" s="315">
        <f t="shared" si="52"/>
        <v>-2.4713248450036654E-2</v>
      </c>
      <c r="AP195" s="315">
        <f t="shared" si="52"/>
        <v>-2.4713248450036654E-2</v>
      </c>
      <c r="AQ195" s="304"/>
      <c r="AR195" s="304"/>
    </row>
    <row r="196" spans="3:44" x14ac:dyDescent="0.25">
      <c r="D196" s="32"/>
      <c r="E196" s="32"/>
      <c r="F196" s="208" t="s">
        <v>230</v>
      </c>
      <c r="G196" t="s">
        <v>328</v>
      </c>
      <c r="H196" s="304"/>
      <c r="I196" s="304"/>
      <c r="J196" s="315">
        <f t="shared" ref="J196:AP196" si="53">hundred * $H33 * J58 / $H46 * J96 / hours_in_year</f>
        <v>0</v>
      </c>
      <c r="K196" s="315">
        <f t="shared" si="53"/>
        <v>7.7189887798605476E-4</v>
      </c>
      <c r="L196" s="315">
        <f t="shared" si="53"/>
        <v>0</v>
      </c>
      <c r="M196" s="315">
        <f t="shared" si="53"/>
        <v>0</v>
      </c>
      <c r="N196" s="315">
        <f t="shared" si="53"/>
        <v>7.0386582065380026E-4</v>
      </c>
      <c r="O196" s="315">
        <f t="shared" si="53"/>
        <v>0</v>
      </c>
      <c r="P196" s="315">
        <f t="shared" si="53"/>
        <v>6.390854909842956E-4</v>
      </c>
      <c r="Q196" s="315">
        <f t="shared" si="53"/>
        <v>4.836134316110102E-4</v>
      </c>
      <c r="R196" s="315">
        <f t="shared" si="53"/>
        <v>6.5411675217335393E-4</v>
      </c>
      <c r="S196" s="315">
        <f t="shared" si="53"/>
        <v>2.0429785303218675E-2</v>
      </c>
      <c r="T196" s="315">
        <f t="shared" si="53"/>
        <v>1.8997497929287437E-2</v>
      </c>
      <c r="U196" s="315">
        <f t="shared" si="53"/>
        <v>1.5886053618927292E-2</v>
      </c>
      <c r="V196" s="315">
        <f t="shared" si="53"/>
        <v>1.5117030219137267E-2</v>
      </c>
      <c r="W196" s="315">
        <f t="shared" si="53"/>
        <v>1.3442457117068971E-2</v>
      </c>
      <c r="X196" s="315">
        <f t="shared" si="53"/>
        <v>0</v>
      </c>
      <c r="Y196" s="315">
        <f t="shared" si="53"/>
        <v>0</v>
      </c>
      <c r="Z196" s="315">
        <f t="shared" si="53"/>
        <v>0</v>
      </c>
      <c r="AA196" s="315">
        <f t="shared" si="53"/>
        <v>0</v>
      </c>
      <c r="AB196" s="315">
        <f t="shared" si="53"/>
        <v>1.5379914722823832E-2</v>
      </c>
      <c r="AC196" s="315">
        <f t="shared" si="53"/>
        <v>0</v>
      </c>
      <c r="AD196" s="315">
        <f t="shared" si="53"/>
        <v>0</v>
      </c>
      <c r="AE196" s="315">
        <f t="shared" si="53"/>
        <v>0</v>
      </c>
      <c r="AF196" s="315">
        <f t="shared" si="53"/>
        <v>0</v>
      </c>
      <c r="AG196" s="315">
        <f t="shared" si="53"/>
        <v>-1.3435919083487381E-2</v>
      </c>
      <c r="AH196" s="315">
        <f t="shared" si="53"/>
        <v>-1.3435919083487381E-2</v>
      </c>
      <c r="AI196" s="315">
        <f t="shared" si="53"/>
        <v>0</v>
      </c>
      <c r="AJ196" s="315">
        <f t="shared" si="53"/>
        <v>0</v>
      </c>
      <c r="AK196" s="315">
        <f t="shared" si="53"/>
        <v>-1.3049542931735885E-2</v>
      </c>
      <c r="AL196" s="315">
        <f t="shared" si="53"/>
        <v>-1.3049542931735885E-2</v>
      </c>
      <c r="AM196" s="315">
        <f t="shared" si="53"/>
        <v>0</v>
      </c>
      <c r="AN196" s="315">
        <f t="shared" si="53"/>
        <v>0</v>
      </c>
      <c r="AO196" s="315">
        <f t="shared" si="53"/>
        <v>-1.2912441716598258E-2</v>
      </c>
      <c r="AP196" s="315">
        <f t="shared" si="53"/>
        <v>-1.2912441716598258E-2</v>
      </c>
      <c r="AQ196" s="304"/>
      <c r="AR196" s="304"/>
    </row>
    <row r="197" spans="3:44" x14ac:dyDescent="0.25">
      <c r="D197" s="32"/>
      <c r="E197" s="32"/>
      <c r="F197" s="208" t="s">
        <v>231</v>
      </c>
      <c r="G197" t="s">
        <v>328</v>
      </c>
      <c r="H197" s="304"/>
      <c r="I197" s="304"/>
      <c r="J197" s="315">
        <f t="shared" ref="J197:AP197" si="54">hundred * $H34 * J59 / $H47 * J97 / hours_in_year</f>
        <v>0</v>
      </c>
      <c r="K197" s="315">
        <f t="shared" si="54"/>
        <v>2.6819432669939248E-3</v>
      </c>
      <c r="L197" s="315">
        <f t="shared" si="54"/>
        <v>0</v>
      </c>
      <c r="M197" s="315">
        <f t="shared" si="54"/>
        <v>0</v>
      </c>
      <c r="N197" s="315">
        <f t="shared" si="54"/>
        <v>2.4455828742122655E-3</v>
      </c>
      <c r="O197" s="315">
        <f t="shared" si="54"/>
        <v>0</v>
      </c>
      <c r="P197" s="315">
        <f t="shared" si="54"/>
        <v>2.2204775800699229E-3</v>
      </c>
      <c r="Q197" s="315">
        <f t="shared" si="54"/>
        <v>1.6802959814641067E-3</v>
      </c>
      <c r="R197" s="315">
        <f t="shared" si="54"/>
        <v>2.2727031100519515E-3</v>
      </c>
      <c r="S197" s="315">
        <f t="shared" si="54"/>
        <v>3.678958937723923E-2</v>
      </c>
      <c r="T197" s="315">
        <f t="shared" si="54"/>
        <v>3.4205827786066241E-2</v>
      </c>
      <c r="U197" s="315">
        <f t="shared" si="54"/>
        <v>2.8605158438212212E-2</v>
      </c>
      <c r="V197" s="315">
        <f t="shared" si="54"/>
        <v>2.7220419552056316E-2</v>
      </c>
      <c r="W197" s="315">
        <f t="shared" si="54"/>
        <v>2.4205106243283373E-2</v>
      </c>
      <c r="X197" s="315">
        <f t="shared" si="54"/>
        <v>0</v>
      </c>
      <c r="Y197" s="315">
        <f t="shared" si="54"/>
        <v>0</v>
      </c>
      <c r="Z197" s="315">
        <f t="shared" si="54"/>
        <v>0</v>
      </c>
      <c r="AA197" s="315">
        <f t="shared" si="54"/>
        <v>0</v>
      </c>
      <c r="AB197" s="315">
        <f t="shared" si="54"/>
        <v>2.5896860810906384E-2</v>
      </c>
      <c r="AC197" s="315">
        <f t="shared" si="54"/>
        <v>0</v>
      </c>
      <c r="AD197" s="315">
        <f t="shared" si="54"/>
        <v>0</v>
      </c>
      <c r="AE197" s="315">
        <f t="shared" si="54"/>
        <v>0</v>
      </c>
      <c r="AF197" s="315">
        <f t="shared" si="54"/>
        <v>0</v>
      </c>
      <c r="AG197" s="315">
        <f t="shared" si="54"/>
        <v>-2.4193333559458796E-2</v>
      </c>
      <c r="AH197" s="315">
        <f t="shared" si="54"/>
        <v>-2.4193333559458796E-2</v>
      </c>
      <c r="AI197" s="315">
        <f t="shared" si="54"/>
        <v>0</v>
      </c>
      <c r="AJ197" s="315">
        <f t="shared" si="54"/>
        <v>0</v>
      </c>
      <c r="AK197" s="315">
        <f t="shared" si="54"/>
        <v>-2.3497606898658034E-2</v>
      </c>
      <c r="AL197" s="315">
        <f t="shared" si="54"/>
        <v>-2.3497606898658034E-2</v>
      </c>
      <c r="AM197" s="315">
        <f t="shared" si="54"/>
        <v>0</v>
      </c>
      <c r="AN197" s="315">
        <f t="shared" si="54"/>
        <v>0</v>
      </c>
      <c r="AO197" s="315">
        <f t="shared" si="54"/>
        <v>-2.3250736148051315E-2</v>
      </c>
      <c r="AP197" s="315">
        <f t="shared" si="54"/>
        <v>-2.3250736148051315E-2</v>
      </c>
      <c r="AQ197" s="304"/>
      <c r="AR197" s="304"/>
    </row>
    <row r="198" spans="3:44" x14ac:dyDescent="0.25">
      <c r="D198" s="32"/>
      <c r="E198" s="32"/>
      <c r="F198" s="208" t="s">
        <v>232</v>
      </c>
      <c r="G198" t="s">
        <v>328</v>
      </c>
      <c r="H198" s="304"/>
      <c r="I198" s="304"/>
      <c r="J198" s="315">
        <f t="shared" ref="J198:AP198" si="55">hundred * $H35 * J60 / $H48 * J98 / hours_in_year</f>
        <v>0</v>
      </c>
      <c r="K198" s="315">
        <f t="shared" si="55"/>
        <v>4.3144807098180766E-3</v>
      </c>
      <c r="L198" s="315">
        <f t="shared" si="55"/>
        <v>0</v>
      </c>
      <c r="M198" s="315">
        <f t="shared" si="55"/>
        <v>0</v>
      </c>
      <c r="N198" s="315">
        <f t="shared" si="55"/>
        <v>3.9342443462187402E-3</v>
      </c>
      <c r="O198" s="315">
        <f t="shared" si="55"/>
        <v>0</v>
      </c>
      <c r="P198" s="315">
        <f t="shared" si="55"/>
        <v>3.5721142216901735E-3</v>
      </c>
      <c r="Q198" s="315">
        <f t="shared" si="55"/>
        <v>2.7031163142155088E-3</v>
      </c>
      <c r="R198" s="315">
        <f t="shared" si="55"/>
        <v>3.656130182967403E-3</v>
      </c>
      <c r="S198" s="315">
        <f t="shared" si="55"/>
        <v>5.9183941600725223E-2</v>
      </c>
      <c r="T198" s="315">
        <f t="shared" si="55"/>
        <v>5.5027407165013781E-2</v>
      </c>
      <c r="U198" s="315">
        <f t="shared" si="55"/>
        <v>4.6017529826903644E-2</v>
      </c>
      <c r="V198" s="315">
        <f t="shared" si="55"/>
        <v>4.3789880463108173E-2</v>
      </c>
      <c r="W198" s="315">
        <f t="shared" si="55"/>
        <v>3.8939102571993268E-2</v>
      </c>
      <c r="X198" s="315">
        <f t="shared" si="55"/>
        <v>0</v>
      </c>
      <c r="Y198" s="315">
        <f t="shared" si="55"/>
        <v>0</v>
      </c>
      <c r="Z198" s="315">
        <f t="shared" si="55"/>
        <v>0</v>
      </c>
      <c r="AA198" s="315">
        <f t="shared" si="55"/>
        <v>0</v>
      </c>
      <c r="AB198" s="315">
        <f t="shared" si="55"/>
        <v>4.1660652478579217E-2</v>
      </c>
      <c r="AC198" s="315">
        <f t="shared" si="55"/>
        <v>0</v>
      </c>
      <c r="AD198" s="315">
        <f t="shared" si="55"/>
        <v>0</v>
      </c>
      <c r="AE198" s="315">
        <f t="shared" si="55"/>
        <v>0</v>
      </c>
      <c r="AF198" s="315">
        <f t="shared" si="55"/>
        <v>0</v>
      </c>
      <c r="AG198" s="315">
        <f t="shared" si="55"/>
        <v>-3.8920163686190203E-2</v>
      </c>
      <c r="AH198" s="315">
        <f t="shared" si="55"/>
        <v>-3.8920163686190203E-2</v>
      </c>
      <c r="AI198" s="315">
        <f t="shared" si="55"/>
        <v>0</v>
      </c>
      <c r="AJ198" s="315">
        <f t="shared" si="55"/>
        <v>0</v>
      </c>
      <c r="AK198" s="315">
        <f t="shared" si="55"/>
        <v>-3.7800938199852627E-2</v>
      </c>
      <c r="AL198" s="315">
        <f t="shared" si="55"/>
        <v>-3.7800938199852627E-2</v>
      </c>
      <c r="AM198" s="315">
        <f t="shared" si="55"/>
        <v>0</v>
      </c>
      <c r="AN198" s="315">
        <f t="shared" si="55"/>
        <v>0</v>
      </c>
      <c r="AO198" s="315">
        <f t="shared" si="55"/>
        <v>-3.740379367244253E-2</v>
      </c>
      <c r="AP198" s="315">
        <f t="shared" si="55"/>
        <v>-3.740379367244253E-2</v>
      </c>
      <c r="AQ198" s="304"/>
      <c r="AR198" s="304"/>
    </row>
    <row r="199" spans="3:44" x14ac:dyDescent="0.25">
      <c r="D199" s="32"/>
      <c r="E199" s="32"/>
      <c r="F199" s="208" t="s">
        <v>233</v>
      </c>
      <c r="G199" t="s">
        <v>328</v>
      </c>
      <c r="H199" s="304"/>
      <c r="I199" s="304"/>
      <c r="J199" s="315">
        <f t="shared" ref="J199:AP199" si="56">hundred * $H36 * J61 / $H49 * J99 / hours_in_year</f>
        <v>0</v>
      </c>
      <c r="K199" s="315">
        <f t="shared" si="56"/>
        <v>1.29176272844914E-4</v>
      </c>
      <c r="L199" s="315">
        <f t="shared" si="56"/>
        <v>0</v>
      </c>
      <c r="M199" s="315">
        <f t="shared" si="56"/>
        <v>0</v>
      </c>
      <c r="N199" s="315">
        <f t="shared" si="56"/>
        <v>1.1779102922420266E-4</v>
      </c>
      <c r="O199" s="315">
        <f t="shared" si="56"/>
        <v>0</v>
      </c>
      <c r="P199" s="315">
        <f t="shared" si="56"/>
        <v>1.0695012534544017E-4</v>
      </c>
      <c r="Q199" s="315">
        <f t="shared" si="56"/>
        <v>8.0932078507798573E-5</v>
      </c>
      <c r="R199" s="315">
        <f t="shared" si="56"/>
        <v>1.094655873469228E-4</v>
      </c>
      <c r="S199" s="315">
        <f t="shared" si="56"/>
        <v>3.4188979874890646E-3</v>
      </c>
      <c r="T199" s="315">
        <f t="shared" si="56"/>
        <v>3.1792065591377339E-3</v>
      </c>
      <c r="U199" s="315">
        <f t="shared" si="56"/>
        <v>2.6585104023749587E-3</v>
      </c>
      <c r="V199" s="315">
        <f t="shared" si="56"/>
        <v>2.5298153370646105E-3</v>
      </c>
      <c r="W199" s="315">
        <f t="shared" si="56"/>
        <v>2.2495777073689811E-3</v>
      </c>
      <c r="X199" s="315">
        <f t="shared" si="56"/>
        <v>0</v>
      </c>
      <c r="Y199" s="315">
        <f t="shared" si="56"/>
        <v>0</v>
      </c>
      <c r="Z199" s="315">
        <f t="shared" si="56"/>
        <v>0</v>
      </c>
      <c r="AA199" s="315">
        <f t="shared" si="56"/>
        <v>0</v>
      </c>
      <c r="AB199" s="315">
        <f t="shared" si="56"/>
        <v>2.5738087166942273E-3</v>
      </c>
      <c r="AC199" s="315">
        <f t="shared" si="56"/>
        <v>0</v>
      </c>
      <c r="AD199" s="315">
        <f t="shared" si="56"/>
        <v>0</v>
      </c>
      <c r="AE199" s="315">
        <f t="shared" si="56"/>
        <v>0</v>
      </c>
      <c r="AF199" s="315">
        <f t="shared" si="56"/>
        <v>0</v>
      </c>
      <c r="AG199" s="315">
        <f t="shared" si="56"/>
        <v>-2.2484835759563164E-3</v>
      </c>
      <c r="AH199" s="315">
        <f t="shared" si="56"/>
        <v>-2.2484835759563164E-3</v>
      </c>
      <c r="AI199" s="315">
        <f t="shared" si="56"/>
        <v>0</v>
      </c>
      <c r="AJ199" s="315">
        <f t="shared" si="56"/>
        <v>0</v>
      </c>
      <c r="AK199" s="315">
        <f t="shared" si="56"/>
        <v>-2.1838240297089632E-3</v>
      </c>
      <c r="AL199" s="315">
        <f t="shared" si="56"/>
        <v>-2.1838240297089632E-3</v>
      </c>
      <c r="AM199" s="315">
        <f t="shared" si="56"/>
        <v>0</v>
      </c>
      <c r="AN199" s="315">
        <f t="shared" si="56"/>
        <v>0</v>
      </c>
      <c r="AO199" s="315">
        <f t="shared" si="56"/>
        <v>-2.1608803197502263E-3</v>
      </c>
      <c r="AP199" s="315">
        <f t="shared" si="56"/>
        <v>-2.1608803197502263E-3</v>
      </c>
      <c r="AQ199" s="304"/>
      <c r="AR199" s="304"/>
    </row>
    <row r="200" spans="3:44" x14ac:dyDescent="0.25">
      <c r="D200" s="32"/>
      <c r="E200" s="32"/>
      <c r="F200" s="208" t="s">
        <v>234</v>
      </c>
      <c r="G200" t="s">
        <v>328</v>
      </c>
      <c r="H200" s="304"/>
      <c r="I200" s="304"/>
      <c r="J200" s="315">
        <f t="shared" ref="J200:AP200" si="57">hundred * $H37 * J62 / $H50 * J100 / hours_in_year</f>
        <v>0</v>
      </c>
      <c r="K200" s="315">
        <f t="shared" si="57"/>
        <v>9.9398248735988251E-3</v>
      </c>
      <c r="L200" s="315">
        <f t="shared" si="57"/>
        <v>0</v>
      </c>
      <c r="M200" s="315">
        <f t="shared" si="57"/>
        <v>0</v>
      </c>
      <c r="N200" s="315">
        <f t="shared" si="57"/>
        <v>9.0638253920967242E-3</v>
      </c>
      <c r="O200" s="315">
        <f t="shared" si="57"/>
        <v>0</v>
      </c>
      <c r="P200" s="315">
        <f t="shared" si="57"/>
        <v>8.2295395854462498E-3</v>
      </c>
      <c r="Q200" s="315">
        <f t="shared" si="57"/>
        <v>6.2275171876717064E-3</v>
      </c>
      <c r="R200" s="315">
        <f t="shared" si="57"/>
        <v>8.4230979758644405E-3</v>
      </c>
      <c r="S200" s="315">
        <f t="shared" si="57"/>
        <v>0.13634966857119499</v>
      </c>
      <c r="T200" s="315">
        <f t="shared" si="57"/>
        <v>0.12677372487117164</v>
      </c>
      <c r="U200" s="315">
        <f t="shared" si="57"/>
        <v>0.10601651006438724</v>
      </c>
      <c r="V200" s="315">
        <f t="shared" si="57"/>
        <v>0.10088438732583302</v>
      </c>
      <c r="W200" s="315">
        <f t="shared" si="57"/>
        <v>8.970902556591448E-2</v>
      </c>
      <c r="X200" s="315">
        <f t="shared" si="57"/>
        <v>0</v>
      </c>
      <c r="Y200" s="315">
        <f t="shared" si="57"/>
        <v>0</v>
      </c>
      <c r="Z200" s="315">
        <f t="shared" si="57"/>
        <v>0</v>
      </c>
      <c r="AA200" s="315">
        <f t="shared" si="57"/>
        <v>0</v>
      </c>
      <c r="AB200" s="315">
        <f t="shared" si="57"/>
        <v>9.5979010594394121E-2</v>
      </c>
      <c r="AC200" s="315">
        <f t="shared" si="57"/>
        <v>0</v>
      </c>
      <c r="AD200" s="315">
        <f t="shared" si="57"/>
        <v>0</v>
      </c>
      <c r="AE200" s="315">
        <f t="shared" si="57"/>
        <v>0</v>
      </c>
      <c r="AF200" s="315">
        <f t="shared" si="57"/>
        <v>0</v>
      </c>
      <c r="AG200" s="315">
        <f t="shared" si="57"/>
        <v>-8.9665393615549011E-2</v>
      </c>
      <c r="AH200" s="315">
        <f t="shared" si="57"/>
        <v>-8.9665393615549011E-2</v>
      </c>
      <c r="AI200" s="315">
        <f t="shared" si="57"/>
        <v>0</v>
      </c>
      <c r="AJ200" s="315">
        <f t="shared" si="57"/>
        <v>0</v>
      </c>
      <c r="AK200" s="315">
        <f t="shared" si="57"/>
        <v>-8.7086889717513744E-2</v>
      </c>
      <c r="AL200" s="315">
        <f t="shared" si="57"/>
        <v>-8.7086889717513744E-2</v>
      </c>
      <c r="AM200" s="315">
        <f t="shared" si="57"/>
        <v>0</v>
      </c>
      <c r="AN200" s="315">
        <f t="shared" si="57"/>
        <v>0</v>
      </c>
      <c r="AO200" s="315">
        <f t="shared" si="57"/>
        <v>0</v>
      </c>
      <c r="AP200" s="315">
        <f t="shared" si="57"/>
        <v>0</v>
      </c>
      <c r="AQ200" s="304"/>
      <c r="AR200" s="304"/>
    </row>
    <row r="201" spans="3:44" x14ac:dyDescent="0.25">
      <c r="D201" s="32"/>
      <c r="E201" s="32"/>
      <c r="F201" s="208" t="s">
        <v>235</v>
      </c>
      <c r="G201" t="s">
        <v>328</v>
      </c>
      <c r="H201" s="304"/>
      <c r="I201" s="304"/>
      <c r="J201" s="315">
        <f t="shared" ref="J201:AP201" si="58">hundred * $H38 * J63 / $H51 * J101 / hours_in_year</f>
        <v>0</v>
      </c>
      <c r="K201" s="315">
        <f t="shared" si="58"/>
        <v>4.5499761226272719E-3</v>
      </c>
      <c r="L201" s="315">
        <f t="shared" si="58"/>
        <v>0</v>
      </c>
      <c r="M201" s="315">
        <f t="shared" si="58"/>
        <v>0</v>
      </c>
      <c r="N201" s="315">
        <f t="shared" si="58"/>
        <v>4.1489854839637033E-3</v>
      </c>
      <c r="O201" s="315">
        <f t="shared" si="58"/>
        <v>0</v>
      </c>
      <c r="P201" s="315">
        <f t="shared" si="58"/>
        <v>3.7670893692958278E-3</v>
      </c>
      <c r="Q201" s="315">
        <f t="shared" si="58"/>
        <v>2.8506593292622253E-3</v>
      </c>
      <c r="R201" s="315">
        <f t="shared" si="58"/>
        <v>0</v>
      </c>
      <c r="S201" s="315">
        <f t="shared" si="58"/>
        <v>6.2414352789543784E-2</v>
      </c>
      <c r="T201" s="315">
        <f t="shared" si="58"/>
        <v>5.8030944053394269E-2</v>
      </c>
      <c r="U201" s="315">
        <f t="shared" si="58"/>
        <v>4.852928452275513E-2</v>
      </c>
      <c r="V201" s="315">
        <f t="shared" si="58"/>
        <v>4.6180044348430038E-2</v>
      </c>
      <c r="W201" s="315">
        <f t="shared" si="58"/>
        <v>0</v>
      </c>
      <c r="X201" s="315">
        <f t="shared" si="58"/>
        <v>0</v>
      </c>
      <c r="Y201" s="315">
        <f t="shared" si="58"/>
        <v>0</v>
      </c>
      <c r="Z201" s="315">
        <f t="shared" si="58"/>
        <v>0</v>
      </c>
      <c r="AA201" s="315">
        <f t="shared" si="58"/>
        <v>0</v>
      </c>
      <c r="AB201" s="315">
        <f t="shared" si="58"/>
        <v>4.3934597644452296E-2</v>
      </c>
      <c r="AC201" s="315">
        <f t="shared" si="58"/>
        <v>0</v>
      </c>
      <c r="AD201" s="315">
        <f t="shared" si="58"/>
        <v>0</v>
      </c>
      <c r="AE201" s="315">
        <f t="shared" si="58"/>
        <v>0</v>
      </c>
      <c r="AF201" s="315">
        <f t="shared" si="58"/>
        <v>0</v>
      </c>
      <c r="AG201" s="315">
        <f t="shared" si="58"/>
        <v>-4.1044525951392526E-2</v>
      </c>
      <c r="AH201" s="315">
        <f t="shared" si="58"/>
        <v>-4.1044525951392526E-2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236</v>
      </c>
      <c r="G202" s="37" t="s">
        <v>328</v>
      </c>
      <c r="H202" s="308"/>
      <c r="I202" s="308"/>
      <c r="J202" s="316">
        <f t="shared" ref="J202:AP202" si="59">hundred * $H39 * J64 / $H52 * J102 / hours_in_year</f>
        <v>0</v>
      </c>
      <c r="K202" s="316">
        <f t="shared" si="59"/>
        <v>9.0690423983107449E-3</v>
      </c>
      <c r="L202" s="316">
        <f t="shared" si="59"/>
        <v>0</v>
      </c>
      <c r="M202" s="316">
        <f t="shared" si="59"/>
        <v>0</v>
      </c>
      <c r="N202" s="316">
        <f t="shared" si="59"/>
        <v>8.2697852142388107E-3</v>
      </c>
      <c r="O202" s="316">
        <f t="shared" si="59"/>
        <v>0</v>
      </c>
      <c r="P202" s="316">
        <f t="shared" si="59"/>
        <v>7.5085873612546448E-3</v>
      </c>
      <c r="Q202" s="316">
        <f t="shared" si="59"/>
        <v>0</v>
      </c>
      <c r="R202" s="316">
        <f t="shared" si="59"/>
        <v>0</v>
      </c>
      <c r="S202" s="316">
        <f t="shared" si="59"/>
        <v>0.12440469937777435</v>
      </c>
      <c r="T202" s="316">
        <f t="shared" si="59"/>
        <v>0.11566766019210252</v>
      </c>
      <c r="U202" s="316">
        <f t="shared" si="59"/>
        <v>9.672888978644105E-2</v>
      </c>
      <c r="V202" s="316">
        <f t="shared" si="59"/>
        <v>0</v>
      </c>
      <c r="W202" s="316">
        <f t="shared" si="59"/>
        <v>0</v>
      </c>
      <c r="X202" s="316">
        <f t="shared" si="59"/>
        <v>0</v>
      </c>
      <c r="Y202" s="316">
        <f t="shared" si="59"/>
        <v>0</v>
      </c>
      <c r="Z202" s="316">
        <f t="shared" si="59"/>
        <v>0</v>
      </c>
      <c r="AA202" s="316">
        <f t="shared" si="59"/>
        <v>0</v>
      </c>
      <c r="AB202" s="316">
        <f t="shared" si="59"/>
        <v>8.7570729615211521E-2</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740</v>
      </c>
      <c r="D206" s="32"/>
      <c r="E206" s="32"/>
      <c r="I206" s="3" t="s">
        <v>191</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738</v>
      </c>
    </row>
    <row r="207" spans="3:44" x14ac:dyDescent="0.25">
      <c r="C207" s="29" t="s">
        <v>741</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734</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226</v>
      </c>
      <c r="G210" s="23" t="s">
        <v>328</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228</v>
      </c>
      <c r="G211" t="s">
        <v>328</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229</v>
      </c>
      <c r="G212" t="s">
        <v>328</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2.574405804486968E-3</v>
      </c>
      <c r="T212" s="315">
        <f t="shared" si="62"/>
        <v>2.3939198681731367E-3</v>
      </c>
      <c r="U212" s="315">
        <f t="shared" si="62"/>
        <v>2.0018393752045138E-3</v>
      </c>
      <c r="V212" s="315">
        <f t="shared" si="62"/>
        <v>1.9049329087477262E-3</v>
      </c>
      <c r="W212" s="315">
        <f t="shared" si="62"/>
        <v>1.6939159719557776E-3</v>
      </c>
      <c r="X212" s="315">
        <f t="shared" si="62"/>
        <v>0</v>
      </c>
      <c r="Y212" s="315">
        <f t="shared" si="62"/>
        <v>0</v>
      </c>
      <c r="Z212" s="315">
        <f t="shared" si="62"/>
        <v>0</v>
      </c>
      <c r="AA212" s="315">
        <f t="shared" si="62"/>
        <v>0</v>
      </c>
      <c r="AB212" s="315">
        <f t="shared" si="62"/>
        <v>2.0317386068260234E-3</v>
      </c>
      <c r="AC212" s="315">
        <f t="shared" si="62"/>
        <v>0</v>
      </c>
      <c r="AD212" s="315">
        <f t="shared" si="62"/>
        <v>0</v>
      </c>
      <c r="AE212" s="315">
        <f t="shared" si="62"/>
        <v>0</v>
      </c>
      <c r="AF212" s="315">
        <f t="shared" si="62"/>
        <v>0</v>
      </c>
      <c r="AG212" s="315">
        <f t="shared" si="62"/>
        <v>-1.6930920988042701E-3</v>
      </c>
      <c r="AH212" s="315">
        <f t="shared" si="62"/>
        <v>-1.6930920988042701E-3</v>
      </c>
      <c r="AI212" s="315">
        <f t="shared" si="62"/>
        <v>0</v>
      </c>
      <c r="AJ212" s="315">
        <f t="shared" si="62"/>
        <v>0</v>
      </c>
      <c r="AK212" s="315">
        <f t="shared" si="62"/>
        <v>-1.6444039215659284E-3</v>
      </c>
      <c r="AL212" s="315">
        <f t="shared" si="62"/>
        <v>-1.6444039215659284E-3</v>
      </c>
      <c r="AM212" s="315">
        <f t="shared" si="62"/>
        <v>0</v>
      </c>
      <c r="AN212" s="315">
        <f t="shared" si="62"/>
        <v>0</v>
      </c>
      <c r="AO212" s="315">
        <f t="shared" si="62"/>
        <v>-1.6271274715781295E-3</v>
      </c>
      <c r="AP212" s="315">
        <f t="shared" si="62"/>
        <v>-1.6271274715781295E-3</v>
      </c>
      <c r="AQ212" s="304"/>
      <c r="AR212" s="304"/>
    </row>
    <row r="213" spans="3:44" x14ac:dyDescent="0.25">
      <c r="E213" s="32"/>
      <c r="F213" s="208" t="s">
        <v>230</v>
      </c>
      <c r="G213" t="s">
        <v>328</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1.345103011144653E-3</v>
      </c>
      <c r="T213" s="315">
        <f t="shared" si="63"/>
        <v>1.2508007935292849E-3</v>
      </c>
      <c r="U213" s="315">
        <f t="shared" si="63"/>
        <v>1.0459423944439575E-3</v>
      </c>
      <c r="V213" s="315">
        <f t="shared" si="63"/>
        <v>9.9530966995148382E-4</v>
      </c>
      <c r="W213" s="315">
        <f t="shared" si="63"/>
        <v>8.8505528947010743E-4</v>
      </c>
      <c r="X213" s="315">
        <f t="shared" si="63"/>
        <v>0</v>
      </c>
      <c r="Y213" s="315">
        <f t="shared" si="63"/>
        <v>0</v>
      </c>
      <c r="Z213" s="315">
        <f t="shared" si="63"/>
        <v>0</v>
      </c>
      <c r="AA213" s="315">
        <f t="shared" si="63"/>
        <v>0</v>
      </c>
      <c r="AB213" s="315">
        <f t="shared" si="63"/>
        <v>1.0615644639774041E-3</v>
      </c>
      <c r="AC213" s="315">
        <f t="shared" si="63"/>
        <v>0</v>
      </c>
      <c r="AD213" s="315">
        <f t="shared" si="63"/>
        <v>0</v>
      </c>
      <c r="AE213" s="315">
        <f t="shared" si="63"/>
        <v>0</v>
      </c>
      <c r="AF213" s="315">
        <f t="shared" si="63"/>
        <v>0</v>
      </c>
      <c r="AG213" s="315">
        <f t="shared" si="63"/>
        <v>-8.8462482343597932E-4</v>
      </c>
      <c r="AH213" s="315">
        <f t="shared" si="63"/>
        <v>-8.8462482343597932E-4</v>
      </c>
      <c r="AI213" s="315">
        <f t="shared" si="63"/>
        <v>0</v>
      </c>
      <c r="AJ213" s="315">
        <f t="shared" si="63"/>
        <v>0</v>
      </c>
      <c r="AK213" s="315">
        <f t="shared" si="63"/>
        <v>-8.5918570513679969E-4</v>
      </c>
      <c r="AL213" s="315">
        <f t="shared" si="63"/>
        <v>-8.5918570513679969E-4</v>
      </c>
      <c r="AM213" s="315">
        <f t="shared" si="63"/>
        <v>0</v>
      </c>
      <c r="AN213" s="315">
        <f t="shared" si="63"/>
        <v>0</v>
      </c>
      <c r="AO213" s="315">
        <f t="shared" si="63"/>
        <v>-8.5015892122418781E-4</v>
      </c>
      <c r="AP213" s="315">
        <f t="shared" si="63"/>
        <v>-8.5015892122418781E-4</v>
      </c>
      <c r="AQ213" s="304"/>
      <c r="AR213" s="304"/>
    </row>
    <row r="214" spans="3:44" x14ac:dyDescent="0.25">
      <c r="E214" s="32"/>
      <c r="F214" s="208" t="s">
        <v>231</v>
      </c>
      <c r="G214" t="s">
        <v>328</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4.6738609075090733E-3</v>
      </c>
      <c r="T214" s="315">
        <f t="shared" si="64"/>
        <v>4.3456120061288904E-3</v>
      </c>
      <c r="U214" s="315">
        <f t="shared" si="64"/>
        <v>3.6340860020627995E-3</v>
      </c>
      <c r="V214" s="315">
        <f t="shared" si="64"/>
        <v>3.4581645781853209E-3</v>
      </c>
      <c r="W214" s="315">
        <f t="shared" si="64"/>
        <v>2.87391749623187E-3</v>
      </c>
      <c r="X214" s="315">
        <f t="shared" si="64"/>
        <v>0</v>
      </c>
      <c r="Y214" s="315">
        <f t="shared" si="64"/>
        <v>0</v>
      </c>
      <c r="Z214" s="315">
        <f t="shared" si="64"/>
        <v>0</v>
      </c>
      <c r="AA214" s="315">
        <f t="shared" si="64"/>
        <v>0</v>
      </c>
      <c r="AB214" s="315">
        <f t="shared" si="64"/>
        <v>3.6883642725644276E-3</v>
      </c>
      <c r="AC214" s="315">
        <f t="shared" si="64"/>
        <v>0</v>
      </c>
      <c r="AD214" s="315">
        <f t="shared" si="64"/>
        <v>0</v>
      </c>
      <c r="AE214" s="315">
        <f t="shared" si="64"/>
        <v>0</v>
      </c>
      <c r="AF214" s="315">
        <f t="shared" si="64"/>
        <v>0</v>
      </c>
      <c r="AG214" s="315">
        <f t="shared" si="64"/>
        <v>-3.0735944015683734E-3</v>
      </c>
      <c r="AH214" s="315">
        <f t="shared" si="64"/>
        <v>-3.0735944015683734E-3</v>
      </c>
      <c r="AI214" s="315">
        <f t="shared" si="64"/>
        <v>0</v>
      </c>
      <c r="AJ214" s="315">
        <f t="shared" si="64"/>
        <v>0</v>
      </c>
      <c r="AK214" s="315">
        <f t="shared" si="64"/>
        <v>-2.985207178517706E-3</v>
      </c>
      <c r="AL214" s="315">
        <f t="shared" si="64"/>
        <v>-2.985207178517706E-3</v>
      </c>
      <c r="AM214" s="315">
        <f t="shared" si="64"/>
        <v>0</v>
      </c>
      <c r="AN214" s="315">
        <f t="shared" si="64"/>
        <v>0</v>
      </c>
      <c r="AO214" s="315">
        <f t="shared" si="64"/>
        <v>-2.7606033513981132E-3</v>
      </c>
      <c r="AP214" s="315">
        <f t="shared" si="64"/>
        <v>-2.7606033513981132E-3</v>
      </c>
      <c r="AQ214" s="304"/>
      <c r="AR214" s="304"/>
    </row>
    <row r="215" spans="3:44" x14ac:dyDescent="0.25">
      <c r="E215" s="32"/>
      <c r="F215" s="208" t="s">
        <v>232</v>
      </c>
      <c r="G215" t="s">
        <v>328</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7.5189072692142013E-3</v>
      </c>
      <c r="T215" s="315">
        <f t="shared" si="65"/>
        <v>6.9908485401378173E-3</v>
      </c>
      <c r="U215" s="315">
        <f t="shared" si="65"/>
        <v>5.8462064230366722E-3</v>
      </c>
      <c r="V215" s="315">
        <f t="shared" si="65"/>
        <v>5.5631990980480831E-3</v>
      </c>
      <c r="W215" s="315">
        <f t="shared" si="65"/>
        <v>3.207450375773959E-3</v>
      </c>
      <c r="X215" s="315">
        <f t="shared" si="65"/>
        <v>0</v>
      </c>
      <c r="Y215" s="315">
        <f t="shared" si="65"/>
        <v>0</v>
      </c>
      <c r="Z215" s="315">
        <f t="shared" si="65"/>
        <v>0</v>
      </c>
      <c r="AA215" s="315">
        <f t="shared" si="65"/>
        <v>0</v>
      </c>
      <c r="AB215" s="315">
        <f t="shared" si="65"/>
        <v>5.9335246575137387E-3</v>
      </c>
      <c r="AC215" s="315">
        <f t="shared" si="65"/>
        <v>0</v>
      </c>
      <c r="AD215" s="315">
        <f t="shared" si="65"/>
        <v>0</v>
      </c>
      <c r="AE215" s="315">
        <f t="shared" si="65"/>
        <v>0</v>
      </c>
      <c r="AF215" s="315">
        <f t="shared" si="65"/>
        <v>0</v>
      </c>
      <c r="AG215" s="315">
        <f t="shared" si="65"/>
        <v>-4.9445355233913007E-3</v>
      </c>
      <c r="AH215" s="315">
        <f t="shared" si="65"/>
        <v>-4.9445355233913007E-3</v>
      </c>
      <c r="AI215" s="315">
        <f t="shared" si="65"/>
        <v>0</v>
      </c>
      <c r="AJ215" s="315">
        <f t="shared" si="65"/>
        <v>0</v>
      </c>
      <c r="AK215" s="315">
        <f t="shared" si="65"/>
        <v>-4.8023457263364489E-3</v>
      </c>
      <c r="AL215" s="315">
        <f t="shared" si="65"/>
        <v>-4.8023457263364489E-3</v>
      </c>
      <c r="AM215" s="315">
        <f t="shared" si="65"/>
        <v>0</v>
      </c>
      <c r="AN215" s="315">
        <f t="shared" si="65"/>
        <v>0</v>
      </c>
      <c r="AO215" s="315">
        <f t="shared" si="65"/>
        <v>-3.0809855427006102E-3</v>
      </c>
      <c r="AP215" s="315">
        <f t="shared" si="65"/>
        <v>-3.0809855427006102E-3</v>
      </c>
      <c r="AQ215" s="304"/>
      <c r="AR215" s="304"/>
    </row>
    <row r="216" spans="3:44" x14ac:dyDescent="0.25">
      <c r="E216" s="32"/>
      <c r="F216" s="208" t="s">
        <v>233</v>
      </c>
      <c r="G216" t="s">
        <v>328</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2.2510123868229817E-4</v>
      </c>
      <c r="T216" s="315">
        <f t="shared" si="66"/>
        <v>2.0931988526934076E-4</v>
      </c>
      <c r="U216" s="315">
        <f t="shared" si="66"/>
        <v>1.7503709874183322E-4</v>
      </c>
      <c r="V216" s="315">
        <f t="shared" si="66"/>
        <v>1.6656377818074372E-4</v>
      </c>
      <c r="W216" s="315">
        <f t="shared" si="66"/>
        <v>9.6031985104326633E-5</v>
      </c>
      <c r="X216" s="315">
        <f t="shared" si="66"/>
        <v>0</v>
      </c>
      <c r="Y216" s="315">
        <f t="shared" si="66"/>
        <v>0</v>
      </c>
      <c r="Z216" s="315">
        <f t="shared" si="66"/>
        <v>0</v>
      </c>
      <c r="AA216" s="315">
        <f t="shared" si="66"/>
        <v>0</v>
      </c>
      <c r="AB216" s="315">
        <f t="shared" si="66"/>
        <v>1.7765143175099604E-4</v>
      </c>
      <c r="AC216" s="315">
        <f t="shared" si="66"/>
        <v>0</v>
      </c>
      <c r="AD216" s="315">
        <f t="shared" si="66"/>
        <v>0</v>
      </c>
      <c r="AE216" s="315">
        <f t="shared" si="66"/>
        <v>0</v>
      </c>
      <c r="AF216" s="315">
        <f t="shared" si="66"/>
        <v>0</v>
      </c>
      <c r="AG216" s="315">
        <f t="shared" si="66"/>
        <v>-1.4804081313823906E-4</v>
      </c>
      <c r="AH216" s="315">
        <f t="shared" si="66"/>
        <v>-1.4804081313823906E-4</v>
      </c>
      <c r="AI216" s="315">
        <f t="shared" si="66"/>
        <v>0</v>
      </c>
      <c r="AJ216" s="315">
        <f t="shared" si="66"/>
        <v>0</v>
      </c>
      <c r="AK216" s="315">
        <f t="shared" si="66"/>
        <v>-1.4378360979196313E-4</v>
      </c>
      <c r="AL216" s="315">
        <f t="shared" si="66"/>
        <v>-1.4378360979196313E-4</v>
      </c>
      <c r="AM216" s="315">
        <f t="shared" si="66"/>
        <v>0</v>
      </c>
      <c r="AN216" s="315">
        <f t="shared" si="66"/>
        <v>0</v>
      </c>
      <c r="AO216" s="315">
        <f t="shared" si="66"/>
        <v>-9.2245591694267877E-5</v>
      </c>
      <c r="AP216" s="315">
        <f t="shared" si="66"/>
        <v>-9.2245591694267877E-5</v>
      </c>
      <c r="AQ216" s="304"/>
      <c r="AR216" s="304"/>
    </row>
    <row r="217" spans="3:44" x14ac:dyDescent="0.25">
      <c r="E217" s="32"/>
      <c r="F217" s="208" t="s">
        <v>234</v>
      </c>
      <c r="G217" t="s">
        <v>328</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9.0225924418505452E-3</v>
      </c>
      <c r="T217" s="315">
        <f t="shared" si="67"/>
        <v>8.3889287288632028E-3</v>
      </c>
      <c r="U217" s="315">
        <f t="shared" si="67"/>
        <v>7.0153728457275511E-3</v>
      </c>
      <c r="V217" s="315">
        <f t="shared" si="67"/>
        <v>6.6757676797102221E-3</v>
      </c>
      <c r="W217" s="315">
        <f t="shared" si="67"/>
        <v>4.1275127927635083E-3</v>
      </c>
      <c r="X217" s="315">
        <f t="shared" si="67"/>
        <v>0</v>
      </c>
      <c r="Y217" s="315">
        <f t="shared" si="67"/>
        <v>0</v>
      </c>
      <c r="Z217" s="315">
        <f t="shared" si="67"/>
        <v>0</v>
      </c>
      <c r="AA217" s="315">
        <f t="shared" si="67"/>
        <v>0</v>
      </c>
      <c r="AB217" s="315">
        <f t="shared" si="67"/>
        <v>7.1201536089714676E-3</v>
      </c>
      <c r="AC217" s="315">
        <f t="shared" si="67"/>
        <v>0</v>
      </c>
      <c r="AD217" s="315">
        <f t="shared" si="67"/>
        <v>0</v>
      </c>
      <c r="AE217" s="315">
        <f t="shared" si="67"/>
        <v>0</v>
      </c>
      <c r="AF217" s="315">
        <f t="shared" si="67"/>
        <v>0</v>
      </c>
      <c r="AG217" s="315">
        <f t="shared" si="67"/>
        <v>-5.9333793122407167E-3</v>
      </c>
      <c r="AH217" s="315">
        <f t="shared" si="67"/>
        <v>-5.9333793122407167E-3</v>
      </c>
      <c r="AI217" s="315">
        <f t="shared" si="67"/>
        <v>0</v>
      </c>
      <c r="AJ217" s="315">
        <f t="shared" si="67"/>
        <v>0</v>
      </c>
      <c r="AK217" s="315">
        <f t="shared" si="67"/>
        <v>-5.7627533765454821E-3</v>
      </c>
      <c r="AL217" s="315">
        <f t="shared" si="67"/>
        <v>-5.7627533765454821E-3</v>
      </c>
      <c r="AM217" s="315">
        <f t="shared" si="67"/>
        <v>0</v>
      </c>
      <c r="AN217" s="315">
        <f t="shared" si="67"/>
        <v>0</v>
      </c>
      <c r="AO217" s="315">
        <f t="shared" si="67"/>
        <v>0</v>
      </c>
      <c r="AP217" s="315">
        <f t="shared" si="67"/>
        <v>0</v>
      </c>
      <c r="AQ217" s="304"/>
      <c r="AR217" s="304"/>
    </row>
    <row r="218" spans="3:44" x14ac:dyDescent="0.25">
      <c r="E218" s="32"/>
      <c r="F218" s="208" t="s">
        <v>235</v>
      </c>
      <c r="G218" t="s">
        <v>328</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2.3080326233566851E-3</v>
      </c>
      <c r="T218" s="315">
        <f t="shared" si="68"/>
        <v>2.1459376898619229E-3</v>
      </c>
      <c r="U218" s="315">
        <f t="shared" si="68"/>
        <v>1.7945739539166055E-3</v>
      </c>
      <c r="V218" s="315">
        <f t="shared" si="68"/>
        <v>1.707700939616106E-3</v>
      </c>
      <c r="W218" s="315">
        <f t="shared" si="68"/>
        <v>0</v>
      </c>
      <c r="X218" s="315">
        <f t="shared" si="68"/>
        <v>0</v>
      </c>
      <c r="Y218" s="315">
        <f t="shared" si="68"/>
        <v>0</v>
      </c>
      <c r="Z218" s="315">
        <f t="shared" si="68"/>
        <v>0</v>
      </c>
      <c r="AA218" s="315">
        <f t="shared" si="68"/>
        <v>0</v>
      </c>
      <c r="AB218" s="315">
        <f t="shared" si="68"/>
        <v>1.8213774941879615E-3</v>
      </c>
      <c r="AC218" s="315">
        <f t="shared" si="68"/>
        <v>0</v>
      </c>
      <c r="AD218" s="315">
        <f t="shared" si="68"/>
        <v>0</v>
      </c>
      <c r="AE218" s="315">
        <f t="shared" si="68"/>
        <v>0</v>
      </c>
      <c r="AF218" s="315">
        <f t="shared" si="68"/>
        <v>0</v>
      </c>
      <c r="AG218" s="315">
        <f t="shared" si="68"/>
        <v>-1.517793595095877E-3</v>
      </c>
      <c r="AH218" s="315">
        <f t="shared" si="68"/>
        <v>-1.517793595095877E-3</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236</v>
      </c>
      <c r="G219" s="37" t="s">
        <v>328</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9.6860718238037807E-4</v>
      </c>
      <c r="T219" s="316">
        <f t="shared" si="69"/>
        <v>9.0058114357068628E-4</v>
      </c>
      <c r="U219" s="316">
        <f t="shared" si="69"/>
        <v>7.531250656883585E-4</v>
      </c>
      <c r="V219" s="316">
        <f t="shared" si="69"/>
        <v>0</v>
      </c>
      <c r="W219" s="316">
        <f t="shared" si="69"/>
        <v>0</v>
      </c>
      <c r="X219" s="316">
        <f t="shared" si="69"/>
        <v>0</v>
      </c>
      <c r="Y219" s="316">
        <f t="shared" si="69"/>
        <v>0</v>
      </c>
      <c r="Z219" s="316">
        <f t="shared" si="69"/>
        <v>0</v>
      </c>
      <c r="AA219" s="316">
        <f t="shared" si="69"/>
        <v>0</v>
      </c>
      <c r="AB219" s="316">
        <f t="shared" si="69"/>
        <v>7.643736508934928E-4</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735</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226</v>
      </c>
      <c r="G222" s="23" t="s">
        <v>328</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0</v>
      </c>
      <c r="T222" s="314">
        <f t="shared" si="70"/>
        <v>0</v>
      </c>
      <c r="U222" s="314">
        <f t="shared" si="70"/>
        <v>0</v>
      </c>
      <c r="V222" s="314">
        <f t="shared" si="70"/>
        <v>0</v>
      </c>
      <c r="W222" s="314">
        <f t="shared" si="70"/>
        <v>0</v>
      </c>
      <c r="X222" s="314">
        <f t="shared" si="70"/>
        <v>0</v>
      </c>
      <c r="Y222" s="314">
        <f t="shared" si="70"/>
        <v>0</v>
      </c>
      <c r="Z222" s="314">
        <f t="shared" si="70"/>
        <v>0</v>
      </c>
      <c r="AA222" s="314">
        <f t="shared" si="70"/>
        <v>0</v>
      </c>
      <c r="AB222" s="314">
        <f t="shared" si="70"/>
        <v>0</v>
      </c>
      <c r="AC222" s="314">
        <f t="shared" si="70"/>
        <v>0</v>
      </c>
      <c r="AD222" s="314">
        <f t="shared" si="70"/>
        <v>0</v>
      </c>
      <c r="AE222" s="314">
        <f t="shared" si="70"/>
        <v>0</v>
      </c>
      <c r="AF222" s="314">
        <f t="shared" si="70"/>
        <v>0</v>
      </c>
      <c r="AG222" s="314">
        <f t="shared" si="70"/>
        <v>0</v>
      </c>
      <c r="AH222" s="314">
        <f t="shared" si="70"/>
        <v>0</v>
      </c>
      <c r="AI222" s="314">
        <f t="shared" si="70"/>
        <v>0</v>
      </c>
      <c r="AJ222" s="314">
        <f t="shared" si="70"/>
        <v>0</v>
      </c>
      <c r="AK222" s="314">
        <f t="shared" si="70"/>
        <v>0</v>
      </c>
      <c r="AL222" s="314">
        <f t="shared" si="70"/>
        <v>0</v>
      </c>
      <c r="AM222" s="314">
        <f t="shared" si="70"/>
        <v>0</v>
      </c>
      <c r="AN222" s="314">
        <f t="shared" si="70"/>
        <v>0</v>
      </c>
      <c r="AO222" s="314">
        <f t="shared" si="70"/>
        <v>0</v>
      </c>
      <c r="AP222" s="314">
        <f t="shared" si="70"/>
        <v>0</v>
      </c>
      <c r="AQ222" s="304"/>
      <c r="AR222" s="304"/>
    </row>
    <row r="223" spans="3:44" x14ac:dyDescent="0.25">
      <c r="C223" s="32"/>
      <c r="E223" s="32"/>
      <c r="F223" s="208" t="s">
        <v>228</v>
      </c>
      <c r="G223" t="s">
        <v>328</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229</v>
      </c>
      <c r="G224" t="s">
        <v>328</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1.4133141612961771E-3</v>
      </c>
      <c r="T224" s="315">
        <f t="shared" si="72"/>
        <v>1.3142298097683215E-3</v>
      </c>
      <c r="U224" s="315">
        <f t="shared" si="72"/>
        <v>1.098982892551644E-3</v>
      </c>
      <c r="V224" s="315">
        <f t="shared" si="72"/>
        <v>1.0457825458441272E-3</v>
      </c>
      <c r="W224" s="315">
        <f t="shared" si="72"/>
        <v>9.2993708569110605E-4</v>
      </c>
      <c r="X224" s="315">
        <f t="shared" si="72"/>
        <v>0</v>
      </c>
      <c r="Y224" s="315">
        <f t="shared" si="72"/>
        <v>0</v>
      </c>
      <c r="Z224" s="315">
        <f t="shared" si="72"/>
        <v>0</v>
      </c>
      <c r="AA224" s="315">
        <f t="shared" si="72"/>
        <v>0</v>
      </c>
      <c r="AB224" s="315">
        <f t="shared" si="72"/>
        <v>1.1153971685717275E-3</v>
      </c>
      <c r="AC224" s="315">
        <f t="shared" si="72"/>
        <v>0</v>
      </c>
      <c r="AD224" s="315">
        <f t="shared" si="72"/>
        <v>0</v>
      </c>
      <c r="AE224" s="315">
        <f t="shared" si="72"/>
        <v>0</v>
      </c>
      <c r="AF224" s="315">
        <f t="shared" si="72"/>
        <v>0</v>
      </c>
      <c r="AG224" s="315">
        <f t="shared" si="72"/>
        <v>-9.2948479041189734E-4</v>
      </c>
      <c r="AH224" s="315">
        <f t="shared" si="72"/>
        <v>-9.2948479041189734E-4</v>
      </c>
      <c r="AI224" s="315">
        <f t="shared" si="72"/>
        <v>0</v>
      </c>
      <c r="AJ224" s="315">
        <f t="shared" si="72"/>
        <v>0</v>
      </c>
      <c r="AK224" s="315">
        <f t="shared" si="72"/>
        <v>-9.0275563595663868E-4</v>
      </c>
      <c r="AL224" s="315">
        <f t="shared" si="72"/>
        <v>-9.0275563595663868E-4</v>
      </c>
      <c r="AM224" s="315">
        <f t="shared" si="72"/>
        <v>0</v>
      </c>
      <c r="AN224" s="315">
        <f t="shared" si="72"/>
        <v>0</v>
      </c>
      <c r="AO224" s="315">
        <f t="shared" si="72"/>
        <v>-8.9327109727896598E-4</v>
      </c>
      <c r="AP224" s="315">
        <f t="shared" si="72"/>
        <v>-8.9327109727896598E-4</v>
      </c>
      <c r="AQ224" s="304"/>
      <c r="AR224" s="304"/>
    </row>
    <row r="225" spans="2:44" x14ac:dyDescent="0.25">
      <c r="C225" s="32"/>
      <c r="E225" s="32"/>
      <c r="F225" s="208" t="s">
        <v>230</v>
      </c>
      <c r="G225" t="s">
        <v>328</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7.3844346168715712E-4</v>
      </c>
      <c r="T225" s="315">
        <f t="shared" si="73"/>
        <v>6.8667281256682799E-4</v>
      </c>
      <c r="U225" s="315">
        <f t="shared" si="73"/>
        <v>5.7420830678334503E-4</v>
      </c>
      <c r="V225" s="315">
        <f t="shared" si="73"/>
        <v>5.4641162203943321E-4</v>
      </c>
      <c r="W225" s="315">
        <f t="shared" si="73"/>
        <v>4.8588345005983369E-4</v>
      </c>
      <c r="X225" s="315">
        <f t="shared" si="73"/>
        <v>0</v>
      </c>
      <c r="Y225" s="315">
        <f t="shared" si="73"/>
        <v>0</v>
      </c>
      <c r="Z225" s="315">
        <f t="shared" si="73"/>
        <v>0</v>
      </c>
      <c r="AA225" s="315">
        <f t="shared" si="73"/>
        <v>0</v>
      </c>
      <c r="AB225" s="315">
        <f t="shared" si="73"/>
        <v>5.8278461284274404E-4</v>
      </c>
      <c r="AC225" s="315">
        <f t="shared" si="73"/>
        <v>0</v>
      </c>
      <c r="AD225" s="315">
        <f t="shared" si="73"/>
        <v>0</v>
      </c>
      <c r="AE225" s="315">
        <f t="shared" si="73"/>
        <v>0</v>
      </c>
      <c r="AF225" s="315">
        <f t="shared" si="73"/>
        <v>0</v>
      </c>
      <c r="AG225" s="315">
        <f t="shared" si="73"/>
        <v>-4.8564712999680018E-4</v>
      </c>
      <c r="AH225" s="315">
        <f t="shared" si="73"/>
        <v>-4.8564712999680018E-4</v>
      </c>
      <c r="AI225" s="315">
        <f t="shared" si="73"/>
        <v>0</v>
      </c>
      <c r="AJ225" s="315">
        <f t="shared" si="73"/>
        <v>0</v>
      </c>
      <c r="AK225" s="315">
        <f t="shared" si="73"/>
        <v>-4.7168139620282906E-4</v>
      </c>
      <c r="AL225" s="315">
        <f t="shared" si="73"/>
        <v>-4.7168139620282906E-4</v>
      </c>
      <c r="AM225" s="315">
        <f t="shared" si="73"/>
        <v>0</v>
      </c>
      <c r="AN225" s="315">
        <f t="shared" si="73"/>
        <v>0</v>
      </c>
      <c r="AO225" s="315">
        <f t="shared" si="73"/>
        <v>-4.6672581324367805E-4</v>
      </c>
      <c r="AP225" s="315">
        <f t="shared" si="73"/>
        <v>-4.6672581324367805E-4</v>
      </c>
      <c r="AQ225" s="304"/>
      <c r="AR225" s="304"/>
    </row>
    <row r="226" spans="2:44" x14ac:dyDescent="0.25">
      <c r="C226" s="32"/>
      <c r="E226" s="32"/>
      <c r="F226" s="208" t="s">
        <v>231</v>
      </c>
      <c r="G226" t="s">
        <v>328</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2.5658867755029608E-3</v>
      </c>
      <c r="T226" s="315">
        <f t="shared" si="74"/>
        <v>2.3856825435431225E-3</v>
      </c>
      <c r="U226" s="315">
        <f t="shared" si="74"/>
        <v>1.9950643372275544E-3</v>
      </c>
      <c r="V226" s="315">
        <f t="shared" si="74"/>
        <v>1.8984858416352577E-3</v>
      </c>
      <c r="W226" s="315">
        <f t="shared" si="74"/>
        <v>1.6881830719129829E-3</v>
      </c>
      <c r="X226" s="315">
        <f t="shared" si="74"/>
        <v>0</v>
      </c>
      <c r="Y226" s="315">
        <f t="shared" si="74"/>
        <v>0</v>
      </c>
      <c r="Z226" s="315">
        <f t="shared" si="74"/>
        <v>0</v>
      </c>
      <c r="AA226" s="315">
        <f t="shared" si="74"/>
        <v>0</v>
      </c>
      <c r="AB226" s="315">
        <f t="shared" si="74"/>
        <v>2.0248623776984516E-3</v>
      </c>
      <c r="AC226" s="315">
        <f t="shared" si="74"/>
        <v>0</v>
      </c>
      <c r="AD226" s="315">
        <f t="shared" si="74"/>
        <v>0</v>
      </c>
      <c r="AE226" s="315">
        <f t="shared" si="74"/>
        <v>0</v>
      </c>
      <c r="AF226" s="315">
        <f t="shared" si="74"/>
        <v>0</v>
      </c>
      <c r="AG226" s="315">
        <f t="shared" si="74"/>
        <v>-1.6873619870830352E-3</v>
      </c>
      <c r="AH226" s="315">
        <f t="shared" si="74"/>
        <v>-1.6873619870830352E-3</v>
      </c>
      <c r="AI226" s="315">
        <f t="shared" si="74"/>
        <v>0</v>
      </c>
      <c r="AJ226" s="315">
        <f t="shared" si="74"/>
        <v>0</v>
      </c>
      <c r="AK226" s="315">
        <f t="shared" si="74"/>
        <v>-1.6388385904229478E-3</v>
      </c>
      <c r="AL226" s="315">
        <f t="shared" si="74"/>
        <v>-1.6388385904229478E-3</v>
      </c>
      <c r="AM226" s="315">
        <f t="shared" si="74"/>
        <v>0</v>
      </c>
      <c r="AN226" s="315">
        <f t="shared" si="74"/>
        <v>0</v>
      </c>
      <c r="AO226" s="315">
        <f t="shared" si="74"/>
        <v>-1.621620610962917E-3</v>
      </c>
      <c r="AP226" s="315">
        <f t="shared" si="74"/>
        <v>-1.621620610962917E-3</v>
      </c>
      <c r="AQ226" s="304"/>
      <c r="AR226" s="304"/>
    </row>
    <row r="227" spans="2:44" x14ac:dyDescent="0.25">
      <c r="C227" s="32"/>
      <c r="E227" s="32"/>
      <c r="F227" s="208" t="s">
        <v>232</v>
      </c>
      <c r="G227" t="s">
        <v>328</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4.1277789626375074E-3</v>
      </c>
      <c r="T227" s="315">
        <f t="shared" si="75"/>
        <v>3.837881822684297E-3</v>
      </c>
      <c r="U227" s="315">
        <f t="shared" si="75"/>
        <v>3.2094886956584401E-3</v>
      </c>
      <c r="V227" s="315">
        <f t="shared" si="75"/>
        <v>3.0541214806452531E-3</v>
      </c>
      <c r="W227" s="315">
        <f t="shared" si="75"/>
        <v>2.7158043900659757E-3</v>
      </c>
      <c r="X227" s="315">
        <f t="shared" si="75"/>
        <v>0</v>
      </c>
      <c r="Y227" s="315">
        <f t="shared" si="75"/>
        <v>0</v>
      </c>
      <c r="Z227" s="315">
        <f t="shared" si="75"/>
        <v>0</v>
      </c>
      <c r="AA227" s="315">
        <f t="shared" si="75"/>
        <v>0</v>
      </c>
      <c r="AB227" s="315">
        <f t="shared" si="75"/>
        <v>3.2574252319693543E-3</v>
      </c>
      <c r="AC227" s="315">
        <f t="shared" si="75"/>
        <v>0</v>
      </c>
      <c r="AD227" s="315">
        <f t="shared" si="75"/>
        <v>0</v>
      </c>
      <c r="AE227" s="315">
        <f t="shared" si="75"/>
        <v>0</v>
      </c>
      <c r="AF227" s="315">
        <f t="shared" si="75"/>
        <v>0</v>
      </c>
      <c r="AG227" s="315">
        <f t="shared" si="75"/>
        <v>-2.71448349908982E-3</v>
      </c>
      <c r="AH227" s="315">
        <f t="shared" si="75"/>
        <v>-2.71448349908982E-3</v>
      </c>
      <c r="AI227" s="315">
        <f t="shared" si="75"/>
        <v>0</v>
      </c>
      <c r="AJ227" s="315">
        <f t="shared" si="75"/>
        <v>0</v>
      </c>
      <c r="AK227" s="315">
        <f t="shared" si="75"/>
        <v>-2.6364232129378862E-3</v>
      </c>
      <c r="AL227" s="315">
        <f t="shared" si="75"/>
        <v>-2.6364232129378862E-3</v>
      </c>
      <c r="AM227" s="315">
        <f t="shared" si="75"/>
        <v>0</v>
      </c>
      <c r="AN227" s="315">
        <f t="shared" si="75"/>
        <v>0</v>
      </c>
      <c r="AO227" s="315">
        <f t="shared" si="75"/>
        <v>-2.6087244017226848E-3</v>
      </c>
      <c r="AP227" s="315">
        <f t="shared" si="75"/>
        <v>-2.6087244017226848E-3</v>
      </c>
      <c r="AQ227" s="304"/>
      <c r="AR227" s="304"/>
    </row>
    <row r="228" spans="2:44" x14ac:dyDescent="0.25">
      <c r="C228" s="32"/>
      <c r="E228" s="32"/>
      <c r="F228" s="208" t="s">
        <v>233</v>
      </c>
      <c r="G228" t="s">
        <v>328</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1.2357755245910118E-4</v>
      </c>
      <c r="T228" s="315">
        <f t="shared" si="76"/>
        <v>1.1491380169219467E-4</v>
      </c>
      <c r="U228" s="315">
        <f t="shared" si="76"/>
        <v>9.6093012986866278E-5</v>
      </c>
      <c r="V228" s="315">
        <f t="shared" si="76"/>
        <v>9.1441273963703077E-5</v>
      </c>
      <c r="W228" s="315">
        <f t="shared" si="76"/>
        <v>8.1311963141486983E-5</v>
      </c>
      <c r="X228" s="315">
        <f t="shared" si="76"/>
        <v>0</v>
      </c>
      <c r="Y228" s="315">
        <f t="shared" si="76"/>
        <v>0</v>
      </c>
      <c r="Z228" s="315">
        <f t="shared" si="76"/>
        <v>0</v>
      </c>
      <c r="AA228" s="315">
        <f t="shared" si="76"/>
        <v>0</v>
      </c>
      <c r="AB228" s="315">
        <f t="shared" si="76"/>
        <v>9.7528246646514646E-5</v>
      </c>
      <c r="AC228" s="315">
        <f t="shared" si="76"/>
        <v>0</v>
      </c>
      <c r="AD228" s="315">
        <f t="shared" si="76"/>
        <v>0</v>
      </c>
      <c r="AE228" s="315">
        <f t="shared" si="76"/>
        <v>0</v>
      </c>
      <c r="AF228" s="315">
        <f t="shared" si="76"/>
        <v>0</v>
      </c>
      <c r="AG228" s="315">
        <f t="shared" si="76"/>
        <v>-8.127241528643529E-5</v>
      </c>
      <c r="AH228" s="315">
        <f t="shared" si="76"/>
        <v>-8.127241528643529E-5</v>
      </c>
      <c r="AI228" s="315">
        <f t="shared" si="76"/>
        <v>0</v>
      </c>
      <c r="AJ228" s="315">
        <f t="shared" si="76"/>
        <v>0</v>
      </c>
      <c r="AK228" s="315">
        <f t="shared" si="76"/>
        <v>-7.8935267908068386E-5</v>
      </c>
      <c r="AL228" s="315">
        <f t="shared" si="76"/>
        <v>-7.8935267908068386E-5</v>
      </c>
      <c r="AM228" s="315">
        <f t="shared" si="76"/>
        <v>0</v>
      </c>
      <c r="AN228" s="315">
        <f t="shared" si="76"/>
        <v>0</v>
      </c>
      <c r="AO228" s="315">
        <f t="shared" si="76"/>
        <v>-7.8105957548002734E-5</v>
      </c>
      <c r="AP228" s="315">
        <f t="shared" si="76"/>
        <v>-7.8105957548002734E-5</v>
      </c>
      <c r="AQ228" s="304"/>
      <c r="AR228" s="304"/>
    </row>
    <row r="229" spans="2:44" x14ac:dyDescent="0.25">
      <c r="C229" s="32"/>
      <c r="E229" s="32"/>
      <c r="F229" s="208" t="s">
        <v>234</v>
      </c>
      <c r="G229" t="s">
        <v>328</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9.509696013282741E-3</v>
      </c>
      <c r="T229" s="315">
        <f t="shared" si="77"/>
        <v>8.8418226360916369E-3</v>
      </c>
      <c r="U229" s="315">
        <f t="shared" si="77"/>
        <v>7.3941124585501228E-3</v>
      </c>
      <c r="V229" s="315">
        <f t="shared" si="77"/>
        <v>7.0361729955654862E-3</v>
      </c>
      <c r="W229" s="315">
        <f t="shared" si="77"/>
        <v>6.2567483421069508E-3</v>
      </c>
      <c r="X229" s="315">
        <f t="shared" si="77"/>
        <v>0</v>
      </c>
      <c r="Y229" s="315">
        <f t="shared" si="77"/>
        <v>0</v>
      </c>
      <c r="Z229" s="315">
        <f t="shared" si="77"/>
        <v>0</v>
      </c>
      <c r="AA229" s="315">
        <f t="shared" si="77"/>
        <v>0</v>
      </c>
      <c r="AB229" s="315">
        <f t="shared" si="77"/>
        <v>7.5045500310007554E-3</v>
      </c>
      <c r="AC229" s="315">
        <f t="shared" si="77"/>
        <v>0</v>
      </c>
      <c r="AD229" s="315">
        <f t="shared" si="77"/>
        <v>0</v>
      </c>
      <c r="AE229" s="315">
        <f t="shared" si="77"/>
        <v>0</v>
      </c>
      <c r="AF229" s="315">
        <f t="shared" si="77"/>
        <v>0</v>
      </c>
      <c r="AG229" s="315">
        <f t="shared" si="77"/>
        <v>-6.2537052354475044E-3</v>
      </c>
      <c r="AH229" s="315">
        <f t="shared" si="77"/>
        <v>-6.2537052354475044E-3</v>
      </c>
      <c r="AI229" s="315">
        <f t="shared" si="77"/>
        <v>0</v>
      </c>
      <c r="AJ229" s="315">
        <f t="shared" si="77"/>
        <v>0</v>
      </c>
      <c r="AK229" s="315">
        <f t="shared" si="77"/>
        <v>-6.0738677008474367E-3</v>
      </c>
      <c r="AL229" s="315">
        <f t="shared" si="77"/>
        <v>-6.0738677008474367E-3</v>
      </c>
      <c r="AM229" s="315">
        <f t="shared" si="77"/>
        <v>0</v>
      </c>
      <c r="AN229" s="315">
        <f t="shared" si="77"/>
        <v>0</v>
      </c>
      <c r="AO229" s="315">
        <f t="shared" si="77"/>
        <v>0</v>
      </c>
      <c r="AP229" s="315">
        <f t="shared" si="77"/>
        <v>0</v>
      </c>
      <c r="AQ229" s="304"/>
      <c r="AR229" s="304"/>
    </row>
    <row r="230" spans="2:44" x14ac:dyDescent="0.25">
      <c r="C230" s="32"/>
      <c r="E230" s="32"/>
      <c r="F230" s="208" t="s">
        <v>235</v>
      </c>
      <c r="G230" t="s">
        <v>328</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4.3530837156705608E-3</v>
      </c>
      <c r="T230" s="315">
        <f t="shared" si="78"/>
        <v>4.0473632469700165E-3</v>
      </c>
      <c r="U230" s="315">
        <f t="shared" si="78"/>
        <v>3.3846708128412993E-3</v>
      </c>
      <c r="V230" s="315">
        <f t="shared" si="78"/>
        <v>3.2208232571110276E-3</v>
      </c>
      <c r="W230" s="315">
        <f t="shared" si="78"/>
        <v>0</v>
      </c>
      <c r="X230" s="315">
        <f t="shared" si="78"/>
        <v>0</v>
      </c>
      <c r="Y230" s="315">
        <f t="shared" si="78"/>
        <v>0</v>
      </c>
      <c r="Z230" s="315">
        <f t="shared" si="78"/>
        <v>0</v>
      </c>
      <c r="AA230" s="315">
        <f t="shared" si="78"/>
        <v>0</v>
      </c>
      <c r="AB230" s="315">
        <f t="shared" si="78"/>
        <v>3.4352238481393312E-3</v>
      </c>
      <c r="AC230" s="315">
        <f t="shared" si="78"/>
        <v>0</v>
      </c>
      <c r="AD230" s="315">
        <f t="shared" si="78"/>
        <v>0</v>
      </c>
      <c r="AE230" s="315">
        <f t="shared" si="78"/>
        <v>0</v>
      </c>
      <c r="AF230" s="315">
        <f t="shared" si="78"/>
        <v>0</v>
      </c>
      <c r="AG230" s="315">
        <f t="shared" si="78"/>
        <v>-2.862646964214888E-3</v>
      </c>
      <c r="AH230" s="315">
        <f t="shared" si="78"/>
        <v>-2.862646964214888E-3</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236</v>
      </c>
      <c r="G231" s="37" t="s">
        <v>328</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8.676595154968993E-3</v>
      </c>
      <c r="T231" s="316">
        <f t="shared" si="79"/>
        <v>8.0672311016306859E-3</v>
      </c>
      <c r="U231" s="316">
        <f t="shared" si="79"/>
        <v>6.7463481738577E-3</v>
      </c>
      <c r="V231" s="316">
        <f t="shared" si="79"/>
        <v>0</v>
      </c>
      <c r="W231" s="316">
        <f t="shared" si="79"/>
        <v>0</v>
      </c>
      <c r="X231" s="316">
        <f t="shared" si="79"/>
        <v>0</v>
      </c>
      <c r="Y231" s="316">
        <f t="shared" si="79"/>
        <v>0</v>
      </c>
      <c r="Z231" s="316">
        <f t="shared" si="79"/>
        <v>0</v>
      </c>
      <c r="AA231" s="316">
        <f t="shared" si="79"/>
        <v>0</v>
      </c>
      <c r="AB231" s="316">
        <f t="shared" si="79"/>
        <v>6.847110817028765E-3</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281</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742</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743</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744</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193</v>
      </c>
      <c r="G240" s="23" t="s">
        <v>244</v>
      </c>
      <c r="H240" s="23"/>
      <c r="I240" s="23"/>
      <c r="J240" s="210">
        <f>'Volume adjustments'!J66</f>
        <v>5883290.5674295351</v>
      </c>
      <c r="K240" s="210">
        <f>'Volume adjustments'!K66</f>
        <v>2253198.645069303</v>
      </c>
      <c r="L240" s="210">
        <f>'Volume adjustments'!L66</f>
        <v>23777.812108679751</v>
      </c>
      <c r="M240" s="210">
        <f>'Volume adjustments'!M66</f>
        <v>1161806.4742133119</v>
      </c>
      <c r="N240" s="210">
        <f>'Volume adjustments'!N66</f>
        <v>1502232.6626114759</v>
      </c>
      <c r="O240" s="210">
        <f>'Volume adjustments'!O66</f>
        <v>2608.5296353034564</v>
      </c>
      <c r="P240" s="213"/>
      <c r="Q240" s="213"/>
      <c r="R240" s="213"/>
      <c r="S240" s="210">
        <f>'Volume adjustments'!S66</f>
        <v>2665.4131654318253</v>
      </c>
      <c r="T240" s="210">
        <f>'Volume adjustments'!T66</f>
        <v>19695.068082327467</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194</v>
      </c>
      <c r="G241" t="s">
        <v>244</v>
      </c>
      <c r="J241" s="211">
        <f>'Volume adjustments'!J77</f>
        <v>0</v>
      </c>
      <c r="K241" s="211">
        <f>'Volume adjustments'!K77</f>
        <v>1019036.5249223392</v>
      </c>
      <c r="L241" s="211">
        <f>'Volume adjustments'!L77</f>
        <v>0</v>
      </c>
      <c r="M241" s="211">
        <f>'Volume adjustments'!M77</f>
        <v>0</v>
      </c>
      <c r="N241" s="211">
        <f>'Volume adjustments'!N77</f>
        <v>451482.07597799349</v>
      </c>
      <c r="O241" s="211">
        <f>'Volume adjustments'!O77</f>
        <v>0</v>
      </c>
      <c r="P241" s="214"/>
      <c r="Q241" s="214"/>
      <c r="R241" s="214"/>
      <c r="S241" s="211">
        <f>'Volume adjustments'!S77</f>
        <v>8212.1579615585051</v>
      </c>
      <c r="T241" s="211">
        <f>'Volume adjustments'!T77</f>
        <v>78004.79777326365</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195</v>
      </c>
      <c r="G242" s="37" t="s">
        <v>244</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13794.537224726715</v>
      </c>
      <c r="T242" s="212">
        <f>'Volume adjustments'!T88</f>
        <v>84563.498185875345</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102</v>
      </c>
      <c r="G243" s="111" t="s">
        <v>244</v>
      </c>
      <c r="H243" s="111"/>
      <c r="I243" s="111"/>
      <c r="J243" s="221">
        <f t="shared" ref="J243:O243" si="80">SUM(J240:J242)</f>
        <v>5883290.5674295351</v>
      </c>
      <c r="K243" s="221">
        <f t="shared" si="80"/>
        <v>3272235.1699916422</v>
      </c>
      <c r="L243" s="221">
        <f t="shared" si="80"/>
        <v>23777.812108679751</v>
      </c>
      <c r="M243" s="221">
        <f t="shared" si="80"/>
        <v>1161806.4742133119</v>
      </c>
      <c r="N243" s="221">
        <f t="shared" si="80"/>
        <v>1953714.7385894693</v>
      </c>
      <c r="O243" s="221">
        <f t="shared" si="80"/>
        <v>2608.5296353034564</v>
      </c>
      <c r="P243" s="222"/>
      <c r="Q243" s="222"/>
      <c r="R243" s="222"/>
      <c r="S243" s="221">
        <f>SUM(S240:S242)</f>
        <v>24672.108351717045</v>
      </c>
      <c r="T243" s="221">
        <f>SUM(T240:T242)</f>
        <v>182263.36404146644</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538</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354</v>
      </c>
      <c r="G246" s="64" t="s">
        <v>244</v>
      </c>
      <c r="H246" s="23"/>
      <c r="I246" s="23"/>
      <c r="J246" s="127">
        <f>'Pseudo-load coefficients'!J73</f>
        <v>786695.10680272034</v>
      </c>
      <c r="K246" s="127">
        <f>'Pseudo-load coefficients'!K73</f>
        <v>339218.59169851284</v>
      </c>
      <c r="L246" s="127">
        <f>'Pseudo-load coefficients'!L73</f>
        <v>1078.4471106580777</v>
      </c>
      <c r="M246" s="127">
        <f>'Pseudo-load coefficients'!M73</f>
        <v>135431.41453865558</v>
      </c>
      <c r="N246" s="127">
        <f>'Pseudo-load coefficients'!N73</f>
        <v>193399.84719060143</v>
      </c>
      <c r="O246" s="127">
        <f>'Pseudo-load coefficients'!O73</f>
        <v>41.500798894421735</v>
      </c>
      <c r="P246" s="213"/>
      <c r="Q246" s="213"/>
      <c r="R246" s="213"/>
      <c r="S246" s="127">
        <f>'Pseudo-load coefficients'!S73</f>
        <v>2665.4131654318253</v>
      </c>
      <c r="T246" s="127">
        <f>'Pseudo-load coefficients'!T73</f>
        <v>19695.068082327467</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355</v>
      </c>
      <c r="G247" s="28" t="s">
        <v>244</v>
      </c>
      <c r="J247" s="123">
        <f>'Pseudo-load coefficients'!J74</f>
        <v>2189491.3443846181</v>
      </c>
      <c r="K247" s="123">
        <f>'Pseudo-load coefficients'!K74</f>
        <v>947161.21908553923</v>
      </c>
      <c r="L247" s="123">
        <f>'Pseudo-load coefficients'!L74</f>
        <v>7786.5383932145696</v>
      </c>
      <c r="M247" s="123">
        <f>'Pseudo-load coefficients'!M74</f>
        <v>596566.02115443023</v>
      </c>
      <c r="N247" s="123">
        <f>'Pseudo-load coefficients'!N74</f>
        <v>769122.27090054296</v>
      </c>
      <c r="O247" s="123">
        <f>'Pseudo-load coefficients'!O74</f>
        <v>480.36934491660793</v>
      </c>
      <c r="P247" s="214"/>
      <c r="Q247" s="214"/>
      <c r="R247" s="214"/>
      <c r="S247" s="123">
        <f>'Pseudo-load coefficients'!S74</f>
        <v>8212.1579615585051</v>
      </c>
      <c r="T247" s="123">
        <f>'Pseudo-load coefficients'!T74</f>
        <v>78004.79777326365</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314</v>
      </c>
      <c r="G248" s="67" t="s">
        <v>244</v>
      </c>
      <c r="H248" s="37"/>
      <c r="I248" s="37"/>
      <c r="J248" s="128">
        <f>'Pseudo-load coefficients'!J75</f>
        <v>2907104.1162421969</v>
      </c>
      <c r="K248" s="128">
        <f>'Pseudo-load coefficients'!K75</f>
        <v>1985855.3592075901</v>
      </c>
      <c r="L248" s="128">
        <f>'Pseudo-load coefficients'!L75</f>
        <v>14912.826604807104</v>
      </c>
      <c r="M248" s="128">
        <f>'Pseudo-load coefficients'!M75</f>
        <v>429809.03852022614</v>
      </c>
      <c r="N248" s="128">
        <f>'Pseudo-load coefficients'!N75</f>
        <v>991192.62049832498</v>
      </c>
      <c r="O248" s="128">
        <f>'Pseudo-load coefficients'!O75</f>
        <v>2086.6594914924267</v>
      </c>
      <c r="P248" s="219"/>
      <c r="Q248" s="219"/>
      <c r="R248" s="219"/>
      <c r="S248" s="128">
        <f>'Pseudo-load coefficients'!S75</f>
        <v>13794.537224726715</v>
      </c>
      <c r="T248" s="128">
        <f>'Pseudo-load coefficients'!T75</f>
        <v>84563.498185875345</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102</v>
      </c>
      <c r="G249" s="111" t="s">
        <v>244</v>
      </c>
      <c r="H249" s="111"/>
      <c r="I249" s="111"/>
      <c r="J249" s="221">
        <f>SUM(J246:J248)</f>
        <v>5883290.5674295351</v>
      </c>
      <c r="K249" s="221">
        <f t="shared" ref="K249:O249" si="81">SUM(K246:K248)</f>
        <v>3272235.1699916422</v>
      </c>
      <c r="L249" s="221">
        <f t="shared" si="81"/>
        <v>23777.812108679751</v>
      </c>
      <c r="M249" s="221">
        <f t="shared" si="81"/>
        <v>1161806.4742133119</v>
      </c>
      <c r="N249" s="221">
        <f t="shared" si="81"/>
        <v>1953714.7385894693</v>
      </c>
      <c r="O249" s="221">
        <f t="shared" si="81"/>
        <v>2608.5296353034564</v>
      </c>
      <c r="P249" s="222"/>
      <c r="Q249" s="222"/>
      <c r="R249" s="222"/>
      <c r="S249" s="221">
        <f>SUM(S246:S248)</f>
        <v>24672.108351717045</v>
      </c>
      <c r="T249" s="221">
        <f>SUM(T246:T248)</f>
        <v>182263.36404146644</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588</v>
      </c>
    </row>
    <row r="252" spans="5:42" x14ac:dyDescent="0.25">
      <c r="F252" s="64" t="s">
        <v>354</v>
      </c>
      <c r="G252" s="64" t="s">
        <v>204</v>
      </c>
      <c r="H252" s="23"/>
      <c r="I252" s="23"/>
      <c r="J252" s="65"/>
      <c r="K252" s="65"/>
      <c r="L252" s="65"/>
      <c r="M252" s="65"/>
      <c r="N252" s="65"/>
      <c r="O252" s="65"/>
      <c r="P252" s="65"/>
      <c r="Q252" s="65"/>
      <c r="R252" s="65"/>
      <c r="S252" s="158">
        <f>SUM(J246:L246) / SUM($J$249:$L$249)</f>
        <v>0.1227753434158535</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355</v>
      </c>
      <c r="G253" s="28" t="s">
        <v>204</v>
      </c>
      <c r="J253" s="66"/>
      <c r="K253" s="66"/>
      <c r="L253" s="66"/>
      <c r="M253" s="66"/>
      <c r="N253" s="66"/>
      <c r="O253" s="66"/>
      <c r="P253" s="66"/>
      <c r="Q253" s="66"/>
      <c r="R253" s="66"/>
      <c r="S253" s="148">
        <f>SUM(J247:L247) / SUM($J$249:$L$249)</f>
        <v>0.34255748106558936</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314</v>
      </c>
      <c r="G254" s="67" t="s">
        <v>204</v>
      </c>
      <c r="H254" s="37"/>
      <c r="I254" s="37"/>
      <c r="J254" s="68"/>
      <c r="K254" s="68"/>
      <c r="L254" s="68"/>
      <c r="M254" s="68"/>
      <c r="N254" s="68"/>
      <c r="O254" s="68"/>
      <c r="P254" s="68"/>
      <c r="Q254" s="68"/>
      <c r="R254" s="68"/>
      <c r="S254" s="159">
        <f>SUM(J248:L248) / SUM($J$249:$L$249)</f>
        <v>0.53466717551855703</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590</v>
      </c>
    </row>
    <row r="257" spans="4:42" x14ac:dyDescent="0.25">
      <c r="F257" s="64" t="s">
        <v>354</v>
      </c>
      <c r="G257" s="64" t="s">
        <v>204</v>
      </c>
      <c r="H257" s="23"/>
      <c r="I257" s="23"/>
      <c r="J257" s="65"/>
      <c r="K257" s="65"/>
      <c r="L257" s="65"/>
      <c r="M257" s="65"/>
      <c r="N257" s="65"/>
      <c r="O257" s="65"/>
      <c r="P257" s="65"/>
      <c r="Q257" s="65"/>
      <c r="R257" s="65"/>
      <c r="S257" s="65"/>
      <c r="T257" s="158">
        <f>SUM(M246:O246) / SUM($M$249:$O$249)</f>
        <v>0.10547116050116753</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355</v>
      </c>
      <c r="G258" s="28" t="s">
        <v>204</v>
      </c>
      <c r="J258" s="66"/>
      <c r="K258" s="66"/>
      <c r="L258" s="66"/>
      <c r="M258" s="66"/>
      <c r="N258" s="66"/>
      <c r="O258" s="66"/>
      <c r="P258" s="66"/>
      <c r="Q258" s="66"/>
      <c r="R258" s="66"/>
      <c r="S258" s="66"/>
      <c r="T258" s="148">
        <f>SUM(M247:O247) / SUM($M$249:$O$249)</f>
        <v>0.43813720859853444</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314</v>
      </c>
      <c r="G259" s="67" t="s">
        <v>204</v>
      </c>
      <c r="H259" s="37"/>
      <c r="I259" s="37"/>
      <c r="J259" s="68"/>
      <c r="K259" s="68"/>
      <c r="L259" s="68"/>
      <c r="M259" s="68"/>
      <c r="N259" s="68"/>
      <c r="O259" s="68"/>
      <c r="P259" s="68"/>
      <c r="Q259" s="68"/>
      <c r="R259" s="68"/>
      <c r="S259" s="68"/>
      <c r="T259" s="159">
        <f>SUM(M248:O248) / SUM($M$249:$O$249)</f>
        <v>0.45639163090029788</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745</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193</v>
      </c>
      <c r="G262" s="23" t="s">
        <v>244</v>
      </c>
      <c r="H262" s="23"/>
      <c r="I262" s="23"/>
      <c r="J262" s="213"/>
      <c r="K262" s="213"/>
      <c r="L262" s="213"/>
      <c r="M262" s="213"/>
      <c r="N262" s="213"/>
      <c r="O262" s="213"/>
      <c r="P262" s="213"/>
      <c r="Q262" s="213"/>
      <c r="R262" s="213"/>
      <c r="S262" s="223">
        <f t="shared" ref="S262:T264" si="82">(S252 + S257) * S$243</f>
        <v>3029.1265756752073</v>
      </c>
      <c r="T262" s="223">
        <f t="shared" si="82"/>
        <v>19223.528522300236</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194</v>
      </c>
      <c r="G263" t="s">
        <v>244</v>
      </c>
      <c r="J263" s="214"/>
      <c r="K263" s="214"/>
      <c r="L263" s="214"/>
      <c r="M263" s="214"/>
      <c r="N263" s="214"/>
      <c r="O263" s="214"/>
      <c r="P263" s="214"/>
      <c r="Q263" s="214"/>
      <c r="R263" s="214"/>
      <c r="S263" s="169">
        <f t="shared" si="82"/>
        <v>8451.6152895414816</v>
      </c>
      <c r="T263" s="169">
        <f t="shared" si="82"/>
        <v>79856.3615509066</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195</v>
      </c>
      <c r="G264" s="37" t="s">
        <v>244</v>
      </c>
      <c r="H264" s="37"/>
      <c r="I264" s="37"/>
      <c r="J264" s="219"/>
      <c r="K264" s="219"/>
      <c r="L264" s="219"/>
      <c r="M264" s="219"/>
      <c r="N264" s="219"/>
      <c r="O264" s="219"/>
      <c r="P264" s="219"/>
      <c r="Q264" s="219"/>
      <c r="R264" s="219"/>
      <c r="S264" s="224">
        <f t="shared" si="82"/>
        <v>13191.366486500354</v>
      </c>
      <c r="T264" s="224">
        <f t="shared" si="82"/>
        <v>83183.473968259583</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746</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193</v>
      </c>
      <c r="G267" s="23" t="s">
        <v>244</v>
      </c>
      <c r="H267" s="23"/>
      <c r="I267" s="23"/>
      <c r="J267" s="223">
        <f t="shared" ref="J267:O269" si="83">IF( J262, J262, J240)</f>
        <v>5883290.5674295351</v>
      </c>
      <c r="K267" s="223">
        <f t="shared" si="83"/>
        <v>2253198.645069303</v>
      </c>
      <c r="L267" s="223">
        <f t="shared" si="83"/>
        <v>23777.812108679751</v>
      </c>
      <c r="M267" s="223">
        <f t="shared" si="83"/>
        <v>1161806.4742133119</v>
      </c>
      <c r="N267" s="223">
        <f t="shared" si="83"/>
        <v>1502232.6626114759</v>
      </c>
      <c r="O267" s="223">
        <f t="shared" si="83"/>
        <v>2608.5296353034564</v>
      </c>
      <c r="P267" s="213"/>
      <c r="Q267" s="213"/>
      <c r="R267" s="213"/>
      <c r="S267" s="223">
        <f t="shared" ref="S267:T269" si="84">IF( S262, S262, S240)</f>
        <v>3029.1265756752073</v>
      </c>
      <c r="T267" s="223">
        <f t="shared" si="84"/>
        <v>19223.528522300236</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194</v>
      </c>
      <c r="G268" t="s">
        <v>244</v>
      </c>
      <c r="J268" s="169">
        <f t="shared" si="83"/>
        <v>0</v>
      </c>
      <c r="K268" s="169">
        <f t="shared" si="83"/>
        <v>1019036.5249223392</v>
      </c>
      <c r="L268" s="169">
        <f t="shared" si="83"/>
        <v>0</v>
      </c>
      <c r="M268" s="169">
        <f t="shared" si="83"/>
        <v>0</v>
      </c>
      <c r="N268" s="169">
        <f t="shared" si="83"/>
        <v>451482.07597799349</v>
      </c>
      <c r="O268" s="169">
        <f t="shared" si="83"/>
        <v>0</v>
      </c>
      <c r="P268" s="214"/>
      <c r="Q268" s="214"/>
      <c r="R268" s="214"/>
      <c r="S268" s="169">
        <f t="shared" si="84"/>
        <v>8451.6152895414816</v>
      </c>
      <c r="T268" s="169">
        <f t="shared" si="84"/>
        <v>79856.3615509066</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195</v>
      </c>
      <c r="G269" s="37" t="s">
        <v>244</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13191.366486500354</v>
      </c>
      <c r="T269" s="224">
        <f t="shared" si="84"/>
        <v>83183.473968259583</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102</v>
      </c>
      <c r="G270" s="111" t="s">
        <v>244</v>
      </c>
      <c r="H270" s="111"/>
      <c r="I270" s="111"/>
      <c r="J270" s="221">
        <f t="shared" ref="J270:O270" si="85">SUM(J267:J269)</f>
        <v>5883290.5674295351</v>
      </c>
      <c r="K270" s="221">
        <f t="shared" si="85"/>
        <v>3272235.1699916422</v>
      </c>
      <c r="L270" s="221">
        <f t="shared" si="85"/>
        <v>23777.812108679751</v>
      </c>
      <c r="M270" s="221">
        <f t="shared" si="85"/>
        <v>1161806.4742133119</v>
      </c>
      <c r="N270" s="221">
        <f t="shared" si="85"/>
        <v>1953714.7385894693</v>
      </c>
      <c r="O270" s="221">
        <f t="shared" si="85"/>
        <v>2608.5296353034564</v>
      </c>
      <c r="P270" s="222"/>
      <c r="Q270" s="222"/>
      <c r="R270" s="222"/>
      <c r="S270" s="221">
        <f>SUM(S267:S269)</f>
        <v>24672.108351717041</v>
      </c>
      <c r="T270" s="221">
        <f>SUM(T267:T269)</f>
        <v>182263.36404146641</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747</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193</v>
      </c>
      <c r="G273" s="23" t="s">
        <v>336</v>
      </c>
      <c r="H273" s="23"/>
      <c r="I273" s="23"/>
      <c r="J273" s="223">
        <f t="shared" ref="J273:O273" si="86">J267 * SUM(J152:J173)</f>
        <v>8777600.1130826212</v>
      </c>
      <c r="K273" s="223">
        <f t="shared" si="86"/>
        <v>4018153.031188874</v>
      </c>
      <c r="L273" s="223">
        <f t="shared" si="86"/>
        <v>11544.481178624941</v>
      </c>
      <c r="M273" s="223">
        <f t="shared" si="86"/>
        <v>1569139.8382281794</v>
      </c>
      <c r="N273" s="223">
        <f t="shared" si="86"/>
        <v>2299378.3151468546</v>
      </c>
      <c r="O273" s="223">
        <f t="shared" si="86"/>
        <v>617.81452465129098</v>
      </c>
      <c r="P273" s="213"/>
      <c r="Q273" s="213"/>
      <c r="R273" s="213"/>
      <c r="S273" s="223">
        <f>S267 * SUM(S152:S173)</f>
        <v>25633.819809010081</v>
      </c>
      <c r="T273" s="223">
        <f>T267 * SUM(T152:T173)</f>
        <v>151260.86557166796</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194</v>
      </c>
      <c r="G274" t="s">
        <v>336</v>
      </c>
      <c r="J274" s="169">
        <f t="shared" ref="J274:O274" si="87">J268 * SUM(J181:J202)</f>
        <v>0</v>
      </c>
      <c r="K274" s="169">
        <f t="shared" si="87"/>
        <v>64062.60500736074</v>
      </c>
      <c r="L274" s="169">
        <f t="shared" si="87"/>
        <v>0</v>
      </c>
      <c r="M274" s="169">
        <f t="shared" si="87"/>
        <v>0</v>
      </c>
      <c r="N274" s="169">
        <f t="shared" si="87"/>
        <v>25881.402071178149</v>
      </c>
      <c r="O274" s="169">
        <f t="shared" si="87"/>
        <v>0</v>
      </c>
      <c r="P274" s="214"/>
      <c r="Q274" s="214"/>
      <c r="R274" s="214"/>
      <c r="S274" s="169">
        <f>S268 * SUM(S181:S202)</f>
        <v>8168.3943893594069</v>
      </c>
      <c r="T274" s="169">
        <f>T268 * SUM(T181:T202)</f>
        <v>71761.977946709303</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195</v>
      </c>
      <c r="G275" t="s">
        <v>336</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793.39455629396491</v>
      </c>
      <c r="T275" s="169">
        <f>T269 * SUM(T210:T231)</f>
        <v>4651.765138459562</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102</v>
      </c>
      <c r="G276" s="111" t="s">
        <v>336</v>
      </c>
      <c r="H276" s="111"/>
      <c r="I276" s="111"/>
      <c r="J276" s="221">
        <f>SUM(J273:J275)</f>
        <v>8777600.1130826212</v>
      </c>
      <c r="K276" s="221">
        <f t="shared" ref="K276" si="89">SUM(K273:K275)</f>
        <v>4082215.6361962347</v>
      </c>
      <c r="L276" s="221">
        <f t="shared" ref="L276" si="90">SUM(L273:L275)</f>
        <v>11544.481178624941</v>
      </c>
      <c r="M276" s="221">
        <f t="shared" ref="M276" si="91">SUM(M273:M275)</f>
        <v>1569139.8382281794</v>
      </c>
      <c r="N276" s="221">
        <f t="shared" ref="N276" si="92">SUM(N273:N275)</f>
        <v>2325259.7172180326</v>
      </c>
      <c r="O276" s="221">
        <f t="shared" ref="O276" si="93">SUM(O273:O275)</f>
        <v>617.81452465129098</v>
      </c>
      <c r="P276" s="222"/>
      <c r="Q276" s="222"/>
      <c r="R276" s="222"/>
      <c r="S276" s="221">
        <f t="shared" ref="S276" si="94">SUM(S273:S275)</f>
        <v>34595.608754663452</v>
      </c>
      <c r="T276" s="221">
        <f t="shared" ref="T276" si="95">SUM(T273:T275)</f>
        <v>227674.60865683685</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748</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749</v>
      </c>
      <c r="G279" s="23" t="s">
        <v>750</v>
      </c>
      <c r="H279" s="223">
        <f>IF(SUM(J270:L270) &lt;&gt; 0, SUM(J276:L276) / SUM(J270:L270), 0)</f>
        <v>1.402215338125159</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158</v>
      </c>
      <c r="G280" t="s">
        <v>750</v>
      </c>
      <c r="H280" s="169">
        <f>IF(S270 &lt;&gt; 0, S276 / S270, 0)</f>
        <v>1.4022153381251583</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751</v>
      </c>
      <c r="G281" s="111" t="s">
        <v>57</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752</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753</v>
      </c>
      <c r="G284" s="23" t="s">
        <v>750</v>
      </c>
      <c r="H284" s="223">
        <f>IF(SUM(M270:O270) &lt;&gt; 0, SUM(M276:O276) / SUM(M270:O270), 0)</f>
        <v>1.2491517966553007</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159</v>
      </c>
      <c r="G285" s="37" t="s">
        <v>750</v>
      </c>
      <c r="H285" s="224">
        <f>IF(T270 &lt;&gt; 0, T276 / T270, 0)</f>
        <v>1.2491517966553005</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754</v>
      </c>
      <c r="G286" s="37" t="s">
        <v>57</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755</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282</v>
      </c>
      <c r="G290" s="6" t="s">
        <v>57</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756</v>
      </c>
      <c r="G292" s="6" t="s">
        <v>57</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757</v>
      </c>
      <c r="G294" s="6" t="s">
        <v>57</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758</v>
      </c>
      <c r="D9"/>
      <c r="F9" s="29"/>
    </row>
    <row r="10" spans="1:44" x14ac:dyDescent="0.25">
      <c r="C10" s="29" t="s">
        <v>759</v>
      </c>
      <c r="D10"/>
      <c r="E10"/>
      <c r="F10" s="29"/>
    </row>
    <row r="11" spans="1:44" x14ac:dyDescent="0.25">
      <c r="C11" s="29" t="s">
        <v>760</v>
      </c>
    </row>
    <row r="13" spans="1:44" x14ac:dyDescent="0.25">
      <c r="B13" s="30" t="s">
        <v>761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762</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681</v>
      </c>
      <c r="F19" s="28"/>
      <c r="G19" s="28" t="s">
        <v>204</v>
      </c>
      <c r="H19" s="196">
        <f>'Unit costs'!$H$121</f>
        <v>4.8511696964659567E-2</v>
      </c>
      <c r="I19" s="3"/>
      <c r="K19" s="3"/>
      <c r="L19" s="3"/>
      <c r="M19" s="3"/>
      <c r="N19" s="3"/>
      <c r="O19" s="3"/>
      <c r="P19" s="3"/>
      <c r="Q19" s="3"/>
      <c r="R19" s="3"/>
      <c r="S19" s="3"/>
      <c r="T19" s="3"/>
      <c r="U19" s="3"/>
      <c r="W19" s="3"/>
    </row>
    <row r="20" spans="2:44" x14ac:dyDescent="0.25">
      <c r="C20" s="91"/>
      <c r="E20" t="s">
        <v>711</v>
      </c>
      <c r="G20" t="s">
        <v>418</v>
      </c>
      <c r="H20" s="123">
        <f>'Unit costs'!$H$122</f>
        <v>155317389.27697212</v>
      </c>
    </row>
    <row r="21" spans="2:44" x14ac:dyDescent="0.25">
      <c r="C21" s="91"/>
      <c r="E21" t="s">
        <v>763</v>
      </c>
      <c r="G21" t="s">
        <v>418</v>
      </c>
      <c r="H21" s="123">
        <f>'Unit costs'!$H$123</f>
        <v>5831924735.8081083</v>
      </c>
    </row>
    <row r="22" spans="2:44" x14ac:dyDescent="0.25">
      <c r="D22" s="91"/>
      <c r="E22"/>
    </row>
    <row r="23" spans="2:44" x14ac:dyDescent="0.25">
      <c r="D23"/>
      <c r="E23" s="32" t="s">
        <v>764</v>
      </c>
      <c r="H23" s="63"/>
      <c r="L23" s="63"/>
      <c r="M23" s="63"/>
      <c r="N23" s="63"/>
      <c r="O23" s="63"/>
      <c r="P23" s="63"/>
      <c r="Q23" s="63"/>
      <c r="R23" s="63"/>
      <c r="S23" s="63"/>
      <c r="T23" s="63"/>
      <c r="U23" s="63"/>
    </row>
    <row r="24" spans="2:44" x14ac:dyDescent="0.25">
      <c r="D24"/>
      <c r="E24" s="29" t="s">
        <v>765</v>
      </c>
      <c r="H24" s="63"/>
    </row>
    <row r="25" spans="2:44" x14ac:dyDescent="0.25">
      <c r="E25" s="91"/>
      <c r="F25" s="23" t="s">
        <v>437</v>
      </c>
      <c r="G25" s="23" t="s">
        <v>320</v>
      </c>
      <c r="H25" s="191"/>
      <c r="I25" s="23"/>
      <c r="J25" s="127">
        <f>'Inputs by customer type'!J71</f>
        <v>233.25987618636759</v>
      </c>
      <c r="K25" s="127">
        <f>'Inputs by customer type'!K71</f>
        <v>233.25987618636759</v>
      </c>
      <c r="L25" s="127">
        <f>'Inputs by customer type'!L71</f>
        <v>0</v>
      </c>
      <c r="M25" s="127">
        <f>'Inputs by customer type'!M71</f>
        <v>683.9497454702331</v>
      </c>
      <c r="N25" s="127">
        <f>'Inputs by customer type'!N71</f>
        <v>683.9497454702331</v>
      </c>
      <c r="O25" s="127">
        <f>'Inputs by customer type'!O71</f>
        <v>0</v>
      </c>
      <c r="P25" s="127">
        <f>'Inputs by customer type'!P71</f>
        <v>791.92323986195004</v>
      </c>
      <c r="Q25" s="127">
        <f>'Inputs by customer type'!Q71</f>
        <v>570.92474547023312</v>
      </c>
      <c r="R25" s="127">
        <f>'Inputs by customer type'!R71</f>
        <v>0</v>
      </c>
      <c r="S25" s="127">
        <f>'Inputs by customer type'!S71</f>
        <v>233.25987618636759</v>
      </c>
      <c r="T25" s="127">
        <f>'Inputs by customer type'!T71</f>
        <v>683.9497454702331</v>
      </c>
      <c r="U25" s="127">
        <f>'Inputs by customer type'!U71</f>
        <v>1364.5739016393445</v>
      </c>
      <c r="V25" s="127">
        <f>'Inputs by customer type'!V71</f>
        <v>1065.1965724762726</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438</v>
      </c>
      <c r="G26" t="s">
        <v>320</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9833.7196902502164</v>
      </c>
      <c r="S26" s="123">
        <f>'Inputs by customer type'!S72</f>
        <v>0</v>
      </c>
      <c r="T26" s="123">
        <f>'Inputs by customer type'!T72</f>
        <v>0</v>
      </c>
      <c r="U26" s="123">
        <f>'Inputs by customer type'!U72</f>
        <v>0</v>
      </c>
      <c r="V26" s="123">
        <f>'Inputs by customer type'!V72</f>
        <v>0</v>
      </c>
      <c r="W26" s="123">
        <f>'Inputs by customer type'!W72</f>
        <v>9833.7196902502164</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6154.361518550475</v>
      </c>
      <c r="AN26" s="123">
        <f>'Inputs by customer type'!AN72</f>
        <v>6154.361518550475</v>
      </c>
      <c r="AO26" s="123">
        <f>'Inputs by customer type'!AO72</f>
        <v>6154.361518550475</v>
      </c>
      <c r="AP26" s="123">
        <f>'Inputs by customer type'!AP72</f>
        <v>6154.361518550475</v>
      </c>
    </row>
    <row r="27" spans="2:44" x14ac:dyDescent="0.25">
      <c r="E27" s="91"/>
      <c r="F27" s="37" t="s">
        <v>666</v>
      </c>
      <c r="G27" s="37" t="s">
        <v>323</v>
      </c>
      <c r="H27" s="37"/>
      <c r="I27" s="37"/>
      <c r="J27" s="81"/>
      <c r="K27" s="81"/>
      <c r="L27" s="81"/>
      <c r="M27" s="81"/>
      <c r="N27" s="81"/>
      <c r="O27" s="81"/>
      <c r="P27" s="81"/>
      <c r="Q27" s="81"/>
      <c r="R27" s="81"/>
      <c r="S27" s="81"/>
      <c r="T27" s="81"/>
      <c r="U27" s="81"/>
      <c r="V27" s="81"/>
      <c r="W27" s="81"/>
      <c r="X27" s="128">
        <f>'Inputs by customer type'!X74</f>
        <v>263.68548631578949</v>
      </c>
      <c r="Y27" s="128">
        <f>'Inputs by customer type'!Y74</f>
        <v>263.68548631578949</v>
      </c>
      <c r="Z27" s="128">
        <f>'Inputs by customer type'!Z74</f>
        <v>263.68548631578949</v>
      </c>
      <c r="AA27" s="128">
        <f>'Inputs by customer type'!AA74</f>
        <v>263.68548631578949</v>
      </c>
      <c r="AB27" s="128">
        <f>'Inputs by customer type'!AB74</f>
        <v>263.68548631578949</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767</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768</v>
      </c>
      <c r="G35" t="s">
        <v>336</v>
      </c>
      <c r="H35" s="101">
        <f>IF(H21 &lt;&gt; 0, H20  /H21, 0)</f>
        <v>2.6632269158640018E-2</v>
      </c>
      <c r="I35" t="s">
        <v>191</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769</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770</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771</v>
      </c>
      <c r="H41" s="63"/>
      <c r="I41" t="s">
        <v>191</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772</v>
      </c>
    </row>
    <row r="42" spans="2:44" x14ac:dyDescent="0.25">
      <c r="D42"/>
      <c r="E42" s="91"/>
      <c r="F42" s="23" t="s">
        <v>437</v>
      </c>
      <c r="G42" s="23" t="s">
        <v>329</v>
      </c>
      <c r="H42" s="191"/>
      <c r="I42" s="23"/>
      <c r="J42" s="104">
        <f t="shared" ref="J42:AP42" si="0">J25 * $H$35 / days_in_year * hundred</f>
        <v>1.7019835086318866</v>
      </c>
      <c r="K42" s="104">
        <f t="shared" si="0"/>
        <v>1.7019835086318866</v>
      </c>
      <c r="L42" s="104">
        <f t="shared" si="0"/>
        <v>0</v>
      </c>
      <c r="M42" s="104">
        <f t="shared" si="0"/>
        <v>4.9904475924237195</v>
      </c>
      <c r="N42" s="104">
        <f t="shared" si="0"/>
        <v>4.9904475924237195</v>
      </c>
      <c r="O42" s="104">
        <f t="shared" si="0"/>
        <v>0</v>
      </c>
      <c r="P42" s="104">
        <f t="shared" si="0"/>
        <v>5.7782775005440259</v>
      </c>
      <c r="Q42" s="104">
        <f t="shared" si="0"/>
        <v>4.165759312518162</v>
      </c>
      <c r="R42" s="104">
        <f t="shared" si="0"/>
        <v>0</v>
      </c>
      <c r="S42" s="104">
        <f t="shared" si="0"/>
        <v>1.7019835086318866</v>
      </c>
      <c r="T42" s="104">
        <f t="shared" si="0"/>
        <v>4.9904475924237195</v>
      </c>
      <c r="U42" s="104">
        <f t="shared" si="0"/>
        <v>9.9566299822779722</v>
      </c>
      <c r="V42" s="104">
        <f t="shared" si="0"/>
        <v>7.7722196780955866</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438</v>
      </c>
      <c r="G43" t="s">
        <v>329</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71.751854690784072</v>
      </c>
      <c r="S43" s="124">
        <f t="shared" si="1"/>
        <v>0</v>
      </c>
      <c r="T43" s="124">
        <f t="shared" si="1"/>
        <v>0</v>
      </c>
      <c r="U43" s="124">
        <f t="shared" si="1"/>
        <v>0</v>
      </c>
      <c r="V43" s="124">
        <f t="shared" si="1"/>
        <v>0</v>
      </c>
      <c r="W43" s="124">
        <f t="shared" si="1"/>
        <v>71.751854690784072</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44.905373277154183</v>
      </c>
      <c r="AN43" s="124">
        <f t="shared" si="1"/>
        <v>44.905373277154183</v>
      </c>
      <c r="AO43" s="124">
        <f t="shared" si="1"/>
        <v>44.905373277154183</v>
      </c>
      <c r="AP43" s="124">
        <f t="shared" si="1"/>
        <v>44.905373277154183</v>
      </c>
    </row>
    <row r="44" spans="2:44" x14ac:dyDescent="0.25">
      <c r="D44"/>
      <c r="E44" s="91"/>
      <c r="F44" s="37" t="s">
        <v>666</v>
      </c>
      <c r="G44" s="37" t="s">
        <v>328</v>
      </c>
      <c r="H44" s="308"/>
      <c r="I44" s="308"/>
      <c r="J44" s="309"/>
      <c r="K44" s="309"/>
      <c r="L44" s="309"/>
      <c r="M44" s="309"/>
      <c r="N44" s="309"/>
      <c r="O44" s="309"/>
      <c r="P44" s="309"/>
      <c r="Q44" s="309"/>
      <c r="R44" s="309"/>
      <c r="S44" s="309"/>
      <c r="T44" s="309"/>
      <c r="U44" s="309"/>
      <c r="V44" s="309"/>
      <c r="W44" s="309"/>
      <c r="X44" s="317">
        <f>X27*$H$35/ten</f>
        <v>0.70225428447889948</v>
      </c>
      <c r="Y44" s="317">
        <f>Y27*$H$35/ten</f>
        <v>0.70225428447889948</v>
      </c>
      <c r="Z44" s="317">
        <f>Z27*$H$35/ten</f>
        <v>0.70225428447889948</v>
      </c>
      <c r="AA44" s="317">
        <f>AA27*$H$35/ten</f>
        <v>0.70225428447889948</v>
      </c>
      <c r="AB44" s="317">
        <f>AB27*$H$35/ten</f>
        <v>0.70225428447889948</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282</v>
      </c>
      <c r="G48" s="6" t="s">
        <v>57</v>
      </c>
      <c r="H48" s="26">
        <f t="array" ref="H48">SUM(IF(ISERROR(H19:AP45), 1))</f>
        <v>0</v>
      </c>
    </row>
    <row r="50" spans="2:44" x14ac:dyDescent="0.25">
      <c r="B50" s="107" t="s">
        <v>108</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WPD EMEB - [enter data version name]</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34</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35</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36</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1121</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37</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38</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39</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40</v>
      </c>
      <c r="G19" s="48" t="s">
        <v>41</v>
      </c>
      <c r="H19" s="47" t="s">
        <v>1116</v>
      </c>
      <c r="I19" s="48" t="s">
        <v>42</v>
      </c>
      <c r="J19" s="48" t="s">
        <v>43</v>
      </c>
      <c r="K19" s="48" t="s">
        <v>44</v>
      </c>
      <c r="L19" s="48" t="s">
        <v>45</v>
      </c>
    </row>
    <row r="20" spans="1:12" ht="30" x14ac:dyDescent="0.25">
      <c r="A20" s="40"/>
      <c r="B20" s="40"/>
      <c r="C20" s="40"/>
      <c r="D20" s="40"/>
      <c r="E20" s="40"/>
      <c r="F20" s="280">
        <v>43250</v>
      </c>
      <c r="G20" s="276" t="s">
        <v>46</v>
      </c>
      <c r="H20" s="276">
        <v>1</v>
      </c>
      <c r="I20" s="276" t="s">
        <v>47</v>
      </c>
      <c r="J20" s="276" t="s">
        <v>48</v>
      </c>
      <c r="K20" s="276" t="s">
        <v>49</v>
      </c>
      <c r="L20" s="276" t="s">
        <v>50</v>
      </c>
    </row>
    <row r="21" spans="1:12" ht="30" x14ac:dyDescent="0.25">
      <c r="A21" s="40"/>
      <c r="B21" s="40"/>
      <c r="C21" s="40"/>
      <c r="D21" s="40"/>
      <c r="E21" s="40"/>
      <c r="F21" s="280">
        <v>43301</v>
      </c>
      <c r="G21" s="276" t="s">
        <v>46</v>
      </c>
      <c r="H21" s="276">
        <v>2</v>
      </c>
      <c r="I21" s="276" t="s">
        <v>51</v>
      </c>
      <c r="J21" s="276" t="s">
        <v>48</v>
      </c>
      <c r="K21" s="276" t="s">
        <v>49</v>
      </c>
      <c r="L21" s="276" t="s">
        <v>52</v>
      </c>
    </row>
    <row r="22" spans="1:12" ht="45" x14ac:dyDescent="0.25">
      <c r="A22" s="40"/>
      <c r="B22" s="40"/>
      <c r="C22" s="40"/>
      <c r="D22" s="40"/>
      <c r="E22" s="40"/>
      <c r="F22" s="280">
        <v>43389</v>
      </c>
      <c r="G22" s="276" t="s">
        <v>1117</v>
      </c>
      <c r="H22" s="276">
        <v>3</v>
      </c>
      <c r="I22" s="340" t="s">
        <v>1118</v>
      </c>
      <c r="J22" s="340" t="s">
        <v>48</v>
      </c>
      <c r="K22" s="340" t="s">
        <v>49</v>
      </c>
      <c r="L22" s="340" t="s">
        <v>1122</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53</v>
      </c>
      <c r="C31" s="41"/>
      <c r="D31" s="41"/>
      <c r="E31" s="41"/>
      <c r="F31" s="41"/>
      <c r="G31" s="42"/>
      <c r="H31" s="42"/>
      <c r="I31" s="42"/>
      <c r="J31" s="42"/>
      <c r="K31" s="42"/>
      <c r="L31" s="41"/>
    </row>
    <row r="33" spans="5:10" x14ac:dyDescent="0.25">
      <c r="E33" s="32" t="s">
        <v>54</v>
      </c>
      <c r="F33" s="49"/>
      <c r="G33" s="50"/>
      <c r="H33" s="50"/>
      <c r="I33" s="50"/>
      <c r="J33" s="50"/>
    </row>
    <row r="34" spans="5:10" x14ac:dyDescent="0.25">
      <c r="F34" s="6" t="s">
        <v>55</v>
      </c>
      <c r="H34" s="278" t="s">
        <v>56</v>
      </c>
      <c r="I34" s="6" t="s">
        <v>57</v>
      </c>
      <c r="J34" s="51">
        <f>'Fixed inputs'!H174</f>
        <v>0</v>
      </c>
    </row>
    <row r="35" spans="5:10" x14ac:dyDescent="0.25">
      <c r="F35" s="6" t="s">
        <v>58</v>
      </c>
      <c r="H35" s="278" t="s">
        <v>59</v>
      </c>
      <c r="I35" s="6" t="s">
        <v>57</v>
      </c>
      <c r="J35" s="51">
        <f>'Inputs by customer type'!H107</f>
        <v>0</v>
      </c>
    </row>
    <row r="36" spans="5:10" x14ac:dyDescent="0.25">
      <c r="F36" s="6" t="s">
        <v>60</v>
      </c>
      <c r="H36" s="278" t="s">
        <v>61</v>
      </c>
      <c r="I36" s="6" t="s">
        <v>57</v>
      </c>
      <c r="J36" s="52">
        <f>'Inputs by network level'!H56</f>
        <v>0</v>
      </c>
    </row>
    <row r="37" spans="5:10" x14ac:dyDescent="0.25">
      <c r="F37" s="6" t="s">
        <v>62</v>
      </c>
      <c r="H37" s="278" t="s">
        <v>63</v>
      </c>
      <c r="I37" s="6" t="s">
        <v>57</v>
      </c>
      <c r="J37" s="51">
        <f>'General inputs'!H112</f>
        <v>0</v>
      </c>
    </row>
    <row r="38" spans="5:10" x14ac:dyDescent="0.25">
      <c r="F38" s="6" t="s">
        <v>64</v>
      </c>
      <c r="H38" s="278" t="s">
        <v>65</v>
      </c>
      <c r="I38" s="6" t="s">
        <v>57</v>
      </c>
      <c r="J38" s="52">
        <f>'Standing charge factors'!H58</f>
        <v>0</v>
      </c>
    </row>
    <row r="39" spans="5:10" x14ac:dyDescent="0.25">
      <c r="F39" s="6" t="s">
        <v>66</v>
      </c>
      <c r="H39" s="278" t="s">
        <v>67</v>
      </c>
      <c r="I39" s="6" t="s">
        <v>57</v>
      </c>
      <c r="J39" s="52">
        <f>'Load &amp; loss characteristics'!H302</f>
        <v>0</v>
      </c>
    </row>
    <row r="40" spans="5:10" x14ac:dyDescent="0.25">
      <c r="F40" s="6" t="s">
        <v>68</v>
      </c>
      <c r="H40" s="278" t="s">
        <v>69</v>
      </c>
      <c r="I40" s="6" t="s">
        <v>57</v>
      </c>
      <c r="J40" s="52">
        <f>'Customer contributions'!H104</f>
        <v>0</v>
      </c>
    </row>
    <row r="41" spans="5:10" x14ac:dyDescent="0.25">
      <c r="F41" s="6" t="s">
        <v>70</v>
      </c>
      <c r="H41" s="278" t="s">
        <v>71</v>
      </c>
      <c r="I41" s="6" t="s">
        <v>57</v>
      </c>
      <c r="J41" s="52">
        <f>'Volume adjustments'!H140</f>
        <v>0</v>
      </c>
    </row>
    <row r="42" spans="5:10" x14ac:dyDescent="0.25">
      <c r="F42" s="6" t="s">
        <v>72</v>
      </c>
      <c r="H42" s="278" t="s">
        <v>73</v>
      </c>
      <c r="I42" s="6" t="s">
        <v>57</v>
      </c>
      <c r="J42" s="52">
        <f>'Pseudo-load coefficients'!H543</f>
        <v>0</v>
      </c>
    </row>
    <row r="43" spans="5:10" x14ac:dyDescent="0.25">
      <c r="F43" s="6" t="s">
        <v>74</v>
      </c>
      <c r="H43" s="278" t="s">
        <v>75</v>
      </c>
      <c r="I43" s="6" t="s">
        <v>57</v>
      </c>
      <c r="J43" s="52">
        <f>'System peak demand'!H281</f>
        <v>0</v>
      </c>
    </row>
    <row r="44" spans="5:10" x14ac:dyDescent="0.25">
      <c r="F44" s="6" t="s">
        <v>76</v>
      </c>
      <c r="H44" s="278" t="s">
        <v>77</v>
      </c>
      <c r="I44" s="6" t="s">
        <v>57</v>
      </c>
      <c r="J44" s="52">
        <f>'Service model assets'!H38</f>
        <v>0</v>
      </c>
    </row>
    <row r="45" spans="5:10" x14ac:dyDescent="0.25">
      <c r="F45" s="6" t="s">
        <v>78</v>
      </c>
      <c r="H45" s="278" t="s">
        <v>79</v>
      </c>
      <c r="I45" s="6" t="s">
        <v>57</v>
      </c>
      <c r="J45" s="52">
        <f>'Unit costs'!H131</f>
        <v>0</v>
      </c>
    </row>
    <row r="46" spans="5:10" x14ac:dyDescent="0.25">
      <c r="F46" s="6" t="s">
        <v>80</v>
      </c>
      <c r="H46" s="278" t="s">
        <v>81</v>
      </c>
      <c r="I46" s="6" t="s">
        <v>57</v>
      </c>
      <c r="J46" s="52">
        <f>'Initial unit rates'!H294</f>
        <v>0</v>
      </c>
    </row>
    <row r="47" spans="5:10" x14ac:dyDescent="0.25">
      <c r="F47" s="6" t="s">
        <v>82</v>
      </c>
      <c r="H47" s="278" t="s">
        <v>83</v>
      </c>
      <c r="I47" s="6" t="s">
        <v>57</v>
      </c>
      <c r="J47" s="52">
        <f>'Service model charges'!H48</f>
        <v>0</v>
      </c>
    </row>
    <row r="48" spans="5:10" x14ac:dyDescent="0.25">
      <c r="F48" s="6" t="s">
        <v>84</v>
      </c>
      <c r="H48" s="278" t="s">
        <v>85</v>
      </c>
      <c r="I48" s="6" t="s">
        <v>57</v>
      </c>
      <c r="J48" s="52">
        <f>'Unit rate charges'!H223</f>
        <v>0</v>
      </c>
    </row>
    <row r="49" spans="2:12" x14ac:dyDescent="0.25">
      <c r="F49" s="6" t="s">
        <v>86</v>
      </c>
      <c r="H49" s="278" t="s">
        <v>87</v>
      </c>
      <c r="I49" s="6" t="s">
        <v>57</v>
      </c>
      <c r="J49" s="52">
        <f>'Reactive power charges'!H254</f>
        <v>0</v>
      </c>
    </row>
    <row r="50" spans="2:12" x14ac:dyDescent="0.25">
      <c r="F50" s="6" t="s">
        <v>88</v>
      </c>
      <c r="H50" s="278" t="s">
        <v>89</v>
      </c>
      <c r="I50" s="6" t="s">
        <v>57</v>
      </c>
      <c r="J50" s="52">
        <f>'Capacity charges'!H295</f>
        <v>0</v>
      </c>
    </row>
    <row r="51" spans="2:12" x14ac:dyDescent="0.25">
      <c r="F51" s="6" t="s">
        <v>90</v>
      </c>
      <c r="H51" s="278" t="s">
        <v>91</v>
      </c>
      <c r="I51" s="6" t="s">
        <v>57</v>
      </c>
      <c r="J51" s="52">
        <f>'Fixed charges'!H165</f>
        <v>0</v>
      </c>
    </row>
    <row r="52" spans="2:12" x14ac:dyDescent="0.25">
      <c r="F52" s="6" t="s">
        <v>92</v>
      </c>
      <c r="H52" s="278" t="s">
        <v>93</v>
      </c>
      <c r="I52" s="6" t="s">
        <v>57</v>
      </c>
      <c r="J52" s="52">
        <f>'Revenue matching'!H156</f>
        <v>0</v>
      </c>
    </row>
    <row r="53" spans="2:12" x14ac:dyDescent="0.25">
      <c r="F53" s="6" t="s">
        <v>94</v>
      </c>
      <c r="H53" s="278" t="s">
        <v>95</v>
      </c>
      <c r="I53" s="6" t="s">
        <v>57</v>
      </c>
      <c r="J53" s="52">
        <f>Rounding!H117</f>
        <v>0</v>
      </c>
    </row>
    <row r="54" spans="2:12" x14ac:dyDescent="0.25">
      <c r="F54" s="6" t="s">
        <v>96</v>
      </c>
      <c r="H54" s="278" t="s">
        <v>97</v>
      </c>
      <c r="I54" s="6" t="s">
        <v>57</v>
      </c>
      <c r="J54" s="51">
        <f>'Net revenue summary'!$H$195</f>
        <v>0</v>
      </c>
    </row>
    <row r="55" spans="2:12" x14ac:dyDescent="0.25">
      <c r="F55" s="6" t="s">
        <v>98</v>
      </c>
      <c r="H55" s="278" t="s">
        <v>99</v>
      </c>
      <c r="I55" s="6" t="s">
        <v>57</v>
      </c>
      <c r="J55" s="52">
        <f>'Tariff summary'!$H$122</f>
        <v>0</v>
      </c>
    </row>
    <row r="56" spans="2:12" x14ac:dyDescent="0.25">
      <c r="F56" s="6" t="s">
        <v>100</v>
      </c>
      <c r="H56" s="278" t="s">
        <v>101</v>
      </c>
      <c r="I56" s="6" t="s">
        <v>57</v>
      </c>
      <c r="J56" s="51">
        <f>'Output to other models'!H73</f>
        <v>0</v>
      </c>
    </row>
    <row r="57" spans="2:12" x14ac:dyDescent="0.25">
      <c r="F57" s="53" t="s">
        <v>102</v>
      </c>
      <c r="G57" s="53"/>
      <c r="H57" s="53"/>
      <c r="I57" s="53" t="s">
        <v>57</v>
      </c>
      <c r="J57" s="54">
        <f>IFERROR(SUM(J34:J56), 1)</f>
        <v>0</v>
      </c>
    </row>
    <row r="59" spans="2:12" x14ac:dyDescent="0.25">
      <c r="B59" s="41" t="s">
        <v>103</v>
      </c>
      <c r="C59" s="41"/>
      <c r="D59" s="41"/>
      <c r="E59" s="41"/>
      <c r="F59" s="41"/>
      <c r="G59" s="42"/>
      <c r="H59" s="42"/>
      <c r="I59" s="42"/>
      <c r="J59" s="42"/>
      <c r="K59" s="42"/>
      <c r="L59" s="41"/>
    </row>
    <row r="61" spans="2:12" x14ac:dyDescent="0.25">
      <c r="F61" s="48" t="s">
        <v>104</v>
      </c>
    </row>
    <row r="62" spans="2:12" x14ac:dyDescent="0.25">
      <c r="F62" s="278" t="s">
        <v>105</v>
      </c>
    </row>
    <row r="63" spans="2:12" x14ac:dyDescent="0.25">
      <c r="F63" s="278" t="s">
        <v>106</v>
      </c>
    </row>
    <row r="64" spans="2:12" x14ac:dyDescent="0.25">
      <c r="F64" s="278" t="s">
        <v>46</v>
      </c>
    </row>
    <row r="65" spans="2:12" ht="30" x14ac:dyDescent="0.25">
      <c r="F65" s="341" t="s">
        <v>1117</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107</v>
      </c>
    </row>
    <row r="74" spans="2:12" x14ac:dyDescent="0.25">
      <c r="B74" s="41" t="s">
        <v>108</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773</v>
      </c>
      <c r="D9"/>
    </row>
    <row r="10" spans="1:44" x14ac:dyDescent="0.25">
      <c r="C10" s="29" t="s">
        <v>774</v>
      </c>
      <c r="D10"/>
      <c r="E10"/>
    </row>
    <row r="11" spans="1:44" x14ac:dyDescent="0.25">
      <c r="C11" s="29" t="s">
        <v>775</v>
      </c>
      <c r="D11"/>
      <c r="E11"/>
    </row>
    <row r="12" spans="1:44" x14ac:dyDescent="0.25">
      <c r="C12" s="29" t="s">
        <v>776</v>
      </c>
    </row>
    <row r="13" spans="1:44" x14ac:dyDescent="0.25">
      <c r="C13" s="29" t="s">
        <v>777</v>
      </c>
      <c r="D13"/>
    </row>
    <row r="15" spans="1:44" x14ac:dyDescent="0.25">
      <c r="B15" s="30" t="s">
        <v>778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779</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734</v>
      </c>
    </row>
    <row r="22" spans="3:44" x14ac:dyDescent="0.25">
      <c r="D22"/>
      <c r="F22" s="23" t="s">
        <v>226</v>
      </c>
      <c r="G22" s="23" t="s">
        <v>328</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228</v>
      </c>
      <c r="G23" t="s">
        <v>328</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229</v>
      </c>
      <c r="G24" t="s">
        <v>328</v>
      </c>
      <c r="H24" s="304"/>
      <c r="I24" s="304"/>
      <c r="J24" s="319">
        <f>'Initial unit rates'!J154</f>
        <v>0.14657660776207709</v>
      </c>
      <c r="K24" s="319">
        <f>'Initial unit rates'!K154</f>
        <v>0.17561057762842913</v>
      </c>
      <c r="L24" s="319">
        <f>'Initial unit rates'!L154</f>
        <v>4.3550387727968126E-2</v>
      </c>
      <c r="M24" s="319">
        <f>'Initial unit rates'!M154</f>
        <v>0.12884591674664936</v>
      </c>
      <c r="N24" s="319">
        <f>'Initial unit rates'!N154</f>
        <v>0.14727166417007254</v>
      </c>
      <c r="O24" s="319">
        <f>'Initial unit rates'!O154</f>
        <v>1.9467208101184703E-2</v>
      </c>
      <c r="P24" s="319">
        <f>'Initial unit rates'!P154</f>
        <v>0.14004554375680095</v>
      </c>
      <c r="Q24" s="319">
        <f>'Initial unit rates'!Q154</f>
        <v>0.10515455841302399</v>
      </c>
      <c r="R24" s="319">
        <f>'Initial unit rates'!R154</f>
        <v>0.14275004470377178</v>
      </c>
      <c r="S24" s="319">
        <f>'Initial unit rates'!S154</f>
        <v>0.90969857556581457</v>
      </c>
      <c r="T24" s="319">
        <f>'Initial unit rates'!T154</f>
        <v>0.84592160657041005</v>
      </c>
      <c r="U24" s="319">
        <f>'Initial unit rates'!U154</f>
        <v>0.70737504746187918</v>
      </c>
      <c r="V24" s="319">
        <f>'Initial unit rates'!V154</f>
        <v>0.67313193227576207</v>
      </c>
      <c r="W24" s="319">
        <f>'Initial unit rates'!W154</f>
        <v>0.59856645138486109</v>
      </c>
      <c r="X24" s="319">
        <f>'Initial unit rates'!X154</f>
        <v>8.3605178158947996E-2</v>
      </c>
      <c r="Y24" s="319">
        <f>'Initial unit rates'!Y154</f>
        <v>0.1139197146924361</v>
      </c>
      <c r="Z24" s="319">
        <f>'Initial unit rates'!Z154</f>
        <v>0.20961033443612143</v>
      </c>
      <c r="AA24" s="319">
        <f>'Initial unit rates'!AA154</f>
        <v>5.3425038646439986E-2</v>
      </c>
      <c r="AB24" s="319">
        <f>'Initial unit rates'!AB154</f>
        <v>2.1213309144797847</v>
      </c>
      <c r="AC24" s="319">
        <f>'Initial unit rates'!AC154</f>
        <v>-6.9141952760269715E-2</v>
      </c>
      <c r="AD24" s="319">
        <f>'Initial unit rates'!AD154</f>
        <v>-6.7153640575141366E-2</v>
      </c>
      <c r="AE24" s="319">
        <f>'Initial unit rates'!AE154</f>
        <v>-6.9141952760269715E-2</v>
      </c>
      <c r="AF24" s="319">
        <f>'Initial unit rates'!AF154</f>
        <v>-6.9141952760269715E-2</v>
      </c>
      <c r="AG24" s="319">
        <f>'Initial unit rates'!AG154</f>
        <v>-0.59827532547492623</v>
      </c>
      <c r="AH24" s="319">
        <f>'Initial unit rates'!AH154</f>
        <v>-0.59827532547492623</v>
      </c>
      <c r="AI24" s="319">
        <f>'Initial unit rates'!AI154</f>
        <v>-6.7153640575141366E-2</v>
      </c>
      <c r="AJ24" s="319">
        <f>'Initial unit rates'!AJ154</f>
        <v>-6.7153640575141366E-2</v>
      </c>
      <c r="AK24" s="319">
        <f>'Initial unit rates'!AK154</f>
        <v>-0.58107074746961751</v>
      </c>
      <c r="AL24" s="319">
        <f>'Initial unit rates'!AL154</f>
        <v>-0.58107074746961751</v>
      </c>
      <c r="AM24" s="319">
        <f>'Initial unit rates'!AM154</f>
        <v>-6.6448110444934524E-2</v>
      </c>
      <c r="AN24" s="319">
        <f>'Initial unit rates'!AN154</f>
        <v>-6.6448110444934524E-2</v>
      </c>
      <c r="AO24" s="319">
        <f>'Initial unit rates'!AO154</f>
        <v>-0.57496589720966917</v>
      </c>
      <c r="AP24" s="319">
        <f>'Initial unit rates'!AP154</f>
        <v>-0.57496589720966917</v>
      </c>
      <c r="AQ24" s="304"/>
      <c r="AR24" s="304"/>
    </row>
    <row r="25" spans="3:44" x14ac:dyDescent="0.25">
      <c r="D25"/>
      <c r="F25" t="s">
        <v>230</v>
      </c>
      <c r="G25" t="s">
        <v>328</v>
      </c>
      <c r="H25" s="304"/>
      <c r="I25" s="304"/>
      <c r="J25" s="319">
        <f>'Initial unit rates'!J155</f>
        <v>7.6584909853957203E-2</v>
      </c>
      <c r="K25" s="319">
        <f>'Initial unit rates'!K155</f>
        <v>9.1754888194064285E-2</v>
      </c>
      <c r="L25" s="319">
        <f>'Initial unit rates'!L155</f>
        <v>2.2754671220561882E-2</v>
      </c>
      <c r="M25" s="319">
        <f>'Initial unit rates'!M155</f>
        <v>6.7320789242917775E-2</v>
      </c>
      <c r="N25" s="319">
        <f>'Initial unit rates'!N155</f>
        <v>7.6948070341585281E-2</v>
      </c>
      <c r="O25" s="319">
        <f>'Initial unit rates'!O155</f>
        <v>1.0171434584961014E-2</v>
      </c>
      <c r="P25" s="319">
        <f>'Initial unit rates'!P155</f>
        <v>7.3172489852353723E-2</v>
      </c>
      <c r="Q25" s="319">
        <f>'Initial unit rates'!Q155</f>
        <v>5.4942275576919775E-2</v>
      </c>
      <c r="R25" s="319">
        <f>'Initial unit rates'!R155</f>
        <v>7.4585566361532532E-2</v>
      </c>
      <c r="S25" s="319">
        <f>'Initial unit rates'!S155</f>
        <v>0.47530901736427195</v>
      </c>
      <c r="T25" s="319">
        <f>'Initial unit rates'!T155</f>
        <v>0.44198614616506976</v>
      </c>
      <c r="U25" s="319">
        <f>'Initial unit rates'!U155</f>
        <v>0.36959686180445844</v>
      </c>
      <c r="V25" s="319">
        <f>'Initial unit rates'!V155</f>
        <v>0.35170515364114552</v>
      </c>
      <c r="W25" s="319">
        <f>'Initial unit rates'!W155</f>
        <v>0.3127453856438126</v>
      </c>
      <c r="X25" s="319">
        <f>'Initial unit rates'!X155</f>
        <v>4.3682925470756098E-2</v>
      </c>
      <c r="Y25" s="319">
        <f>'Initial unit rates'!Y155</f>
        <v>5.9521987945514374E-2</v>
      </c>
      <c r="Z25" s="319">
        <f>'Initial unit rates'!Z155</f>
        <v>0.10951944387541951</v>
      </c>
      <c r="AA25" s="319">
        <f>'Initial unit rates'!AA155</f>
        <v>2.7914084185405533E-2</v>
      </c>
      <c r="AB25" s="319">
        <f>'Initial unit rates'!AB155</f>
        <v>1.1083756087434831</v>
      </c>
      <c r="AC25" s="319">
        <f>'Initial unit rates'!AC155</f>
        <v>-3.6126025155849097E-2</v>
      </c>
      <c r="AD25" s="319">
        <f>'Initial unit rates'!AD155</f>
        <v>-3.5087150591998142E-2</v>
      </c>
      <c r="AE25" s="319">
        <f>'Initial unit rates'!AE155</f>
        <v>-3.6126025155849097E-2</v>
      </c>
      <c r="AF25" s="319">
        <f>'Initial unit rates'!AF155</f>
        <v>-3.6126025155849097E-2</v>
      </c>
      <c r="AG25" s="319">
        <f>'Initial unit rates'!AG155</f>
        <v>-0.31259327507235823</v>
      </c>
      <c r="AH25" s="319">
        <f>'Initial unit rates'!AH155</f>
        <v>-0.31259327507235823</v>
      </c>
      <c r="AI25" s="319">
        <f>'Initial unit rates'!AI155</f>
        <v>-3.5087150591998142E-2</v>
      </c>
      <c r="AJ25" s="319">
        <f>'Initial unit rates'!AJ155</f>
        <v>-3.5087150591998142E-2</v>
      </c>
      <c r="AK25" s="319">
        <f>'Initial unit rates'!AK155</f>
        <v>-0.30360404359996196</v>
      </c>
      <c r="AL25" s="319">
        <f>'Initial unit rates'!AL155</f>
        <v>-0.30360404359996196</v>
      </c>
      <c r="AM25" s="319">
        <f>'Initial unit rates'!AM155</f>
        <v>-3.4718517682244592E-2</v>
      </c>
      <c r="AN25" s="319">
        <f>'Initial unit rates'!AN155</f>
        <v>-3.4718517682244592E-2</v>
      </c>
      <c r="AO25" s="319">
        <f>'Initial unit rates'!AO155</f>
        <v>-0.30041431630330528</v>
      </c>
      <c r="AP25" s="319">
        <f>'Initial unit rates'!AP155</f>
        <v>-0.30041431630330528</v>
      </c>
      <c r="AQ25" s="304"/>
      <c r="AR25" s="304"/>
    </row>
    <row r="26" spans="3:44" x14ac:dyDescent="0.25">
      <c r="D26"/>
      <c r="F26" t="s">
        <v>231</v>
      </c>
      <c r="G26" t="s">
        <v>328</v>
      </c>
      <c r="H26" s="304"/>
      <c r="I26" s="304"/>
      <c r="J26" s="319">
        <f>'Initial unit rates'!J156</f>
        <v>9.1450414642696806E-2</v>
      </c>
      <c r="K26" s="319">
        <f>'Initial unit rates'!K156</f>
        <v>0.10918906545502731</v>
      </c>
      <c r="L26" s="319">
        <f>'Initial unit rates'!L156</f>
        <v>3.1087203216355122E-2</v>
      </c>
      <c r="M26" s="319">
        <f>'Initial unit rates'!M156</f>
        <v>8.40509649774831E-2</v>
      </c>
      <c r="N26" s="319">
        <f>'Initial unit rates'!N156</f>
        <v>9.4850655227218805E-2</v>
      </c>
      <c r="O26" s="319">
        <f>'Initial unit rates'!O156</f>
        <v>1.5711601525750924E-2</v>
      </c>
      <c r="P26" s="319">
        <f>'Initial unit rates'!P156</f>
        <v>8.9875597572073515E-2</v>
      </c>
      <c r="Q26" s="319">
        <f>'Initial unit rates'!Q156</f>
        <v>6.7525405634905888E-2</v>
      </c>
      <c r="R26" s="319">
        <f>'Initial unit rates'!R156</f>
        <v>8.6060962601853946E-2</v>
      </c>
      <c r="S26" s="319">
        <f>'Initial unit rates'!S156</f>
        <v>0.49344836060101199</v>
      </c>
      <c r="T26" s="319">
        <f>'Initial unit rates'!T156</f>
        <v>0.45879309689923908</v>
      </c>
      <c r="U26" s="319">
        <f>'Initial unit rates'!U156</f>
        <v>0.38367290244344815</v>
      </c>
      <c r="V26" s="319">
        <f>'Initial unit rates'!V156</f>
        <v>0.36509979127801506</v>
      </c>
      <c r="W26" s="319">
        <f>'Initial unit rates'!W156</f>
        <v>0.30341721867242549</v>
      </c>
      <c r="X26" s="319">
        <f>'Initial unit rates'!X156</f>
        <v>5.3890393413257208E-2</v>
      </c>
      <c r="Y26" s="319">
        <f>'Initial unit rates'!Y156</f>
        <v>6.6080054539435024E-2</v>
      </c>
      <c r="Z26" s="319">
        <f>'Initial unit rates'!Z156</f>
        <v>0.11946183533008875</v>
      </c>
      <c r="AA26" s="319">
        <f>'Initial unit rates'!AA156</f>
        <v>4.145983350426187E-2</v>
      </c>
      <c r="AB26" s="319">
        <f>'Initial unit rates'!AB156</f>
        <v>1.1594053481193398</v>
      </c>
      <c r="AC26" s="319">
        <f>'Initial unit rates'!AC156</f>
        <v>-4.4628812782500214E-2</v>
      </c>
      <c r="AD26" s="319">
        <f>'Initial unit rates'!AD156</f>
        <v>-4.3345423917697322E-2</v>
      </c>
      <c r="AE26" s="319">
        <f>'Initial unit rates'!AE156</f>
        <v>-4.4628812782500214E-2</v>
      </c>
      <c r="AF26" s="319">
        <f>'Initial unit rates'!AF156</f>
        <v>-4.4628812782500214E-2</v>
      </c>
      <c r="AG26" s="319">
        <f>'Initial unit rates'!AG156</f>
        <v>-0.32449834272339617</v>
      </c>
      <c r="AH26" s="319">
        <f>'Initial unit rates'!AH156</f>
        <v>-0.32449834272339617</v>
      </c>
      <c r="AI26" s="319">
        <f>'Initial unit rates'!AI156</f>
        <v>-4.3345423917697322E-2</v>
      </c>
      <c r="AJ26" s="319">
        <f>'Initial unit rates'!AJ156</f>
        <v>-4.3345423917697322E-2</v>
      </c>
      <c r="AK26" s="319">
        <f>'Initial unit rates'!AK156</f>
        <v>-0.31516675772856745</v>
      </c>
      <c r="AL26" s="319">
        <f>'Initial unit rates'!AL156</f>
        <v>-0.31516675772856745</v>
      </c>
      <c r="AM26" s="319">
        <f>'Initial unit rates'!AM156</f>
        <v>-4.0084160119963158E-2</v>
      </c>
      <c r="AN26" s="319">
        <f>'Initial unit rates'!AN156</f>
        <v>-4.0084160119963158E-2</v>
      </c>
      <c r="AO26" s="319">
        <f>'Initial unit rates'!AO156</f>
        <v>-0.29145394460252538</v>
      </c>
      <c r="AP26" s="319">
        <f>'Initial unit rates'!AP156</f>
        <v>-0.29145394460252538</v>
      </c>
      <c r="AQ26" s="304"/>
      <c r="AR26" s="304"/>
    </row>
    <row r="27" spans="3:44" x14ac:dyDescent="0.25">
      <c r="D27"/>
      <c r="F27" t="s">
        <v>232</v>
      </c>
      <c r="G27" t="s">
        <v>328</v>
      </c>
      <c r="H27" s="304"/>
      <c r="I27" s="304"/>
      <c r="J27" s="319">
        <f>'Initial unit rates'!J157</f>
        <v>0.14711759742890701</v>
      </c>
      <c r="K27" s="319">
        <f>'Initial unit rates'!K157</f>
        <v>0.17565402013772194</v>
      </c>
      <c r="L27" s="319">
        <f>'Initial unit rates'!L157</f>
        <v>5.0010430962431858E-2</v>
      </c>
      <c r="M27" s="319">
        <f>'Initial unit rates'!M157</f>
        <v>0.1352139963211858</v>
      </c>
      <c r="N27" s="319">
        <f>'Initial unit rates'!N157</f>
        <v>0.15258761336518889</v>
      </c>
      <c r="O27" s="319">
        <f>'Initial unit rates'!O157</f>
        <v>2.5275479365072701E-2</v>
      </c>
      <c r="P27" s="319">
        <f>'Initial unit rates'!P157</f>
        <v>0.14458416655573567</v>
      </c>
      <c r="Q27" s="319">
        <f>'Initial unit rates'!Q157</f>
        <v>0.10862909130847855</v>
      </c>
      <c r="R27" s="319">
        <f>'Initial unit rates'!R157</f>
        <v>9.6048779131171755E-2</v>
      </c>
      <c r="S27" s="319">
        <f>'Initial unit rates'!S157</f>
        <v>0.7938174753005478</v>
      </c>
      <c r="T27" s="319">
        <f>'Initial unit rates'!T157</f>
        <v>0.73806705411339579</v>
      </c>
      <c r="U27" s="319">
        <f>'Initial unit rates'!U157</f>
        <v>0.61722011678777222</v>
      </c>
      <c r="V27" s="319">
        <f>'Initial unit rates'!V157</f>
        <v>0.58734128570631328</v>
      </c>
      <c r="W27" s="319">
        <f>'Initial unit rates'!W157</f>
        <v>0.3386303445812775</v>
      </c>
      <c r="X27" s="319">
        <f>'Initial unit rates'!X157</f>
        <v>8.6694251025904348E-2</v>
      </c>
      <c r="Y27" s="319">
        <f>'Initial unit rates'!Y157</f>
        <v>0.10630393421173165</v>
      </c>
      <c r="Z27" s="319">
        <f>'Initial unit rates'!Z157</f>
        <v>0.19217997279593421</v>
      </c>
      <c r="AA27" s="319">
        <f>'Initial unit rates'!AA157</f>
        <v>6.6697030503148291E-2</v>
      </c>
      <c r="AB27" s="319">
        <f>'Initial unit rates'!AB157</f>
        <v>1.8651520600313034</v>
      </c>
      <c r="AC27" s="319">
        <f>'Initial unit rates'!AC157</f>
        <v>-7.179501304962381E-2</v>
      </c>
      <c r="AD27" s="319">
        <f>'Initial unit rates'!AD157</f>
        <v>-6.9730406922964866E-2</v>
      </c>
      <c r="AE27" s="319">
        <f>'Initial unit rates'!AE157</f>
        <v>-7.179501304962381E-2</v>
      </c>
      <c r="AF27" s="319">
        <f>'Initial unit rates'!AF157</f>
        <v>-7.179501304962381E-2</v>
      </c>
      <c r="AG27" s="319">
        <f>'Initial unit rates'!AG157</f>
        <v>-0.52202515141838712</v>
      </c>
      <c r="AH27" s="319">
        <f>'Initial unit rates'!AH157</f>
        <v>-0.52202515141838712</v>
      </c>
      <c r="AI27" s="319">
        <f>'Initial unit rates'!AI157</f>
        <v>-6.9730406922964866E-2</v>
      </c>
      <c r="AJ27" s="319">
        <f>'Initial unit rates'!AJ157</f>
        <v>-6.9730406922964866E-2</v>
      </c>
      <c r="AK27" s="319">
        <f>'Initial unit rates'!AK157</f>
        <v>-0.50701329641470438</v>
      </c>
      <c r="AL27" s="319">
        <f>'Initial unit rates'!AL157</f>
        <v>-0.50701329641470438</v>
      </c>
      <c r="AM27" s="319">
        <f>'Initial unit rates'!AM157</f>
        <v>-4.473613268576114E-2</v>
      </c>
      <c r="AN27" s="319">
        <f>'Initial unit rates'!AN157</f>
        <v>-4.473613268576114E-2</v>
      </c>
      <c r="AO27" s="319">
        <f>'Initial unit rates'!AO157</f>
        <v>-0.32527867113856435</v>
      </c>
      <c r="AP27" s="319">
        <f>'Initial unit rates'!AP157</f>
        <v>-0.32527867113856435</v>
      </c>
      <c r="AQ27" s="304"/>
      <c r="AR27" s="304"/>
    </row>
    <row r="28" spans="3:44" x14ac:dyDescent="0.25">
      <c r="D28"/>
      <c r="F28" t="s">
        <v>233</v>
      </c>
      <c r="G28" t="s">
        <v>328</v>
      </c>
      <c r="H28" s="304"/>
      <c r="I28" s="304"/>
      <c r="J28" s="319">
        <f>'Initial unit rates'!J158</f>
        <v>1.281638501264494E-2</v>
      </c>
      <c r="K28" s="319">
        <f>'Initial unit rates'!K158</f>
        <v>1.5355061148858356E-2</v>
      </c>
      <c r="L28" s="319">
        <f>'Initial unit rates'!L158</f>
        <v>3.8079646206413023E-3</v>
      </c>
      <c r="M28" s="319">
        <f>'Initial unit rates'!M158</f>
        <v>1.1266046482756002E-2</v>
      </c>
      <c r="N28" s="319">
        <f>'Initial unit rates'!N158</f>
        <v>1.2877159447709199E-2</v>
      </c>
      <c r="O28" s="319">
        <f>'Initial unit rates'!O158</f>
        <v>1.7021763428380779E-3</v>
      </c>
      <c r="P28" s="319">
        <f>'Initial unit rates'!P158</f>
        <v>1.2245320965578746E-2</v>
      </c>
      <c r="Q28" s="319">
        <f>'Initial unit rates'!Q158</f>
        <v>9.1945183275326161E-3</v>
      </c>
      <c r="R28" s="319">
        <f>'Initial unit rates'!R158</f>
        <v>8.092827739741305E-3</v>
      </c>
      <c r="S28" s="319">
        <f>'Initial unit rates'!S158</f>
        <v>7.9542345589216398E-2</v>
      </c>
      <c r="T28" s="319">
        <f>'Initial unit rates'!T158</f>
        <v>7.3965806453371419E-2</v>
      </c>
      <c r="U28" s="319">
        <f>'Initial unit rates'!U158</f>
        <v>6.1851553907737673E-2</v>
      </c>
      <c r="V28" s="319">
        <f>'Initial unit rates'!V158</f>
        <v>5.8857399827094703E-2</v>
      </c>
      <c r="W28" s="319">
        <f>'Initial unit rates'!W158</f>
        <v>3.3934106233718946E-2</v>
      </c>
      <c r="X28" s="319">
        <f>'Initial unit rates'!X158</f>
        <v>7.3102807378045915E-3</v>
      </c>
      <c r="Y28" s="319">
        <f>'Initial unit rates'!Y158</f>
        <v>9.9609272333472092E-3</v>
      </c>
      <c r="Z28" s="319">
        <f>'Initial unit rates'!Z158</f>
        <v>1.8327936427095081E-2</v>
      </c>
      <c r="AA28" s="319">
        <f>'Initial unit rates'!AA158</f>
        <v>4.6713856669383415E-3</v>
      </c>
      <c r="AB28" s="319">
        <f>'Initial unit rates'!AB158</f>
        <v>0.18548521591746947</v>
      </c>
      <c r="AC28" s="319">
        <f>'Initial unit rates'!AC158</f>
        <v>-6.0456433030577584E-3</v>
      </c>
      <c r="AD28" s="319">
        <f>'Initial unit rates'!AD158</f>
        <v>-5.8717889965690835E-3</v>
      </c>
      <c r="AE28" s="319">
        <f>'Initial unit rates'!AE158</f>
        <v>-6.0456433030577584E-3</v>
      </c>
      <c r="AF28" s="319">
        <f>'Initial unit rates'!AF158</f>
        <v>-6.0456433030577584E-3</v>
      </c>
      <c r="AG28" s="319">
        <f>'Initial unit rates'!AG158</f>
        <v>-5.2312077840540275E-2</v>
      </c>
      <c r="AH28" s="319">
        <f>'Initial unit rates'!AH158</f>
        <v>-5.2312077840540275E-2</v>
      </c>
      <c r="AI28" s="319">
        <f>'Initial unit rates'!AI158</f>
        <v>-5.8717889965690835E-3</v>
      </c>
      <c r="AJ28" s="319">
        <f>'Initial unit rates'!AJ158</f>
        <v>-5.8717889965690835E-3</v>
      </c>
      <c r="AK28" s="319">
        <f>'Initial unit rates'!AK158</f>
        <v>-5.0807741650320648E-2</v>
      </c>
      <c r="AL28" s="319">
        <f>'Initial unit rates'!AL158</f>
        <v>-5.0807741650320648E-2</v>
      </c>
      <c r="AM28" s="319">
        <f>'Initial unit rates'!AM158</f>
        <v>-3.7670959233538611E-3</v>
      </c>
      <c r="AN28" s="319">
        <f>'Initial unit rates'!AN158</f>
        <v>-3.7670959233538611E-3</v>
      </c>
      <c r="AO28" s="319">
        <f>'Initial unit rates'!AO158</f>
        <v>-3.259613663869286E-2</v>
      </c>
      <c r="AP28" s="319">
        <f>'Initial unit rates'!AP158</f>
        <v>-3.259613663869286E-2</v>
      </c>
      <c r="AQ28" s="304"/>
      <c r="AR28" s="304"/>
    </row>
    <row r="29" spans="3:44" x14ac:dyDescent="0.25">
      <c r="D29"/>
      <c r="F29" t="s">
        <v>234</v>
      </c>
      <c r="G29" t="s">
        <v>328</v>
      </c>
      <c r="H29" s="304"/>
      <c r="I29" s="304"/>
      <c r="J29" s="319">
        <f>'Initial unit rates'!J159</f>
        <v>0.17653923304256844</v>
      </c>
      <c r="K29" s="319">
        <f>'Initial unit rates'!K159</f>
        <v>0.21078257487818525</v>
      </c>
      <c r="L29" s="319">
        <f>'Initial unit rates'!L159</f>
        <v>6.001187676071492E-2</v>
      </c>
      <c r="M29" s="319">
        <f>'Initial unit rates'!M159</f>
        <v>0.1622550641414465</v>
      </c>
      <c r="N29" s="319">
        <f>'Initial unit rates'!N159</f>
        <v>0.18310318212138943</v>
      </c>
      <c r="O29" s="319">
        <f>'Initial unit rates'!O159</f>
        <v>3.0330251580199079E-2</v>
      </c>
      <c r="P29" s="319">
        <f>'Initial unit rates'!P159</f>
        <v>0.1734991484358839</v>
      </c>
      <c r="Q29" s="319">
        <f>'Initial unit rates'!Q159</f>
        <v>0.1303535185515598</v>
      </c>
      <c r="R29" s="319">
        <f>'Initial unit rates'!R159</f>
        <v>0.12360052943845357</v>
      </c>
      <c r="S29" s="319">
        <f>'Initial unit rates'!S159</f>
        <v>0.9525708053590789</v>
      </c>
      <c r="T29" s="319">
        <f>'Initial unit rates'!T159</f>
        <v>0.88567101383049518</v>
      </c>
      <c r="U29" s="319">
        <f>'Initial unit rates'!U159</f>
        <v>0.74065623651047796</v>
      </c>
      <c r="V29" s="319">
        <f>'Initial unit rates'!V159</f>
        <v>0.70480202181751295</v>
      </c>
      <c r="W29" s="319">
        <f>'Initial unit rates'!W159</f>
        <v>0.4357670160180957</v>
      </c>
      <c r="X29" s="319">
        <f>'Initial unit rates'!X159</f>
        <v>0.10403199109276509</v>
      </c>
      <c r="Y29" s="319">
        <f>'Initial unit rates'!Y159</f>
        <v>0.1275633598095946</v>
      </c>
      <c r="Z29" s="319">
        <f>'Initial unit rates'!Z159</f>
        <v>0.23061350644970188</v>
      </c>
      <c r="AA29" s="319">
        <f>'Initial unit rates'!AA159</f>
        <v>8.003558253411909E-2</v>
      </c>
      <c r="AB29" s="319">
        <f>'Initial unit rates'!AB159</f>
        <v>2.2381585883688064</v>
      </c>
      <c r="AC29" s="319">
        <f>'Initial unit rates'!AC159</f>
        <v>-8.6153096309139102E-2</v>
      </c>
      <c r="AD29" s="319">
        <f>'Initial unit rates'!AD159</f>
        <v>-8.3675595394868851E-2</v>
      </c>
      <c r="AE29" s="319">
        <f>'Initial unit rates'!AE159</f>
        <v>-8.6153096309139102E-2</v>
      </c>
      <c r="AF29" s="319">
        <f>'Initial unit rates'!AF159</f>
        <v>-8.6153096309139102E-2</v>
      </c>
      <c r="AG29" s="319">
        <f>'Initial unit rates'!AG159</f>
        <v>-0.62642349705899081</v>
      </c>
      <c r="AH29" s="319">
        <f>'Initial unit rates'!AH159</f>
        <v>-0.62642349705899081</v>
      </c>
      <c r="AI29" s="319">
        <f>'Initial unit rates'!AI159</f>
        <v>-8.3675595394868851E-2</v>
      </c>
      <c r="AJ29" s="319">
        <f>'Initial unit rates'!AJ159</f>
        <v>-8.3675595394868851E-2</v>
      </c>
      <c r="AK29" s="319">
        <f>'Initial unit rates'!AK159</f>
        <v>-0.60840946328456702</v>
      </c>
      <c r="AL29" s="319">
        <f>'Initial unit rates'!AL159</f>
        <v>-0.60840946328456702</v>
      </c>
      <c r="AM29" s="319">
        <f>'Initial unit rates'!AM159</f>
        <v>0</v>
      </c>
      <c r="AN29" s="319">
        <f>'Initial unit rates'!AN159</f>
        <v>0</v>
      </c>
      <c r="AO29" s="319">
        <f>'Initial unit rates'!AO159</f>
        <v>0</v>
      </c>
      <c r="AP29" s="319">
        <f>'Initial unit rates'!AP159</f>
        <v>0</v>
      </c>
      <c r="AQ29" s="304"/>
      <c r="AR29" s="304"/>
    </row>
    <row r="30" spans="3:44" x14ac:dyDescent="0.25">
      <c r="D30"/>
      <c r="F30" t="s">
        <v>235</v>
      </c>
      <c r="G30" t="s">
        <v>328</v>
      </c>
      <c r="H30" s="304"/>
      <c r="I30" s="304"/>
      <c r="J30" s="319">
        <f>'Initial unit rates'!J160</f>
        <v>4.5159782156916989E-2</v>
      </c>
      <c r="K30" s="319">
        <f>'Initial unit rates'!K160</f>
        <v>5.3919431958094122E-2</v>
      </c>
      <c r="L30" s="319">
        <f>'Initial unit rates'!L160</f>
        <v>1.5351393764626532E-2</v>
      </c>
      <c r="M30" s="319">
        <f>'Initial unit rates'!M160</f>
        <v>4.1505807090016542E-2</v>
      </c>
      <c r="N30" s="319">
        <f>'Initial unit rates'!N160</f>
        <v>4.6838879235678942E-2</v>
      </c>
      <c r="O30" s="319">
        <f>'Initial unit rates'!O160</f>
        <v>7.7586581210308302E-3</v>
      </c>
      <c r="P30" s="319">
        <f>'Initial unit rates'!P160</f>
        <v>4.4382110496004282E-2</v>
      </c>
      <c r="Q30" s="319">
        <f>'Initial unit rates'!Q160</f>
        <v>3.3345202648278338E-2</v>
      </c>
      <c r="R30" s="319">
        <f>'Initial unit rates'!R160</f>
        <v>0</v>
      </c>
      <c r="S30" s="319">
        <f>'Initial unit rates'!S160</f>
        <v>0.24367325787963628</v>
      </c>
      <c r="T30" s="319">
        <f>'Initial unit rates'!T160</f>
        <v>0.22655989469285101</v>
      </c>
      <c r="U30" s="319">
        <f>'Initial unit rates'!U160</f>
        <v>0.18946425515460336</v>
      </c>
      <c r="V30" s="319">
        <f>'Initial unit rates'!V160</f>
        <v>0.18029253452890426</v>
      </c>
      <c r="W30" s="319">
        <f>'Initial unit rates'!W160</f>
        <v>0</v>
      </c>
      <c r="X30" s="319">
        <f>'Initial unit rates'!X160</f>
        <v>2.6611999917133262E-2</v>
      </c>
      <c r="Y30" s="319">
        <f>'Initial unit rates'!Y160</f>
        <v>3.2631463504866606E-2</v>
      </c>
      <c r="Z30" s="319">
        <f>'Initial unit rates'!Z160</f>
        <v>5.8992301791636871E-2</v>
      </c>
      <c r="AA30" s="319">
        <f>'Initial unit rates'!AA160</f>
        <v>2.0473576381581086E-2</v>
      </c>
      <c r="AB30" s="319">
        <f>'Initial unit rates'!AB160</f>
        <v>0.57253423242750956</v>
      </c>
      <c r="AC30" s="319">
        <f>'Initial unit rates'!AC160</f>
        <v>-2.2038472663617317E-2</v>
      </c>
      <c r="AD30" s="319">
        <f>'Initial unit rates'!AD160</f>
        <v>0</v>
      </c>
      <c r="AE30" s="319">
        <f>'Initial unit rates'!AE160</f>
        <v>-2.2038472663617317E-2</v>
      </c>
      <c r="AF30" s="319">
        <f>'Initial unit rates'!AF160</f>
        <v>-2.2038472663617317E-2</v>
      </c>
      <c r="AG30" s="319">
        <f>'Initial unit rates'!AG160</f>
        <v>-0.16024284334767033</v>
      </c>
      <c r="AH30" s="319">
        <f>'Initial unit rates'!AH160</f>
        <v>-0.16024284334767033</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236</v>
      </c>
      <c r="G31" t="s">
        <v>328</v>
      </c>
      <c r="H31" s="304"/>
      <c r="I31" s="304"/>
      <c r="J31" s="319">
        <f>'Initial unit rates'!J161</f>
        <v>1.8952110515797989E-2</v>
      </c>
      <c r="K31" s="319">
        <f>'Initial unit rates'!K161</f>
        <v>2.262825426987429E-2</v>
      </c>
      <c r="L31" s="319">
        <f>'Initial unit rates'!L161</f>
        <v>6.4424870383076351E-3</v>
      </c>
      <c r="M31" s="319">
        <f>'Initial unit rates'!M161</f>
        <v>1.7418654507324726E-2</v>
      </c>
      <c r="N31" s="319">
        <f>'Initial unit rates'!N161</f>
        <v>1.9656773644882101E-2</v>
      </c>
      <c r="O31" s="319">
        <f>'Initial unit rates'!O161</f>
        <v>3.2560596872043971E-3</v>
      </c>
      <c r="P31" s="319">
        <f>'Initial unit rates'!P161</f>
        <v>1.8625746690316948E-2</v>
      </c>
      <c r="Q31" s="319">
        <f>'Initial unit rates'!Q161</f>
        <v>0</v>
      </c>
      <c r="R31" s="319">
        <f>'Initial unit rates'!R161</f>
        <v>0</v>
      </c>
      <c r="S31" s="319">
        <f>'Initial unit rates'!S161</f>
        <v>0.10226184211945021</v>
      </c>
      <c r="T31" s="319">
        <f>'Initial unit rates'!T161</f>
        <v>9.5079913090519622E-2</v>
      </c>
      <c r="U31" s="319">
        <f>'Initial unit rates'!U161</f>
        <v>7.9512064296647797E-2</v>
      </c>
      <c r="V31" s="319">
        <f>'Initial unit rates'!V161</f>
        <v>0</v>
      </c>
      <c r="W31" s="319">
        <f>'Initial unit rates'!W161</f>
        <v>0</v>
      </c>
      <c r="X31" s="319">
        <f>'Initial unit rates'!X161</f>
        <v>1.1168201868721061E-2</v>
      </c>
      <c r="Y31" s="319">
        <f>'Initial unit rates'!Y161</f>
        <v>1.3694377454868584E-2</v>
      </c>
      <c r="Z31" s="319">
        <f>'Initial unit rates'!Z161</f>
        <v>2.4757174851986405E-2</v>
      </c>
      <c r="AA31" s="319">
        <f>'Initial unit rates'!AA161</f>
        <v>8.5921026122116641E-3</v>
      </c>
      <c r="AB31" s="319">
        <f>'Initial unit rates'!AB161</f>
        <v>0.2402742335944098</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437</v>
      </c>
      <c r="G32" s="23" t="s">
        <v>328</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438</v>
      </c>
      <c r="G33" s="37" t="s">
        <v>328</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735</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226</v>
      </c>
      <c r="G36" s="23" t="s">
        <v>328</v>
      </c>
      <c r="H36" s="302"/>
      <c r="I36" s="302"/>
      <c r="J36" s="318">
        <f>'Initial unit rates'!J164</f>
        <v>7.5224465739553589E-2</v>
      </c>
      <c r="K36" s="318">
        <f>'Initial unit rates'!K164</f>
        <v>9.0275130452876995E-2</v>
      </c>
      <c r="L36" s="318">
        <f>'Initial unit rates'!L164</f>
        <v>1.9569916463561134E-2</v>
      </c>
      <c r="M36" s="318">
        <f>'Initial unit rates'!M164</f>
        <v>6.314487394393653E-2</v>
      </c>
      <c r="N36" s="318">
        <f>'Initial unit rates'!N164</f>
        <v>7.3092518381714988E-2</v>
      </c>
      <c r="O36" s="318">
        <f>'Initial unit rates'!O164</f>
        <v>7.6959353951705977E-3</v>
      </c>
      <c r="P36" s="318">
        <f>'Initial unit rates'!P164</f>
        <v>6.9720833315190786E-2</v>
      </c>
      <c r="Q36" s="318">
        <f>'Initial unit rates'!Q164</f>
        <v>5.2322618105660509E-2</v>
      </c>
      <c r="R36" s="318">
        <f>'Initial unit rates'!R164</f>
        <v>7.0680570180624361E-2</v>
      </c>
      <c r="S36" s="318">
        <f>'Initial unit rates'!S164</f>
        <v>0.52179338011400589</v>
      </c>
      <c r="T36" s="318">
        <f>'Initial unit rates'!T164</f>
        <v>0.48527435609656067</v>
      </c>
      <c r="U36" s="318">
        <f>'Initial unit rates'!U164</f>
        <v>0.40575170138526651</v>
      </c>
      <c r="V36" s="318">
        <f>'Initial unit rates'!V164</f>
        <v>0.38610978399313867</v>
      </c>
      <c r="W36" s="318">
        <f>'Initial unit rates'!W164</f>
        <v>0.34333887930170059</v>
      </c>
      <c r="X36" s="318">
        <f>'Initial unit rates'!X164</f>
        <v>4.1723179398164577E-2</v>
      </c>
      <c r="Y36" s="318">
        <f>'Initial unit rates'!Y164</f>
        <v>5.7881229666073113E-2</v>
      </c>
      <c r="Z36" s="318">
        <f>'Initial unit rates'!Z164</f>
        <v>0.10738110083716003</v>
      </c>
      <c r="AA36" s="318">
        <f>'Initial unit rates'!AA164</f>
        <v>2.5666537610813528E-2</v>
      </c>
      <c r="AB36" s="318">
        <f>'Initial unit rates'!AB164</f>
        <v>1.0989740579068357</v>
      </c>
      <c r="AC36" s="318">
        <f>'Initial unit rates'!AC164</f>
        <v>-3.4494121560325754E-2</v>
      </c>
      <c r="AD36" s="318">
        <f>'Initial unit rates'!AD164</f>
        <v>-3.3502175578535305E-2</v>
      </c>
      <c r="AE36" s="318">
        <f>'Initial unit rates'!AE164</f>
        <v>-3.4494121560325754E-2</v>
      </c>
      <c r="AF36" s="318">
        <f>'Initial unit rates'!AF164</f>
        <v>-3.4494121560325754E-2</v>
      </c>
      <c r="AG36" s="318">
        <f>'Initial unit rates'!AG164</f>
        <v>-0.34317188891421468</v>
      </c>
      <c r="AH36" s="318">
        <f>'Initial unit rates'!AH164</f>
        <v>-0.34317188891421468</v>
      </c>
      <c r="AI36" s="318">
        <f>'Initial unit rates'!AI164</f>
        <v>-3.3502175578535305E-2</v>
      </c>
      <c r="AJ36" s="318">
        <f>'Initial unit rates'!AJ164</f>
        <v>-3.3502175578535305E-2</v>
      </c>
      <c r="AK36" s="318">
        <f>'Initial unit rates'!AK164</f>
        <v>-0.33330330954840692</v>
      </c>
      <c r="AL36" s="318">
        <f>'Initial unit rates'!AL164</f>
        <v>-0.33330330954840692</v>
      </c>
      <c r="AM36" s="318">
        <f>'Initial unit rates'!AM164</f>
        <v>-3.3150194746287089E-2</v>
      </c>
      <c r="AN36" s="318">
        <f>'Initial unit rates'!AN164</f>
        <v>-3.3150194746287089E-2</v>
      </c>
      <c r="AO36" s="318">
        <f>'Initial unit rates'!AO164</f>
        <v>-0.32980155557989466</v>
      </c>
      <c r="AP36" s="318">
        <f>'Initial unit rates'!AP164</f>
        <v>-0.32980155557989466</v>
      </c>
      <c r="AQ36" s="304"/>
      <c r="AR36" s="304"/>
    </row>
    <row r="37" spans="4:44" x14ac:dyDescent="0.25">
      <c r="D37"/>
      <c r="F37" t="s">
        <v>228</v>
      </c>
      <c r="G37" t="s">
        <v>328</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229</v>
      </c>
      <c r="G38" t="s">
        <v>328</v>
      </c>
      <c r="H38" s="304"/>
      <c r="I38" s="304"/>
      <c r="J38" s="319">
        <f>'Initial unit rates'!J166</f>
        <v>8.0468586228262348E-2</v>
      </c>
      <c r="K38" s="319">
        <f>'Initial unit rates'!K166</f>
        <v>9.6407845182403487E-2</v>
      </c>
      <c r="L38" s="319">
        <f>'Initial unit rates'!L166</f>
        <v>2.390857711655232E-2</v>
      </c>
      <c r="M38" s="319">
        <f>'Initial unit rates'!M166</f>
        <v>7.0734675335894434E-2</v>
      </c>
      <c r="N38" s="319">
        <f>'Initial unit rates'!N166</f>
        <v>8.0850162847848697E-2</v>
      </c>
      <c r="O38" s="319">
        <f>'Initial unit rates'!O166</f>
        <v>1.0687235416557373E-2</v>
      </c>
      <c r="P38" s="319">
        <f>'Initial unit rates'!P166</f>
        <v>7.6883119931184934E-2</v>
      </c>
      <c r="Q38" s="319">
        <f>'Initial unit rates'!Q166</f>
        <v>5.7728438255906359E-2</v>
      </c>
      <c r="R38" s="319">
        <f>'Initial unit rates'!R166</f>
        <v>7.8367854575944834E-2</v>
      </c>
      <c r="S38" s="319">
        <f>'Initial unit rates'!S166</f>
        <v>0.49941228267792087</v>
      </c>
      <c r="T38" s="319">
        <f>'Initial unit rates'!T166</f>
        <v>0.46439958448999286</v>
      </c>
      <c r="U38" s="319">
        <f>'Initial unit rates'!U166</f>
        <v>0.3883393869695923</v>
      </c>
      <c r="V38" s="319">
        <f>'Initial unit rates'!V166</f>
        <v>0.3695403772971137</v>
      </c>
      <c r="W38" s="319">
        <f>'Initial unit rates'!W166</f>
        <v>0.32860493118240491</v>
      </c>
      <c r="X38" s="319">
        <f>'Initial unit rates'!X166</f>
        <v>4.5898118332310951E-2</v>
      </c>
      <c r="Y38" s="319">
        <f>'Initial unit rates'!Y166</f>
        <v>6.2540391163282555E-2</v>
      </c>
      <c r="Z38" s="319">
        <f>'Initial unit rates'!Z166</f>
        <v>0.11507325437826006</v>
      </c>
      <c r="AA38" s="319">
        <f>'Initial unit rates'!AA166</f>
        <v>2.9329627658237902E-2</v>
      </c>
      <c r="AB38" s="319">
        <f>'Initial unit rates'!AB166</f>
        <v>1.1645821404707084</v>
      </c>
      <c r="AC38" s="319">
        <f>'Initial unit rates'!AC166</f>
        <v>-3.7958002116622071E-2</v>
      </c>
      <c r="AD38" s="319">
        <f>'Initial unit rates'!AD166</f>
        <v>-3.6866445469483589E-2</v>
      </c>
      <c r="AE38" s="319">
        <f>'Initial unit rates'!AE166</f>
        <v>-3.7958002116622071E-2</v>
      </c>
      <c r="AF38" s="319">
        <f>'Initial unit rates'!AF166</f>
        <v>-3.7958002116622071E-2</v>
      </c>
      <c r="AG38" s="319">
        <f>'Initial unit rates'!AG166</f>
        <v>-0.32844510697344992</v>
      </c>
      <c r="AH38" s="319">
        <f>'Initial unit rates'!AH166</f>
        <v>-0.32844510697344992</v>
      </c>
      <c r="AI38" s="319">
        <f>'Initial unit rates'!AI166</f>
        <v>-3.6866445469483589E-2</v>
      </c>
      <c r="AJ38" s="319">
        <f>'Initial unit rates'!AJ166</f>
        <v>-3.6866445469483589E-2</v>
      </c>
      <c r="AK38" s="319">
        <f>'Initial unit rates'!AK166</f>
        <v>-0.3190000250474973</v>
      </c>
      <c r="AL38" s="319">
        <f>'Initial unit rates'!AL166</f>
        <v>-0.3190000250474973</v>
      </c>
      <c r="AM38" s="319">
        <f>'Initial unit rates'!AM166</f>
        <v>-3.6479118917273158E-2</v>
      </c>
      <c r="AN38" s="319">
        <f>'Initial unit rates'!AN166</f>
        <v>-3.6479118917273158E-2</v>
      </c>
      <c r="AO38" s="319">
        <f>'Initial unit rates'!AO166</f>
        <v>-0.31564854436409467</v>
      </c>
      <c r="AP38" s="319">
        <f>'Initial unit rates'!AP166</f>
        <v>-0.31564854436409467</v>
      </c>
      <c r="AQ38" s="304"/>
      <c r="AR38" s="304"/>
    </row>
    <row r="39" spans="4:44" x14ac:dyDescent="0.25">
      <c r="D39"/>
      <c r="F39" t="s">
        <v>230</v>
      </c>
      <c r="G39" t="s">
        <v>328</v>
      </c>
      <c r="H39" s="304"/>
      <c r="I39" s="304"/>
      <c r="J39" s="319">
        <f>'Initial unit rates'!J167</f>
        <v>4.2044085454413738E-2</v>
      </c>
      <c r="K39" s="319">
        <f>'Initial unit rates'!K167</f>
        <v>5.0372199529227286E-2</v>
      </c>
      <c r="L39" s="319">
        <f>'Initial unit rates'!L167</f>
        <v>1.2492008453215662E-2</v>
      </c>
      <c r="M39" s="319">
        <f>'Initial unit rates'!M167</f>
        <v>3.6958207839968629E-2</v>
      </c>
      <c r="N39" s="319">
        <f>'Initial unit rates'!N167</f>
        <v>4.2243455677668143E-2</v>
      </c>
      <c r="O39" s="319">
        <f>'Initial unit rates'!O167</f>
        <v>5.5839807828928752E-3</v>
      </c>
      <c r="P39" s="319">
        <f>'Initial unit rates'!P167</f>
        <v>4.0170712770064308E-2</v>
      </c>
      <c r="Q39" s="319">
        <f>'Initial unit rates'!Q167</f>
        <v>3.0162570326464962E-2</v>
      </c>
      <c r="R39" s="319">
        <f>'Initial unit rates'!R167</f>
        <v>4.0946472767938974E-2</v>
      </c>
      <c r="S39" s="319">
        <f>'Initial unit rates'!S167</f>
        <v>0.26093825769887341</v>
      </c>
      <c r="T39" s="319">
        <f>'Initial unit rates'!T167</f>
        <v>0.24264444959806925</v>
      </c>
      <c r="U39" s="319">
        <f>'Initial unit rates'!U167</f>
        <v>0.20290370610897657</v>
      </c>
      <c r="V39" s="319">
        <f>'Initial unit rates'!V167</f>
        <v>0.19308139896807588</v>
      </c>
      <c r="W39" s="319">
        <f>'Initial unit rates'!W167</f>
        <v>0.17169301034050388</v>
      </c>
      <c r="X39" s="319">
        <f>'Initial unit rates'!X167</f>
        <v>2.3981338554730398E-2</v>
      </c>
      <c r="Y39" s="319">
        <f>'Initial unit rates'!Y167</f>
        <v>3.2676770820387439E-2</v>
      </c>
      <c r="Z39" s="319">
        <f>'Initial unit rates'!Z167</f>
        <v>6.0124701667714789E-2</v>
      </c>
      <c r="AA39" s="319">
        <f>'Initial unit rates'!AA167</f>
        <v>1.5324456777593861E-2</v>
      </c>
      <c r="AB39" s="319">
        <f>'Initial unit rates'!AB167</f>
        <v>0.60848330171653198</v>
      </c>
      <c r="AC39" s="319">
        <f>'Initial unit rates'!AC167</f>
        <v>-1.983270192100824E-2</v>
      </c>
      <c r="AD39" s="319">
        <f>'Initial unit rates'!AD167</f>
        <v>-1.9262373758159205E-2</v>
      </c>
      <c r="AE39" s="319">
        <f>'Initial unit rates'!AE167</f>
        <v>-1.983270192100824E-2</v>
      </c>
      <c r="AF39" s="319">
        <f>'Initial unit rates'!AF167</f>
        <v>-1.983270192100824E-2</v>
      </c>
      <c r="AG39" s="319">
        <f>'Initial unit rates'!AG167</f>
        <v>-0.17160950368263961</v>
      </c>
      <c r="AH39" s="319">
        <f>'Initial unit rates'!AH167</f>
        <v>-0.17160950368263961</v>
      </c>
      <c r="AI39" s="319">
        <f>'Initial unit rates'!AI167</f>
        <v>-1.9262373758159205E-2</v>
      </c>
      <c r="AJ39" s="319">
        <f>'Initial unit rates'!AJ167</f>
        <v>-1.9262373758159205E-2</v>
      </c>
      <c r="AK39" s="319">
        <f>'Initial unit rates'!AK167</f>
        <v>-0.16667453650809241</v>
      </c>
      <c r="AL39" s="319">
        <f>'Initial unit rates'!AL167</f>
        <v>-0.16667453650809241</v>
      </c>
      <c r="AM39" s="319">
        <f>'Initial unit rates'!AM167</f>
        <v>-1.9059999248761162E-2</v>
      </c>
      <c r="AN39" s="319">
        <f>'Initial unit rates'!AN167</f>
        <v>-1.9059999248761162E-2</v>
      </c>
      <c r="AO39" s="319">
        <f>'Initial unit rates'!AO167</f>
        <v>-0.16492341912357567</v>
      </c>
      <c r="AP39" s="319">
        <f>'Initial unit rates'!AP167</f>
        <v>-0.16492341912357567</v>
      </c>
      <c r="AQ39" s="304"/>
      <c r="AR39" s="304"/>
    </row>
    <row r="40" spans="4:44" x14ac:dyDescent="0.25">
      <c r="D40"/>
      <c r="F40" t="s">
        <v>231</v>
      </c>
      <c r="G40" t="s">
        <v>328</v>
      </c>
      <c r="H40" s="304"/>
      <c r="I40" s="304"/>
      <c r="J40" s="319">
        <f>'Initial unit rates'!J168</f>
        <v>5.0205047644649572E-2</v>
      </c>
      <c r="K40" s="319">
        <f>'Initial unit rates'!K168</f>
        <v>5.9943328358459051E-2</v>
      </c>
      <c r="L40" s="319">
        <f>'Initial unit rates'!L168</f>
        <v>1.7066456447616032E-2</v>
      </c>
      <c r="M40" s="319">
        <f>'Initial unit rates'!M168</f>
        <v>4.6142849299921712E-2</v>
      </c>
      <c r="N40" s="319">
        <f>'Initial unit rates'!N168</f>
        <v>5.2071733992832582E-2</v>
      </c>
      <c r="O40" s="319">
        <f>'Initial unit rates'!O168</f>
        <v>8.6254579189824088E-3</v>
      </c>
      <c r="P40" s="319">
        <f>'Initial unit rates'!P168</f>
        <v>4.9340494253927863E-2</v>
      </c>
      <c r="Q40" s="319">
        <f>'Initial unit rates'!Q168</f>
        <v>3.7070539487110712E-2</v>
      </c>
      <c r="R40" s="319">
        <f>'Initial unit rates'!R168</f>
        <v>5.055352507769565E-2</v>
      </c>
      <c r="S40" s="319">
        <f>'Initial unit rates'!S168</f>
        <v>0.27089651316443147</v>
      </c>
      <c r="T40" s="319">
        <f>'Initial unit rates'!T168</f>
        <v>0.2518712395001928</v>
      </c>
      <c r="U40" s="319">
        <f>'Initial unit rates'!U168</f>
        <v>0.21063126309917266</v>
      </c>
      <c r="V40" s="319">
        <f>'Initial unit rates'!V168</f>
        <v>0.20043487487487491</v>
      </c>
      <c r="W40" s="319">
        <f>'Initial unit rates'!W168</f>
        <v>0.17823191269801919</v>
      </c>
      <c r="X40" s="319">
        <f>'Initial unit rates'!X168</f>
        <v>2.9585101166269591E-2</v>
      </c>
      <c r="Y40" s="319">
        <f>'Initial unit rates'!Y168</f>
        <v>3.6277061175449966E-2</v>
      </c>
      <c r="Z40" s="319">
        <f>'Initial unit rates'!Z168</f>
        <v>6.5582940852672786E-2</v>
      </c>
      <c r="AA40" s="319">
        <f>'Initial unit rates'!AA168</f>
        <v>2.2760890965374456E-2</v>
      </c>
      <c r="AB40" s="319">
        <f>'Initial unit rates'!AB168</f>
        <v>0.63649794229163115</v>
      </c>
      <c r="AC40" s="319">
        <f>'Initial unit rates'!AC168</f>
        <v>-2.4500617966837199E-2</v>
      </c>
      <c r="AD40" s="319">
        <f>'Initial unit rates'!AD168</f>
        <v>-2.3796054741445777E-2</v>
      </c>
      <c r="AE40" s="319">
        <f>'Initial unit rates'!AE168</f>
        <v>-2.4500617966837199E-2</v>
      </c>
      <c r="AF40" s="319">
        <f>'Initial unit rates'!AF168</f>
        <v>-2.4500617966837199E-2</v>
      </c>
      <c r="AG40" s="319">
        <f>'Initial unit rates'!AG168</f>
        <v>-0.17814522570170718</v>
      </c>
      <c r="AH40" s="319">
        <f>'Initial unit rates'!AH168</f>
        <v>-0.17814522570170718</v>
      </c>
      <c r="AI40" s="319">
        <f>'Initial unit rates'!AI168</f>
        <v>-2.3796054741445777E-2</v>
      </c>
      <c r="AJ40" s="319">
        <f>'Initial unit rates'!AJ168</f>
        <v>-2.3796054741445777E-2</v>
      </c>
      <c r="AK40" s="319">
        <f>'Initial unit rates'!AK168</f>
        <v>-0.17302231104794749</v>
      </c>
      <c r="AL40" s="319">
        <f>'Initial unit rates'!AL168</f>
        <v>-0.17302231104794749</v>
      </c>
      <c r="AM40" s="319">
        <f>'Initial unit rates'!AM168</f>
        <v>-2.3546048435661729E-2</v>
      </c>
      <c r="AN40" s="319">
        <f>'Initial unit rates'!AN168</f>
        <v>-2.3546048435661729E-2</v>
      </c>
      <c r="AO40" s="319">
        <f>'Initial unit rates'!AO168</f>
        <v>-0.1712045026224199</v>
      </c>
      <c r="AP40" s="319">
        <f>'Initial unit rates'!AP168</f>
        <v>-0.1712045026224199</v>
      </c>
      <c r="AQ40" s="304"/>
      <c r="AR40" s="304"/>
    </row>
    <row r="41" spans="4:44" x14ac:dyDescent="0.25">
      <c r="D41"/>
      <c r="F41" t="s">
        <v>232</v>
      </c>
      <c r="G41" t="s">
        <v>328</v>
      </c>
      <c r="H41" s="304"/>
      <c r="I41" s="304"/>
      <c r="J41" s="319">
        <f>'Initial unit rates'!J169</f>
        <v>8.0765582279123074E-2</v>
      </c>
      <c r="K41" s="319">
        <f>'Initial unit rates'!K169</f>
        <v>9.6431694535710072E-2</v>
      </c>
      <c r="L41" s="319">
        <f>'Initial unit rates'!L169</f>
        <v>2.7455053965672303E-2</v>
      </c>
      <c r="M41" s="319">
        <f>'Initial unit rates'!M169</f>
        <v>7.4230665372611582E-2</v>
      </c>
      <c r="N41" s="319">
        <f>'Initial unit rates'!N169</f>
        <v>8.3768547457258077E-2</v>
      </c>
      <c r="O41" s="319">
        <f>'Initial unit rates'!O169</f>
        <v>1.3875898220065319E-2</v>
      </c>
      <c r="P41" s="319">
        <f>'Initial unit rates'!P169</f>
        <v>7.937476280401258E-2</v>
      </c>
      <c r="Q41" s="319">
        <f>'Initial unit rates'!Q169</f>
        <v>5.9635910083571025E-2</v>
      </c>
      <c r="R41" s="319">
        <f>'Initial unit rates'!R169</f>
        <v>8.132618293805105E-2</v>
      </c>
      <c r="S41" s="319">
        <f>'Initial unit rates'!S169</f>
        <v>0.43579511721549241</v>
      </c>
      <c r="T41" s="319">
        <f>'Initial unit rates'!T169</f>
        <v>0.40518888581844564</v>
      </c>
      <c r="U41" s="319">
        <f>'Initial unit rates'!U169</f>
        <v>0.33884554259963579</v>
      </c>
      <c r="V41" s="319">
        <f>'Initial unit rates'!V169</f>
        <v>0.32244246620165601</v>
      </c>
      <c r="W41" s="319">
        <f>'Initial unit rates'!W169</f>
        <v>0.28672424158751791</v>
      </c>
      <c r="X41" s="319">
        <f>'Initial unit rates'!X169</f>
        <v>4.7593977788708969E-2</v>
      </c>
      <c r="Y41" s="319">
        <f>'Initial unit rates'!Y169</f>
        <v>5.8359430110466869E-2</v>
      </c>
      <c r="Z41" s="319">
        <f>'Initial unit rates'!Z169</f>
        <v>0.10550422027351468</v>
      </c>
      <c r="AA41" s="319">
        <f>'Initial unit rates'!AA169</f>
        <v>3.6615772681295518E-2</v>
      </c>
      <c r="AB41" s="319">
        <f>'Initial unit rates'!AB169</f>
        <v>1.0239433949451855</v>
      </c>
      <c r="AC41" s="319">
        <f>'Initial unit rates'!AC169</f>
        <v>-3.9414496532219415E-2</v>
      </c>
      <c r="AD41" s="319">
        <f>'Initial unit rates'!AD169</f>
        <v>-3.8281055537322563E-2</v>
      </c>
      <c r="AE41" s="319">
        <f>'Initial unit rates'!AE169</f>
        <v>-3.9414496532219415E-2</v>
      </c>
      <c r="AF41" s="319">
        <f>'Initial unit rates'!AF169</f>
        <v>-3.9414496532219415E-2</v>
      </c>
      <c r="AG41" s="319">
        <f>'Initial unit rates'!AG169</f>
        <v>-0.28658478696967304</v>
      </c>
      <c r="AH41" s="319">
        <f>'Initial unit rates'!AH169</f>
        <v>-0.28658478696967304</v>
      </c>
      <c r="AI41" s="319">
        <f>'Initial unit rates'!AI169</f>
        <v>-3.8281055537322563E-2</v>
      </c>
      <c r="AJ41" s="319">
        <f>'Initial unit rates'!AJ169</f>
        <v>-3.8281055537322563E-2</v>
      </c>
      <c r="AK41" s="319">
        <f>'Initial unit rates'!AK169</f>
        <v>-0.27834348047982155</v>
      </c>
      <c r="AL41" s="319">
        <f>'Initial unit rates'!AL169</f>
        <v>-0.27834348047982155</v>
      </c>
      <c r="AM41" s="319">
        <f>'Initial unit rates'!AM169</f>
        <v>-3.7878866797197881E-2</v>
      </c>
      <c r="AN41" s="319">
        <f>'Initial unit rates'!AN169</f>
        <v>-3.7878866797197881E-2</v>
      </c>
      <c r="AO41" s="319">
        <f>'Initial unit rates'!AO169</f>
        <v>-0.27541914591890659</v>
      </c>
      <c r="AP41" s="319">
        <f>'Initial unit rates'!AP169</f>
        <v>-0.27541914591890659</v>
      </c>
      <c r="AQ41" s="304"/>
      <c r="AR41" s="304"/>
    </row>
    <row r="42" spans="4:44" x14ac:dyDescent="0.25">
      <c r="D42"/>
      <c r="F42" t="s">
        <v>233</v>
      </c>
      <c r="G42" t="s">
        <v>328</v>
      </c>
      <c r="H42" s="304"/>
      <c r="I42" s="304"/>
      <c r="J42" s="319">
        <f>'Initial unit rates'!J170</f>
        <v>7.0360229935097131E-3</v>
      </c>
      <c r="K42" s="319">
        <f>'Initial unit rates'!K170</f>
        <v>8.4297220474823225E-3</v>
      </c>
      <c r="L42" s="319">
        <f>'Initial unit rates'!L170</f>
        <v>2.090521360186135E-3</v>
      </c>
      <c r="M42" s="319">
        <f>'Initial unit rates'!M170</f>
        <v>6.1849079924185075E-3</v>
      </c>
      <c r="N42" s="319">
        <f>'Initial unit rates'!N170</f>
        <v>7.0693873409530678E-3</v>
      </c>
      <c r="O42" s="319">
        <f>'Initial unit rates'!O170</f>
        <v>9.3447191820475472E-4</v>
      </c>
      <c r="P42" s="319">
        <f>'Initial unit rates'!P170</f>
        <v>6.7225165123950938E-3</v>
      </c>
      <c r="Q42" s="319">
        <f>'Initial unit rates'!Q170</f>
        <v>5.0476668969400111E-3</v>
      </c>
      <c r="R42" s="319">
        <f>'Initial unit rates'!R170</f>
        <v>6.8523389386293222E-3</v>
      </c>
      <c r="S42" s="319">
        <f>'Initial unit rates'!S170</f>
        <v>4.366767789600947E-2</v>
      </c>
      <c r="T42" s="319">
        <f>'Initial unit rates'!T170</f>
        <v>4.0606232914035201E-2</v>
      </c>
      <c r="U42" s="319">
        <f>'Initial unit rates'!U170</f>
        <v>3.3955671201339563E-2</v>
      </c>
      <c r="V42" s="319">
        <f>'Initial unit rates'!V170</f>
        <v>3.2311920881984313E-2</v>
      </c>
      <c r="W42" s="319">
        <f>'Initial unit rates'!W170</f>
        <v>2.8732601875488491E-2</v>
      </c>
      <c r="X42" s="319">
        <f>'Initial unit rates'!X170</f>
        <v>4.0132458028888018E-3</v>
      </c>
      <c r="Y42" s="319">
        <f>'Initial unit rates'!Y170</f>
        <v>5.468415078148812E-3</v>
      </c>
      <c r="Z42" s="319">
        <f>'Initial unit rates'!Z170</f>
        <v>1.00617905905132E-2</v>
      </c>
      <c r="AA42" s="319">
        <f>'Initial unit rates'!AA170</f>
        <v>2.5645279017212398E-3</v>
      </c>
      <c r="AB42" s="319">
        <f>'Initial unit rates'!AB170</f>
        <v>0.10182888879070102</v>
      </c>
      <c r="AC42" s="319">
        <f>'Initial unit rates'!AC170</f>
        <v>-3.3189768603942636E-3</v>
      </c>
      <c r="AD42" s="319">
        <f>'Initial unit rates'!AD170</f>
        <v>-3.2235331844460043E-3</v>
      </c>
      <c r="AE42" s="319">
        <f>'Initial unit rates'!AE170</f>
        <v>-3.3189768603942636E-3</v>
      </c>
      <c r="AF42" s="319">
        <f>'Initial unit rates'!AF170</f>
        <v>-3.3189768603942636E-3</v>
      </c>
      <c r="AG42" s="319">
        <f>'Initial unit rates'!AG170</f>
        <v>-2.8718627144952807E-2</v>
      </c>
      <c r="AH42" s="319">
        <f>'Initial unit rates'!AH170</f>
        <v>-2.8718627144952807E-2</v>
      </c>
      <c r="AI42" s="319">
        <f>'Initial unit rates'!AI170</f>
        <v>-3.2235331844460043E-3</v>
      </c>
      <c r="AJ42" s="319">
        <f>'Initial unit rates'!AJ170</f>
        <v>-3.2235331844460043E-3</v>
      </c>
      <c r="AK42" s="319">
        <f>'Initial unit rates'!AK170</f>
        <v>-2.7892766809615565E-2</v>
      </c>
      <c r="AL42" s="319">
        <f>'Initial unit rates'!AL170</f>
        <v>-2.7892766809615565E-2</v>
      </c>
      <c r="AM42" s="319">
        <f>'Initial unit rates'!AM170</f>
        <v>-3.1896660736256558E-3</v>
      </c>
      <c r="AN42" s="319">
        <f>'Initial unit rates'!AN170</f>
        <v>-3.1896660736256558E-3</v>
      </c>
      <c r="AO42" s="319">
        <f>'Initial unit rates'!AO170</f>
        <v>-2.7599719593850748E-2</v>
      </c>
      <c r="AP42" s="319">
        <f>'Initial unit rates'!AP170</f>
        <v>-2.7599719593850748E-2</v>
      </c>
      <c r="AQ42" s="304"/>
      <c r="AR42" s="304"/>
    </row>
    <row r="43" spans="4:44" x14ac:dyDescent="0.25">
      <c r="D43"/>
      <c r="F43" t="s">
        <v>234</v>
      </c>
      <c r="G43" t="s">
        <v>328</v>
      </c>
      <c r="H43" s="304"/>
      <c r="I43" s="304"/>
      <c r="J43" s="319">
        <f>'Initial unit rates'!J171</f>
        <v>0.18607007370362552</v>
      </c>
      <c r="K43" s="319">
        <f>'Initial unit rates'!K171</f>
        <v>0.22216211414924864</v>
      </c>
      <c r="L43" s="319">
        <f>'Initial unit rates'!L171</f>
        <v>6.3251743759794116E-2</v>
      </c>
      <c r="M43" s="319">
        <f>'Initial unit rates'!M171</f>
        <v>0.17101474399350999</v>
      </c>
      <c r="N43" s="319">
        <f>'Initial unit rates'!N171</f>
        <v>0.19298839133667298</v>
      </c>
      <c r="O43" s="319">
        <f>'Initial unit rates'!O171</f>
        <v>3.1967693807847988E-2</v>
      </c>
      <c r="P43" s="319">
        <f>'Initial unit rates'!P171</f>
        <v>0.1828658637550378</v>
      </c>
      <c r="Q43" s="319">
        <f>'Initial unit rates'!Q171</f>
        <v>0.13739092657419183</v>
      </c>
      <c r="R43" s="319">
        <f>'Initial unit rates'!R171</f>
        <v>0.18736160164141136</v>
      </c>
      <c r="S43" s="319">
        <f>'Initial unit rates'!S171</f>
        <v>1.00399733762493</v>
      </c>
      <c r="T43" s="319">
        <f>'Initial unit rates'!T171</f>
        <v>0.93348582057603013</v>
      </c>
      <c r="U43" s="319">
        <f>'Initial unit rates'!U171</f>
        <v>0.78064211643722181</v>
      </c>
      <c r="V43" s="319">
        <f>'Initial unit rates'!V171</f>
        <v>0.74285223678538848</v>
      </c>
      <c r="W43" s="319">
        <f>'Initial unit rates'!W171</f>
        <v>0.66056356258817095</v>
      </c>
      <c r="X43" s="319">
        <f>'Initial unit rates'!X171</f>
        <v>0.10964837626488474</v>
      </c>
      <c r="Y43" s="319">
        <f>'Initial unit rates'!Y171</f>
        <v>0.13445013526217167</v>
      </c>
      <c r="Z43" s="319">
        <f>'Initial unit rates'!Z171</f>
        <v>0.2430636601429027</v>
      </c>
      <c r="AA43" s="319">
        <f>'Initial unit rates'!AA171</f>
        <v>8.4356471274831119E-2</v>
      </c>
      <c r="AB43" s="319">
        <f>'Initial unit rates'!AB171</f>
        <v>2.3589902727048089</v>
      </c>
      <c r="AC43" s="319">
        <f>'Initial unit rates'!AC171</f>
        <v>-9.0804251858121909E-2</v>
      </c>
      <c r="AD43" s="319">
        <f>'Initial unit rates'!AD171</f>
        <v>-8.8192997862201888E-2</v>
      </c>
      <c r="AE43" s="319">
        <f>'Initial unit rates'!AE171</f>
        <v>-9.0804251858121909E-2</v>
      </c>
      <c r="AF43" s="319">
        <f>'Initial unit rates'!AF171</f>
        <v>-9.0804251858121909E-2</v>
      </c>
      <c r="AG43" s="319">
        <f>'Initial unit rates'!AG171</f>
        <v>-0.66024228302466792</v>
      </c>
      <c r="AH43" s="319">
        <f>'Initial unit rates'!AH171</f>
        <v>-0.66024228302466792</v>
      </c>
      <c r="AI43" s="319">
        <f>'Initial unit rates'!AI171</f>
        <v>-8.8192997862201888E-2</v>
      </c>
      <c r="AJ43" s="319">
        <f>'Initial unit rates'!AJ171</f>
        <v>-8.8192997862201888E-2</v>
      </c>
      <c r="AK43" s="319">
        <f>'Initial unit rates'!AK171</f>
        <v>-0.64125572386533136</v>
      </c>
      <c r="AL43" s="319">
        <f>'Initial unit rates'!AL171</f>
        <v>-0.64125572386533136</v>
      </c>
      <c r="AM43" s="319">
        <f>'Initial unit rates'!AM171</f>
        <v>0</v>
      </c>
      <c r="AN43" s="319">
        <f>'Initial unit rates'!AN171</f>
        <v>0</v>
      </c>
      <c r="AO43" s="319">
        <f>'Initial unit rates'!AO171</f>
        <v>0</v>
      </c>
      <c r="AP43" s="319">
        <f>'Initial unit rates'!AP171</f>
        <v>0</v>
      </c>
      <c r="AQ43" s="304"/>
      <c r="AR43" s="304"/>
    </row>
    <row r="44" spans="4:44" x14ac:dyDescent="0.25">
      <c r="D44"/>
      <c r="F44" t="s">
        <v>235</v>
      </c>
      <c r="G44" t="s">
        <v>328</v>
      </c>
      <c r="H44" s="304"/>
      <c r="I44" s="304"/>
      <c r="J44" s="319">
        <f>'Initial unit rates'!J172</f>
        <v>8.5173974718174977E-2</v>
      </c>
      <c r="K44" s="319">
        <f>'Initial unit rates'!K172</f>
        <v>0.10169518352545105</v>
      </c>
      <c r="L44" s="319">
        <f>'Initial unit rates'!L172</f>
        <v>2.8953621163488652E-2</v>
      </c>
      <c r="M44" s="319">
        <f>'Initial unit rates'!M172</f>
        <v>7.8282365301468509E-2</v>
      </c>
      <c r="N44" s="319">
        <f>'Initial unit rates'!N172</f>
        <v>8.8340849430698948E-2</v>
      </c>
      <c r="O44" s="319">
        <f>'Initial unit rates'!O172</f>
        <v>1.463328030129624E-2</v>
      </c>
      <c r="P44" s="319">
        <f>'Initial unit rates'!P172</f>
        <v>8.3707240752199111E-2</v>
      </c>
      <c r="Q44" s="319">
        <f>'Initial unit rates'!Q172</f>
        <v>6.2890990870332703E-2</v>
      </c>
      <c r="R44" s="319">
        <f>'Initial unit rates'!R172</f>
        <v>0</v>
      </c>
      <c r="S44" s="319">
        <f>'Initial unit rates'!S172</f>
        <v>0.45958193141896159</v>
      </c>
      <c r="T44" s="319">
        <f>'Initial unit rates'!T172</f>
        <v>0.42730513348514032</v>
      </c>
      <c r="U44" s="319">
        <f>'Initial unit rates'!U172</f>
        <v>0.35734060059154465</v>
      </c>
      <c r="V44" s="319">
        <f>'Initial unit rates'!V172</f>
        <v>0.34004220225160026</v>
      </c>
      <c r="W44" s="319">
        <f>'Initial unit rates'!W172</f>
        <v>0</v>
      </c>
      <c r="X44" s="319">
        <f>'Initial unit rates'!X172</f>
        <v>5.019177905389445E-2</v>
      </c>
      <c r="Y44" s="319">
        <f>'Initial unit rates'!Y172</f>
        <v>6.1544837349372647E-2</v>
      </c>
      <c r="Z44" s="319">
        <f>'Initial unit rates'!Z172</f>
        <v>0.11126291096597378</v>
      </c>
      <c r="AA44" s="319">
        <f>'Initial unit rates'!AA172</f>
        <v>3.8614355380549956E-2</v>
      </c>
      <c r="AB44" s="319">
        <f>'Initial unit rates'!AB172</f>
        <v>1.0798328492512717</v>
      </c>
      <c r="AC44" s="319">
        <f>'Initial unit rates'!AC172</f>
        <v>-4.1565840750864225E-2</v>
      </c>
      <c r="AD44" s="319">
        <f>'Initial unit rates'!AD172</f>
        <v>0</v>
      </c>
      <c r="AE44" s="319">
        <f>'Initial unit rates'!AE172</f>
        <v>-4.1565840750864225E-2</v>
      </c>
      <c r="AF44" s="319">
        <f>'Initial unit rates'!AF172</f>
        <v>-4.1565840750864225E-2</v>
      </c>
      <c r="AG44" s="319">
        <f>'Initial unit rates'!AG172</f>
        <v>-0.30222731900340755</v>
      </c>
      <c r="AH44" s="319">
        <f>'Initial unit rates'!AH172</f>
        <v>-0.30222731900340755</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236</v>
      </c>
      <c r="G45" t="s">
        <v>328</v>
      </c>
      <c r="H45" s="304"/>
      <c r="I45" s="304"/>
      <c r="J45" s="319">
        <f>'Initial unit rates'!J173</f>
        <v>0.16976932782358123</v>
      </c>
      <c r="K45" s="319">
        <f>'Initial unit rates'!K173</f>
        <v>0.2026995101160578</v>
      </c>
      <c r="L45" s="319">
        <f>'Initial unit rates'!L173</f>
        <v>5.7710548547820643E-2</v>
      </c>
      <c r="M45" s="319">
        <f>'Initial unit rates'!M173</f>
        <v>0.15603292650888176</v>
      </c>
      <c r="N45" s="319">
        <f>'Initial unit rates'!N173</f>
        <v>0.17608156337470632</v>
      </c>
      <c r="O45" s="319">
        <f>'Initial unit rates'!O173</f>
        <v>2.9167150750274928E-2</v>
      </c>
      <c r="P45" s="319">
        <f>'Initial unit rates'!P173</f>
        <v>0.16684582401477516</v>
      </c>
      <c r="Q45" s="319">
        <f>'Initial unit rates'!Q173</f>
        <v>0</v>
      </c>
      <c r="R45" s="319">
        <f>'Initial unit rates'!R173</f>
        <v>0</v>
      </c>
      <c r="S45" s="319">
        <f>'Initial unit rates'!S173</f>
        <v>0.91604173499033958</v>
      </c>
      <c r="T45" s="319">
        <f>'Initial unit rates'!T173</f>
        <v>0.8517074085995211</v>
      </c>
      <c r="U45" s="319">
        <f>'Initial unit rates'!U173</f>
        <v>0.71225364047213069</v>
      </c>
      <c r="V45" s="319">
        <f>'Initial unit rates'!V173</f>
        <v>0</v>
      </c>
      <c r="W45" s="319">
        <f>'Initial unit rates'!W173</f>
        <v>0</v>
      </c>
      <c r="X45" s="319">
        <f>'Initial unit rates'!X173</f>
        <v>0.10004258484406614</v>
      </c>
      <c r="Y45" s="319">
        <f>'Initial unit rates'!Y173</f>
        <v>0.12267157547110548</v>
      </c>
      <c r="Z45" s="319">
        <f>'Initial unit rates'!Z173</f>
        <v>0.22176996751517891</v>
      </c>
      <c r="AA45" s="319">
        <f>'Initial unit rates'!AA173</f>
        <v>7.6966387666982869E-2</v>
      </c>
      <c r="AB45" s="319">
        <f>'Initial unit rates'!AB173</f>
        <v>2.1523299527325257</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437</v>
      </c>
      <c r="G46" s="23" t="s">
        <v>328</v>
      </c>
      <c r="H46" s="302"/>
      <c r="I46" s="302" t="s">
        <v>191</v>
      </c>
      <c r="J46" s="320"/>
      <c r="K46" s="320"/>
      <c r="L46" s="320"/>
      <c r="M46" s="320"/>
      <c r="N46" s="320"/>
      <c r="O46" s="320"/>
      <c r="P46" s="320"/>
      <c r="Q46" s="320"/>
      <c r="R46" s="320"/>
      <c r="S46" s="320"/>
      <c r="T46" s="320"/>
      <c r="U46" s="320"/>
      <c r="V46" s="320"/>
      <c r="W46" s="320"/>
      <c r="X46" s="318">
        <f>'Service model charges'!$X$44</f>
        <v>0.70225428447889948</v>
      </c>
      <c r="Y46" s="318">
        <f>'Service model charges'!$Y$44</f>
        <v>0.70225428447889948</v>
      </c>
      <c r="Z46" s="318">
        <f>'Service model charges'!$Z$44</f>
        <v>0.70225428447889948</v>
      </c>
      <c r="AA46" s="318">
        <f>'Service model charges'!$AA$44</f>
        <v>0.70225428447889948</v>
      </c>
      <c r="AB46" s="318">
        <f>'Service model charges'!$AB$44</f>
        <v>0.70225428447889948</v>
      </c>
      <c r="AC46" s="320"/>
      <c r="AD46" s="320"/>
      <c r="AE46" s="320"/>
      <c r="AF46" s="320"/>
      <c r="AG46" s="320"/>
      <c r="AH46" s="320"/>
      <c r="AI46" s="320"/>
      <c r="AJ46" s="320"/>
      <c r="AK46" s="320"/>
      <c r="AL46" s="320"/>
      <c r="AM46" s="320"/>
      <c r="AN46" s="320"/>
      <c r="AO46" s="320"/>
      <c r="AP46" s="320"/>
      <c r="AQ46" s="304"/>
      <c r="AR46" s="304" t="s">
        <v>780</v>
      </c>
    </row>
    <row r="47" spans="4:44" x14ac:dyDescent="0.25">
      <c r="D47"/>
      <c r="F47" s="37" t="s">
        <v>438</v>
      </c>
      <c r="G47" s="37" t="s">
        <v>328</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734</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226</v>
      </c>
      <c r="G52" s="23" t="s">
        <v>328</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228</v>
      </c>
      <c r="G53" t="s">
        <v>328</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229</v>
      </c>
      <c r="G54" t="s">
        <v>328</v>
      </c>
      <c r="H54" s="304"/>
      <c r="I54" s="304"/>
      <c r="J54" s="319">
        <f>'Initial unit rates'!J183</f>
        <v>0</v>
      </c>
      <c r="K54" s="319">
        <f>'Initial unit rates'!K183</f>
        <v>2.6910400796617117E-3</v>
      </c>
      <c r="L54" s="319">
        <f>'Initial unit rates'!L183</f>
        <v>0</v>
      </c>
      <c r="M54" s="319">
        <f>'Initial unit rates'!M183</f>
        <v>0</v>
      </c>
      <c r="N54" s="319">
        <f>'Initial unit rates'!N183</f>
        <v>2.4538591622587872E-3</v>
      </c>
      <c r="O54" s="319">
        <f>'Initial unit rates'!O183</f>
        <v>0</v>
      </c>
      <c r="P54" s="319">
        <f>'Initial unit rates'!P183</f>
        <v>2.2280180987646063E-3</v>
      </c>
      <c r="Q54" s="319">
        <f>'Initial unit rates'!Q183</f>
        <v>1.6860020977404226E-3</v>
      </c>
      <c r="R54" s="319">
        <f>'Initial unit rates'!R183</f>
        <v>2.2804209813975704E-3</v>
      </c>
      <c r="S54" s="319">
        <f>'Initial unit rates'!S183</f>
        <v>7.122354059288899E-2</v>
      </c>
      <c r="T54" s="319">
        <f>'Initial unit rates'!T183</f>
        <v>6.6230214603222232E-2</v>
      </c>
      <c r="U54" s="319">
        <f>'Initial unit rates'!U183</f>
        <v>5.5382911175783117E-2</v>
      </c>
      <c r="V54" s="319">
        <f>'Initial unit rates'!V183</f>
        <v>5.27018957603545E-2</v>
      </c>
      <c r="W54" s="319">
        <f>'Initial unit rates'!W183</f>
        <v>4.6863898760350256E-2</v>
      </c>
      <c r="X54" s="319">
        <f>'Initial unit rates'!X183</f>
        <v>0</v>
      </c>
      <c r="Y54" s="319">
        <f>'Initial unit rates'!Y183</f>
        <v>0</v>
      </c>
      <c r="Z54" s="319">
        <f>'Initial unit rates'!Z183</f>
        <v>0</v>
      </c>
      <c r="AA54" s="319">
        <f>'Initial unit rates'!AA183</f>
        <v>0</v>
      </c>
      <c r="AB54" s="319">
        <f>'Initial unit rates'!AB183</f>
        <v>5.3618379455198394E-2</v>
      </c>
      <c r="AC54" s="319">
        <f>'Initial unit rates'!AC183</f>
        <v>0</v>
      </c>
      <c r="AD54" s="319">
        <f>'Initial unit rates'!AD183</f>
        <v>0</v>
      </c>
      <c r="AE54" s="319">
        <f>'Initial unit rates'!AE183</f>
        <v>0</v>
      </c>
      <c r="AF54" s="319">
        <f>'Initial unit rates'!AF183</f>
        <v>0</v>
      </c>
      <c r="AG54" s="319">
        <f>'Initial unit rates'!AG183</f>
        <v>-4.6841105476266028E-2</v>
      </c>
      <c r="AH54" s="319">
        <f>'Initial unit rates'!AH183</f>
        <v>-4.6841105476266028E-2</v>
      </c>
      <c r="AI54" s="319">
        <f>'Initial unit rates'!AI183</f>
        <v>0</v>
      </c>
      <c r="AJ54" s="319">
        <f>'Initial unit rates'!AJ183</f>
        <v>0</v>
      </c>
      <c r="AK54" s="319">
        <f>'Initial unit rates'!AK183</f>
        <v>-4.5494097804870619E-2</v>
      </c>
      <c r="AL54" s="319">
        <f>'Initial unit rates'!AL183</f>
        <v>-4.5494097804870619E-2</v>
      </c>
      <c r="AM54" s="319">
        <f>'Initial unit rates'!AM183</f>
        <v>0</v>
      </c>
      <c r="AN54" s="319">
        <f>'Initial unit rates'!AN183</f>
        <v>0</v>
      </c>
      <c r="AO54" s="319">
        <f>'Initial unit rates'!AO183</f>
        <v>-4.5016127340827078E-2</v>
      </c>
      <c r="AP54" s="319">
        <f>'Initial unit rates'!AP183</f>
        <v>-4.5016127340827078E-2</v>
      </c>
      <c r="AQ54" s="304"/>
      <c r="AR54" s="304"/>
    </row>
    <row r="55" spans="3:44" x14ac:dyDescent="0.25">
      <c r="D55"/>
      <c r="F55" t="s">
        <v>230</v>
      </c>
      <c r="G55" t="s">
        <v>328</v>
      </c>
      <c r="H55" s="304"/>
      <c r="I55" s="304"/>
      <c r="J55" s="319">
        <f>'Initial unit rates'!J184</f>
        <v>0</v>
      </c>
      <c r="K55" s="319">
        <f>'Initial unit rates'!K184</f>
        <v>1.4060433316126942E-3</v>
      </c>
      <c r="L55" s="319">
        <f>'Initial unit rates'!L184</f>
        <v>0</v>
      </c>
      <c r="M55" s="319">
        <f>'Initial unit rates'!M184</f>
        <v>0</v>
      </c>
      <c r="N55" s="319">
        <f>'Initial unit rates'!N184</f>
        <v>1.2821185153973653E-3</v>
      </c>
      <c r="O55" s="319">
        <f>'Initial unit rates'!O184</f>
        <v>0</v>
      </c>
      <c r="P55" s="319">
        <f>'Initial unit rates'!P184</f>
        <v>1.1641186670375331E-3</v>
      </c>
      <c r="Q55" s="319">
        <f>'Initial unit rates'!Q184</f>
        <v>8.8092036403669628E-4</v>
      </c>
      <c r="R55" s="319">
        <f>'Initial unit rates'!R184</f>
        <v>1.1914986842436032E-3</v>
      </c>
      <c r="S55" s="319">
        <f>'Initial unit rates'!S184</f>
        <v>3.7213635375161924E-2</v>
      </c>
      <c r="T55" s="319">
        <f>'Initial unit rates'!T184</f>
        <v>3.4604669138129172E-2</v>
      </c>
      <c r="U55" s="319">
        <f>'Initial unit rates'!U184</f>
        <v>2.8937054313140177E-2</v>
      </c>
      <c r="V55" s="319">
        <f>'Initial unit rates'!V184</f>
        <v>2.7536248775049448E-2</v>
      </c>
      <c r="W55" s="319">
        <f>'Initial unit rates'!W184</f>
        <v>2.4485949816714068E-2</v>
      </c>
      <c r="X55" s="319">
        <f>'Initial unit rates'!X184</f>
        <v>0</v>
      </c>
      <c r="Y55" s="319">
        <f>'Initial unit rates'!Y184</f>
        <v>0</v>
      </c>
      <c r="Z55" s="319">
        <f>'Initial unit rates'!Z184</f>
        <v>0</v>
      </c>
      <c r="AA55" s="319">
        <f>'Initial unit rates'!AA184</f>
        <v>0</v>
      </c>
      <c r="AB55" s="319">
        <f>'Initial unit rates'!AB184</f>
        <v>2.8015102953924783E-2</v>
      </c>
      <c r="AC55" s="319">
        <f>'Initial unit rates'!AC184</f>
        <v>0</v>
      </c>
      <c r="AD55" s="319">
        <f>'Initial unit rates'!AD184</f>
        <v>0</v>
      </c>
      <c r="AE55" s="319">
        <f>'Initial unit rates'!AE184</f>
        <v>0</v>
      </c>
      <c r="AF55" s="319">
        <f>'Initial unit rates'!AF184</f>
        <v>0</v>
      </c>
      <c r="AG55" s="319">
        <f>'Initial unit rates'!AG184</f>
        <v>-2.4474040538463471E-2</v>
      </c>
      <c r="AH55" s="319">
        <f>'Initial unit rates'!AH184</f>
        <v>-2.4474040538463471E-2</v>
      </c>
      <c r="AI55" s="319">
        <f>'Initial unit rates'!AI184</f>
        <v>0</v>
      </c>
      <c r="AJ55" s="319">
        <f>'Initial unit rates'!AJ184</f>
        <v>0</v>
      </c>
      <c r="AK55" s="319">
        <f>'Initial unit rates'!AK184</f>
        <v>-2.3770241599045686E-2</v>
      </c>
      <c r="AL55" s="319">
        <f>'Initial unit rates'!AL184</f>
        <v>-2.3770241599045686E-2</v>
      </c>
      <c r="AM55" s="319">
        <f>'Initial unit rates'!AM184</f>
        <v>0</v>
      </c>
      <c r="AN55" s="319">
        <f>'Initial unit rates'!AN184</f>
        <v>0</v>
      </c>
      <c r="AO55" s="319">
        <f>'Initial unit rates'!AO184</f>
        <v>-2.352050649151035E-2</v>
      </c>
      <c r="AP55" s="319">
        <f>'Initial unit rates'!AP184</f>
        <v>-2.352050649151035E-2</v>
      </c>
      <c r="AQ55" s="304"/>
      <c r="AR55" s="304"/>
    </row>
    <row r="56" spans="3:44" x14ac:dyDescent="0.25">
      <c r="D56"/>
      <c r="F56" t="s">
        <v>231</v>
      </c>
      <c r="G56" t="s">
        <v>328</v>
      </c>
      <c r="H56" s="304"/>
      <c r="I56" s="304"/>
      <c r="J56" s="319">
        <f>'Initial unit rates'!J185</f>
        <v>0</v>
      </c>
      <c r="K56" s="319">
        <f>'Initial unit rates'!K185</f>
        <v>4.8852622459550953E-3</v>
      </c>
      <c r="L56" s="319">
        <f>'Initial unit rates'!L185</f>
        <v>0</v>
      </c>
      <c r="M56" s="319">
        <f>'Initial unit rates'!M185</f>
        <v>0</v>
      </c>
      <c r="N56" s="319">
        <f>'Initial unit rates'!N185</f>
        <v>4.4547227496481538E-3</v>
      </c>
      <c r="O56" s="319">
        <f>'Initial unit rates'!O185</f>
        <v>0</v>
      </c>
      <c r="P56" s="319">
        <f>'Initial unit rates'!P185</f>
        <v>4.0446848460235895E-3</v>
      </c>
      <c r="Q56" s="319">
        <f>'Initial unit rates'!Q185</f>
        <v>3.0607234020566831E-3</v>
      </c>
      <c r="R56" s="319">
        <f>'Initial unit rates'!R185</f>
        <v>3.8689887017511557E-3</v>
      </c>
      <c r="S56" s="319">
        <f>'Initial unit rates'!S185</f>
        <v>6.701364426334995E-2</v>
      </c>
      <c r="T56" s="319">
        <f>'Initial unit rates'!T185</f>
        <v>6.2307223695380914E-2</v>
      </c>
      <c r="U56" s="319">
        <f>'Initial unit rates'!U185</f>
        <v>5.2105390251000597E-2</v>
      </c>
      <c r="V56" s="319">
        <f>'Initial unit rates'!V185</f>
        <v>4.9583035403194399E-2</v>
      </c>
      <c r="W56" s="319">
        <f>'Initial unit rates'!W185</f>
        <v>4.1206122421247091E-2</v>
      </c>
      <c r="X56" s="319">
        <f>'Initial unit rates'!X185</f>
        <v>0</v>
      </c>
      <c r="Y56" s="319">
        <f>'Initial unit rates'!Y185</f>
        <v>0</v>
      </c>
      <c r="Z56" s="319">
        <f>'Initial unit rates'!Z185</f>
        <v>0</v>
      </c>
      <c r="AA56" s="319">
        <f>'Initial unit rates'!AA185</f>
        <v>0</v>
      </c>
      <c r="AB56" s="319">
        <f>'Initial unit rates'!AB185</f>
        <v>4.7172122529675266E-2</v>
      </c>
      <c r="AC56" s="319">
        <f>'Initial unit rates'!AC185</f>
        <v>0</v>
      </c>
      <c r="AD56" s="319">
        <f>'Initial unit rates'!AD185</f>
        <v>0</v>
      </c>
      <c r="AE56" s="319">
        <f>'Initial unit rates'!AE185</f>
        <v>0</v>
      </c>
      <c r="AF56" s="319">
        <f>'Initial unit rates'!AF185</f>
        <v>0</v>
      </c>
      <c r="AG56" s="319">
        <f>'Initial unit rates'!AG185</f>
        <v>-4.40690824807407E-2</v>
      </c>
      <c r="AH56" s="319">
        <f>'Initial unit rates'!AH185</f>
        <v>-4.40690824807407E-2</v>
      </c>
      <c r="AI56" s="319">
        <f>'Initial unit rates'!AI185</f>
        <v>0</v>
      </c>
      <c r="AJ56" s="319">
        <f>'Initial unit rates'!AJ185</f>
        <v>0</v>
      </c>
      <c r="AK56" s="319">
        <f>'Initial unit rates'!AK185</f>
        <v>-4.280178975634092E-2</v>
      </c>
      <c r="AL56" s="319">
        <f>'Initial unit rates'!AL185</f>
        <v>-4.280178975634092E-2</v>
      </c>
      <c r="AM56" s="319">
        <f>'Initial unit rates'!AM185</f>
        <v>0</v>
      </c>
      <c r="AN56" s="319">
        <f>'Initial unit rates'!AN185</f>
        <v>0</v>
      </c>
      <c r="AO56" s="319">
        <f>'Initial unit rates'!AO185</f>
        <v>-3.9581428417260971E-2</v>
      </c>
      <c r="AP56" s="319">
        <f>'Initial unit rates'!AP185</f>
        <v>-3.9581428417260971E-2</v>
      </c>
      <c r="AQ56" s="304"/>
      <c r="AR56" s="304"/>
    </row>
    <row r="57" spans="3:44" x14ac:dyDescent="0.25">
      <c r="D57"/>
      <c r="F57" t="s">
        <v>232</v>
      </c>
      <c r="G57" t="s">
        <v>328</v>
      </c>
      <c r="H57" s="304"/>
      <c r="I57" s="304"/>
      <c r="J57" s="319">
        <f>'Initial unit rates'!J186</f>
        <v>0</v>
      </c>
      <c r="K57" s="319">
        <f>'Initial unit rates'!K186</f>
        <v>7.8589916431008287E-3</v>
      </c>
      <c r="L57" s="319">
        <f>'Initial unit rates'!L186</f>
        <v>0</v>
      </c>
      <c r="M57" s="319">
        <f>'Initial unit rates'!M186</f>
        <v>0</v>
      </c>
      <c r="N57" s="319">
        <f>'Initial unit rates'!N186</f>
        <v>7.1663765626509193E-3</v>
      </c>
      <c r="O57" s="319">
        <f>'Initial unit rates'!O186</f>
        <v>0</v>
      </c>
      <c r="P57" s="319">
        <f>'Initial unit rates'!P186</f>
        <v>6.5067426892374313E-3</v>
      </c>
      <c r="Q57" s="319">
        <f>'Initial unit rates'!Q186</f>
        <v>4.9238297613445493E-3</v>
      </c>
      <c r="R57" s="319">
        <f>'Initial unit rates'!R186</f>
        <v>4.31800470318572E-3</v>
      </c>
      <c r="S57" s="319">
        <f>'Initial unit rates'!S186</f>
        <v>0.10780581342904635</v>
      </c>
      <c r="T57" s="319">
        <f>'Initial unit rates'!T186</f>
        <v>0.10023452696572259</v>
      </c>
      <c r="U57" s="319">
        <f>'Initial unit rates'!U186</f>
        <v>8.3822690763873706E-2</v>
      </c>
      <c r="V57" s="319">
        <f>'Initial unit rates'!V186</f>
        <v>7.9764942239471157E-2</v>
      </c>
      <c r="W57" s="319">
        <f>'Initial unit rates'!W186</f>
        <v>4.5988304472033954E-2</v>
      </c>
      <c r="X57" s="319">
        <f>'Initial unit rates'!X186</f>
        <v>0</v>
      </c>
      <c r="Y57" s="319">
        <f>'Initial unit rates'!Y186</f>
        <v>0</v>
      </c>
      <c r="Z57" s="319">
        <f>'Initial unit rates'!Z186</f>
        <v>0</v>
      </c>
      <c r="AA57" s="319">
        <f>'Initial unit rates'!AA186</f>
        <v>0</v>
      </c>
      <c r="AB57" s="319">
        <f>'Initial unit rates'!AB186</f>
        <v>7.5886472022049539E-2</v>
      </c>
      <c r="AC57" s="319">
        <f>'Initial unit rates'!AC186</f>
        <v>0</v>
      </c>
      <c r="AD57" s="319">
        <f>'Initial unit rates'!AD186</f>
        <v>0</v>
      </c>
      <c r="AE57" s="319">
        <f>'Initial unit rates'!AE186</f>
        <v>0</v>
      </c>
      <c r="AF57" s="319">
        <f>'Initial unit rates'!AF186</f>
        <v>0</v>
      </c>
      <c r="AG57" s="319">
        <f>'Initial unit rates'!AG186</f>
        <v>-7.0894566862203565E-2</v>
      </c>
      <c r="AH57" s="319">
        <f>'Initial unit rates'!AH186</f>
        <v>-7.0894566862203565E-2</v>
      </c>
      <c r="AI57" s="319">
        <f>'Initial unit rates'!AI186</f>
        <v>0</v>
      </c>
      <c r="AJ57" s="319">
        <f>'Initial unit rates'!AJ186</f>
        <v>0</v>
      </c>
      <c r="AK57" s="319">
        <f>'Initial unit rates'!AK186</f>
        <v>-6.8855854828132779E-2</v>
      </c>
      <c r="AL57" s="319">
        <f>'Initial unit rates'!AL186</f>
        <v>-6.8855854828132779E-2</v>
      </c>
      <c r="AM57" s="319">
        <f>'Initial unit rates'!AM186</f>
        <v>0</v>
      </c>
      <c r="AN57" s="319">
        <f>'Initial unit rates'!AN186</f>
        <v>0</v>
      </c>
      <c r="AO57" s="319">
        <f>'Initial unit rates'!AO186</f>
        <v>-4.4175056388038661E-2</v>
      </c>
      <c r="AP57" s="319">
        <f>'Initial unit rates'!AP186</f>
        <v>-4.4175056388038661E-2</v>
      </c>
      <c r="AQ57" s="304"/>
      <c r="AR57" s="304"/>
    </row>
    <row r="58" spans="3:44" x14ac:dyDescent="0.25">
      <c r="D58"/>
      <c r="F58" t="s">
        <v>233</v>
      </c>
      <c r="G58" t="s">
        <v>328</v>
      </c>
      <c r="H58" s="304"/>
      <c r="I58" s="304"/>
      <c r="J58" s="319">
        <f>'Initial unit rates'!J187</f>
        <v>0</v>
      </c>
      <c r="K58" s="319">
        <f>'Initial unit rates'!K187</f>
        <v>2.3529952201777212E-4</v>
      </c>
      <c r="L58" s="319">
        <f>'Initial unit rates'!L187</f>
        <v>0</v>
      </c>
      <c r="M58" s="319">
        <f>'Initial unit rates'!M187</f>
        <v>0</v>
      </c>
      <c r="N58" s="319">
        <f>'Initial unit rates'!N187</f>
        <v>2.1456086527370003E-4</v>
      </c>
      <c r="O58" s="319">
        <f>'Initial unit rates'!O187</f>
        <v>0</v>
      </c>
      <c r="P58" s="319">
        <f>'Initial unit rates'!P187</f>
        <v>1.9481374419074446E-4</v>
      </c>
      <c r="Q58" s="319">
        <f>'Initial unit rates'!Q187</f>
        <v>1.4742087667796953E-4</v>
      </c>
      <c r="R58" s="319">
        <f>'Initial unit rates'!R187</f>
        <v>1.2928230050533024E-4</v>
      </c>
      <c r="S58" s="319">
        <f>'Initial unit rates'!S187</f>
        <v>6.227653458073695E-3</v>
      </c>
      <c r="T58" s="319">
        <f>'Initial unit rates'!T187</f>
        <v>5.7910463530634988E-3</v>
      </c>
      <c r="U58" s="319">
        <f>'Initial unit rates'!U187</f>
        <v>4.842578386737623E-3</v>
      </c>
      <c r="V58" s="319">
        <f>'Initial unit rates'!V187</f>
        <v>4.6081554026503949E-3</v>
      </c>
      <c r="W58" s="319">
        <f>'Initial unit rates'!W187</f>
        <v>2.6568220042747894E-3</v>
      </c>
      <c r="X58" s="319">
        <f>'Initial unit rates'!X187</f>
        <v>0</v>
      </c>
      <c r="Y58" s="319">
        <f>'Initial unit rates'!Y187</f>
        <v>0</v>
      </c>
      <c r="Z58" s="319">
        <f>'Initial unit rates'!Z187</f>
        <v>0</v>
      </c>
      <c r="AA58" s="319">
        <f>'Initial unit rates'!AA187</f>
        <v>0</v>
      </c>
      <c r="AB58" s="319">
        <f>'Initial unit rates'!AB187</f>
        <v>4.6882910264055633E-3</v>
      </c>
      <c r="AC58" s="319">
        <f>'Initial unit rates'!AC187</f>
        <v>0</v>
      </c>
      <c r="AD58" s="319">
        <f>'Initial unit rates'!AD187</f>
        <v>0</v>
      </c>
      <c r="AE58" s="319">
        <f>'Initial unit rates'!AE187</f>
        <v>0</v>
      </c>
      <c r="AF58" s="319">
        <f>'Initial unit rates'!AF187</f>
        <v>0</v>
      </c>
      <c r="AG58" s="319">
        <f>'Initial unit rates'!AG187</f>
        <v>-4.0956988387683066E-3</v>
      </c>
      <c r="AH58" s="319">
        <f>'Initial unit rates'!AH187</f>
        <v>-4.0956988387683066E-3</v>
      </c>
      <c r="AI58" s="319">
        <f>'Initial unit rates'!AI187</f>
        <v>0</v>
      </c>
      <c r="AJ58" s="319">
        <f>'Initial unit rates'!AJ187</f>
        <v>0</v>
      </c>
      <c r="AK58" s="319">
        <f>'Initial unit rates'!AK187</f>
        <v>-3.9779190020319257E-3</v>
      </c>
      <c r="AL58" s="319">
        <f>'Initial unit rates'!AL187</f>
        <v>-3.9779190020319257E-3</v>
      </c>
      <c r="AM58" s="319">
        <f>'Initial unit rates'!AM187</f>
        <v>0</v>
      </c>
      <c r="AN58" s="319">
        <f>'Initial unit rates'!AN187</f>
        <v>0</v>
      </c>
      <c r="AO58" s="319">
        <f>'Initial unit rates'!AO187</f>
        <v>-2.5520676006481596E-3</v>
      </c>
      <c r="AP58" s="319">
        <f>'Initial unit rates'!AP187</f>
        <v>-2.5520676006481596E-3</v>
      </c>
      <c r="AQ58" s="304"/>
      <c r="AR58" s="304"/>
    </row>
    <row r="59" spans="3:44" x14ac:dyDescent="0.25">
      <c r="D59"/>
      <c r="F59" t="s">
        <v>234</v>
      </c>
      <c r="G59" t="s">
        <v>328</v>
      </c>
      <c r="H59" s="304"/>
      <c r="I59" s="304"/>
      <c r="J59" s="319">
        <f>'Initial unit rates'!J188</f>
        <v>0</v>
      </c>
      <c r="K59" s="319">
        <f>'Initial unit rates'!K188</f>
        <v>9.43068933566177E-3</v>
      </c>
      <c r="L59" s="319">
        <f>'Initial unit rates'!L188</f>
        <v>0</v>
      </c>
      <c r="M59" s="319">
        <f>'Initial unit rates'!M188</f>
        <v>0</v>
      </c>
      <c r="N59" s="319">
        <f>'Initial unit rates'!N188</f>
        <v>8.599560108205272E-3</v>
      </c>
      <c r="O59" s="319">
        <f>'Initial unit rates'!O188</f>
        <v>0</v>
      </c>
      <c r="P59" s="319">
        <f>'Initial unit rates'!P188</f>
        <v>7.8080079068611067E-3</v>
      </c>
      <c r="Q59" s="319">
        <f>'Initial unit rates'!Q188</f>
        <v>5.9085326629263E-3</v>
      </c>
      <c r="R59" s="319">
        <f>'Initial unit rates'!R188</f>
        <v>5.5566314560085593E-3</v>
      </c>
      <c r="S59" s="319">
        <f>'Initial unit rates'!S188</f>
        <v>0.12936559563848951</v>
      </c>
      <c r="T59" s="319">
        <f>'Initial unit rates'!T188</f>
        <v>0.12028014883443421</v>
      </c>
      <c r="U59" s="319">
        <f>'Initial unit rates'!U188</f>
        <v>0.10058615554926811</v>
      </c>
      <c r="V59" s="319">
        <f>'Initial unit rates'!V188</f>
        <v>9.57169092803178E-2</v>
      </c>
      <c r="W59" s="319">
        <f>'Initial unit rates'!W188</f>
        <v>5.9180125266948332E-2</v>
      </c>
      <c r="X59" s="319">
        <f>'Initial unit rates'!X188</f>
        <v>0</v>
      </c>
      <c r="Y59" s="319">
        <f>'Initial unit rates'!Y188</f>
        <v>0</v>
      </c>
      <c r="Z59" s="319">
        <f>'Initial unit rates'!Z188</f>
        <v>0</v>
      </c>
      <c r="AA59" s="319">
        <f>'Initial unit rates'!AA188</f>
        <v>0</v>
      </c>
      <c r="AB59" s="319">
        <f>'Initial unit rates'!AB188</f>
        <v>9.1062794684047765E-2</v>
      </c>
      <c r="AC59" s="319">
        <f>'Initial unit rates'!AC188</f>
        <v>0</v>
      </c>
      <c r="AD59" s="319">
        <f>'Initial unit rates'!AD188</f>
        <v>0</v>
      </c>
      <c r="AE59" s="319">
        <f>'Initial unit rates'!AE188</f>
        <v>0</v>
      </c>
      <c r="AF59" s="319">
        <f>'Initial unit rates'!AF188</f>
        <v>0</v>
      </c>
      <c r="AG59" s="319">
        <f>'Initial unit rates'!AG188</f>
        <v>-8.5072572414639724E-2</v>
      </c>
      <c r="AH59" s="319">
        <f>'Initial unit rates'!AH188</f>
        <v>-8.5072572414639724E-2</v>
      </c>
      <c r="AI59" s="319">
        <f>'Initial unit rates'!AI188</f>
        <v>0</v>
      </c>
      <c r="AJ59" s="319">
        <f>'Initial unit rates'!AJ188</f>
        <v>0</v>
      </c>
      <c r="AK59" s="319">
        <f>'Initial unit rates'!AK188</f>
        <v>-8.2626144079895894E-2</v>
      </c>
      <c r="AL59" s="319">
        <f>'Initial unit rates'!AL188</f>
        <v>-8.2626144079895894E-2</v>
      </c>
      <c r="AM59" s="319">
        <f>'Initial unit rates'!AM188</f>
        <v>0</v>
      </c>
      <c r="AN59" s="319">
        <f>'Initial unit rates'!AN188</f>
        <v>0</v>
      </c>
      <c r="AO59" s="319">
        <f>'Initial unit rates'!AO188</f>
        <v>0</v>
      </c>
      <c r="AP59" s="319">
        <f>'Initial unit rates'!AP188</f>
        <v>0</v>
      </c>
      <c r="AQ59" s="304"/>
      <c r="AR59" s="304"/>
    </row>
    <row r="60" spans="3:44" x14ac:dyDescent="0.25">
      <c r="D60"/>
      <c r="F60" t="s">
        <v>235</v>
      </c>
      <c r="G60" t="s">
        <v>328</v>
      </c>
      <c r="H60" s="304"/>
      <c r="I60" s="304"/>
      <c r="J60" s="319">
        <f>'Initial unit rates'!J189</f>
        <v>0</v>
      </c>
      <c r="K60" s="319">
        <f>'Initial unit rates'!K189</f>
        <v>2.4124262275760119E-3</v>
      </c>
      <c r="L60" s="319">
        <f>'Initial unit rates'!L189</f>
        <v>0</v>
      </c>
      <c r="M60" s="319">
        <f>'Initial unit rates'!M189</f>
        <v>0</v>
      </c>
      <c r="N60" s="319">
        <f>'Initial unit rates'!N189</f>
        <v>2.1998184451057444E-3</v>
      </c>
      <c r="O60" s="319">
        <f>'Initial unit rates'!O189</f>
        <v>0</v>
      </c>
      <c r="P60" s="319">
        <f>'Initial unit rates'!P189</f>
        <v>1.9973347004872831E-3</v>
      </c>
      <c r="Q60" s="319">
        <f>'Initial unit rates'!Q189</f>
        <v>1.511437674935638E-3</v>
      </c>
      <c r="R60" s="319">
        <f>'Initial unit rates'!R189</f>
        <v>0</v>
      </c>
      <c r="S60" s="319">
        <f>'Initial unit rates'!S189</f>
        <v>3.3092486111714912E-2</v>
      </c>
      <c r="T60" s="319">
        <f>'Initial unit rates'!T189</f>
        <v>3.0768374969969651E-2</v>
      </c>
      <c r="U60" s="319">
        <f>'Initial unit rates'!U189</f>
        <v>2.5730534761705955E-2</v>
      </c>
      <c r="V60" s="319">
        <f>'Initial unit rates'!V189</f>
        <v>2.4484952706179779E-2</v>
      </c>
      <c r="W60" s="319">
        <f>'Initial unit rates'!W189</f>
        <v>0</v>
      </c>
      <c r="X60" s="319">
        <f>'Initial unit rates'!X189</f>
        <v>0</v>
      </c>
      <c r="Y60" s="319">
        <f>'Initial unit rates'!Y189</f>
        <v>0</v>
      </c>
      <c r="Z60" s="319">
        <f>'Initial unit rates'!Z189</f>
        <v>0</v>
      </c>
      <c r="AA60" s="319">
        <f>'Initial unit rates'!AA189</f>
        <v>0</v>
      </c>
      <c r="AB60" s="319">
        <f>'Initial unit rates'!AB189</f>
        <v>2.3294402607606495E-2</v>
      </c>
      <c r="AC60" s="319">
        <f>'Initial unit rates'!AC189</f>
        <v>0</v>
      </c>
      <c r="AD60" s="319">
        <f>'Initial unit rates'!AD189</f>
        <v>0</v>
      </c>
      <c r="AE60" s="319">
        <f>'Initial unit rates'!AE189</f>
        <v>0</v>
      </c>
      <c r="AF60" s="319">
        <f>'Initial unit rates'!AF189</f>
        <v>0</v>
      </c>
      <c r="AG60" s="319">
        <f>'Initial unit rates'!AG189</f>
        <v>-2.17620682471601E-2</v>
      </c>
      <c r="AH60" s="319">
        <f>'Initial unit rates'!AH189</f>
        <v>-2.17620682471601E-2</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236</v>
      </c>
      <c r="G61" t="s">
        <v>328</v>
      </c>
      <c r="H61" s="304"/>
      <c r="I61" s="304"/>
      <c r="J61" s="319">
        <f>'Initial unit rates'!J190</f>
        <v>0</v>
      </c>
      <c r="K61" s="319">
        <f>'Initial unit rates'!K190</f>
        <v>1.0124178260507246E-3</v>
      </c>
      <c r="L61" s="319">
        <f>'Initial unit rates'!L190</f>
        <v>0</v>
      </c>
      <c r="M61" s="319">
        <f>'Initial unit rates'!M190</f>
        <v>0</v>
      </c>
      <c r="N61" s="319">
        <f>'Initial unit rates'!N190</f>
        <v>9.2319316646546847E-4</v>
      </c>
      <c r="O61" s="319">
        <f>'Initial unit rates'!O190</f>
        <v>0</v>
      </c>
      <c r="P61" s="319">
        <f>'Initial unit rates'!P190</f>
        <v>8.3821724048939688E-4</v>
      </c>
      <c r="Q61" s="319">
        <f>'Initial unit rates'!Q190</f>
        <v>0</v>
      </c>
      <c r="R61" s="319">
        <f>'Initial unit rates'!R190</f>
        <v>0</v>
      </c>
      <c r="S61" s="319">
        <f>'Initial unit rates'!S190</f>
        <v>1.3887853839783611E-2</v>
      </c>
      <c r="T61" s="319">
        <f>'Initial unit rates'!T190</f>
        <v>1.2912499019507823E-2</v>
      </c>
      <c r="U61" s="319">
        <f>'Initial unit rates'!U190</f>
        <v>1.0798279246343563E-2</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9.7759128041150466E-3</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437</v>
      </c>
      <c r="G62" s="23" t="s">
        <v>328</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438</v>
      </c>
      <c r="G63" s="37" t="s">
        <v>328</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735</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226</v>
      </c>
      <c r="G66" s="23" t="s">
        <v>328</v>
      </c>
      <c r="H66" s="302"/>
      <c r="I66" s="302"/>
      <c r="J66" s="318">
        <f>'Initial unit rates'!J193</f>
        <v>0</v>
      </c>
      <c r="K66" s="318">
        <f>'Initial unit rates'!K193</f>
        <v>0</v>
      </c>
      <c r="L66" s="318">
        <f>'Initial unit rates'!L193</f>
        <v>0</v>
      </c>
      <c r="M66" s="318">
        <f>'Initial unit rates'!M193</f>
        <v>0</v>
      </c>
      <c r="N66" s="318">
        <f>'Initial unit rates'!N193</f>
        <v>0</v>
      </c>
      <c r="O66" s="318">
        <f>'Initial unit rates'!O193</f>
        <v>0</v>
      </c>
      <c r="P66" s="318">
        <f>'Initial unit rates'!P193</f>
        <v>0</v>
      </c>
      <c r="Q66" s="318">
        <f>'Initial unit rates'!Q193</f>
        <v>0</v>
      </c>
      <c r="R66" s="318">
        <f>'Initial unit rates'!R193</f>
        <v>0</v>
      </c>
      <c r="S66" s="318">
        <f>'Initial unit rates'!S193</f>
        <v>1.8567216037547039E-2</v>
      </c>
      <c r="T66" s="318">
        <f>'Initial unit rates'!T193</f>
        <v>1.7267742655450613E-2</v>
      </c>
      <c r="U66" s="318">
        <f>'Initial unit rates'!U193</f>
        <v>1.4438051122029368E-2</v>
      </c>
      <c r="V66" s="318">
        <f>'Initial unit rates'!V193</f>
        <v>1.3739123658573221E-2</v>
      </c>
      <c r="W66" s="318">
        <f>'Initial unit rates'!W193</f>
        <v>1.22171867046131E-2</v>
      </c>
      <c r="X66" s="318">
        <f>'Initial unit rates'!X193</f>
        <v>0</v>
      </c>
      <c r="Y66" s="318">
        <f>'Initial unit rates'!Y193</f>
        <v>0</v>
      </c>
      <c r="Z66" s="318">
        <f>'Initial unit rates'!Z193</f>
        <v>0</v>
      </c>
      <c r="AA66" s="318">
        <f>'Initial unit rates'!AA193</f>
        <v>0</v>
      </c>
      <c r="AB66" s="318">
        <f>'Initial unit rates'!AB193</f>
        <v>2.5200805882497443E-2</v>
      </c>
      <c r="AC66" s="318">
        <f>'Initial unit rates'!AC193</f>
        <v>0</v>
      </c>
      <c r="AD66" s="318">
        <f>'Initial unit rates'!AD193</f>
        <v>0</v>
      </c>
      <c r="AE66" s="318">
        <f>'Initial unit rates'!AE193</f>
        <v>0</v>
      </c>
      <c r="AF66" s="318">
        <f>'Initial unit rates'!AF193</f>
        <v>0</v>
      </c>
      <c r="AG66" s="318">
        <f>'Initial unit rates'!AG193</f>
        <v>-1.2211244608145787E-2</v>
      </c>
      <c r="AH66" s="318">
        <f>'Initial unit rates'!AH193</f>
        <v>-1.2211244608145787E-2</v>
      </c>
      <c r="AI66" s="318">
        <f>'Initial unit rates'!AI193</f>
        <v>0</v>
      </c>
      <c r="AJ66" s="318">
        <f>'Initial unit rates'!AJ193</f>
        <v>0</v>
      </c>
      <c r="AK66" s="318">
        <f>'Initial unit rates'!AK193</f>
        <v>-1.1860086368022854E-2</v>
      </c>
      <c r="AL66" s="318">
        <f>'Initial unit rates'!AL193</f>
        <v>-1.1860086368022854E-2</v>
      </c>
      <c r="AM66" s="318">
        <f>'Initial unit rates'!AM193</f>
        <v>0</v>
      </c>
      <c r="AN66" s="318">
        <f>'Initial unit rates'!AN193</f>
        <v>0</v>
      </c>
      <c r="AO66" s="318">
        <f>'Initial unit rates'!AO193</f>
        <v>-1.1735481831205041E-2</v>
      </c>
      <c r="AP66" s="318">
        <f>'Initial unit rates'!AP193</f>
        <v>-1.1735481831205041E-2</v>
      </c>
      <c r="AQ66" s="304"/>
      <c r="AR66" s="304"/>
    </row>
    <row r="67" spans="3:44" x14ac:dyDescent="0.25">
      <c r="D67"/>
      <c r="F67" t="s">
        <v>228</v>
      </c>
      <c r="G67" t="s">
        <v>328</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229</v>
      </c>
      <c r="G68" t="s">
        <v>328</v>
      </c>
      <c r="H68" s="304"/>
      <c r="I68" s="304"/>
      <c r="J68" s="319">
        <f>'Initial unit rates'!J195</f>
        <v>0</v>
      </c>
      <c r="K68" s="319">
        <f>'Initial unit rates'!K195</f>
        <v>1.4773448096538201E-3</v>
      </c>
      <c r="L68" s="319">
        <f>'Initial unit rates'!L195</f>
        <v>0</v>
      </c>
      <c r="M68" s="319">
        <f>'Initial unit rates'!M195</f>
        <v>0</v>
      </c>
      <c r="N68" s="319">
        <f>'Initial unit rates'!N195</f>
        <v>1.34713567604694E-3</v>
      </c>
      <c r="O68" s="319">
        <f>'Initial unit rates'!O195</f>
        <v>0</v>
      </c>
      <c r="P68" s="319">
        <f>'Initial unit rates'!P195</f>
        <v>1.2231519697166464E-3</v>
      </c>
      <c r="Q68" s="319">
        <f>'Initial unit rates'!Q195</f>
        <v>9.2559247518728279E-4</v>
      </c>
      <c r="R68" s="319">
        <f>'Initial unit rates'!R195</f>
        <v>1.2519204474713292E-3</v>
      </c>
      <c r="S68" s="319">
        <f>'Initial unit rates'!S195</f>
        <v>3.9100765839689786E-2</v>
      </c>
      <c r="T68" s="319">
        <f>'Initial unit rates'!T195</f>
        <v>3.63594970308391E-2</v>
      </c>
      <c r="U68" s="319">
        <f>'Initial unit rates'!U195</f>
        <v>3.040447334375905E-2</v>
      </c>
      <c r="V68" s="319">
        <f>'Initial unit rates'!V195</f>
        <v>2.8932631939938988E-2</v>
      </c>
      <c r="W68" s="319">
        <f>'Initial unit rates'!W195</f>
        <v>2.5727650107109857E-2</v>
      </c>
      <c r="X68" s="319">
        <f>'Initial unit rates'!X195</f>
        <v>0</v>
      </c>
      <c r="Y68" s="319">
        <f>'Initial unit rates'!Y195</f>
        <v>0</v>
      </c>
      <c r="Z68" s="319">
        <f>'Initial unit rates'!Z195</f>
        <v>0</v>
      </c>
      <c r="AA68" s="319">
        <f>'Initial unit rates'!AA195</f>
        <v>0</v>
      </c>
      <c r="AB68" s="319">
        <f>'Initial unit rates'!AB195</f>
        <v>2.9435769161841752E-2</v>
      </c>
      <c r="AC68" s="319">
        <f>'Initial unit rates'!AC195</f>
        <v>0</v>
      </c>
      <c r="AD68" s="319">
        <f>'Initial unit rates'!AD195</f>
        <v>0</v>
      </c>
      <c r="AE68" s="319">
        <f>'Initial unit rates'!AE195</f>
        <v>0</v>
      </c>
      <c r="AF68" s="319">
        <f>'Initial unit rates'!AF195</f>
        <v>0</v>
      </c>
      <c r="AG68" s="319">
        <f>'Initial unit rates'!AG195</f>
        <v>-2.5715136900713823E-2</v>
      </c>
      <c r="AH68" s="319">
        <f>'Initial unit rates'!AH195</f>
        <v>-2.5715136900713823E-2</v>
      </c>
      <c r="AI68" s="319">
        <f>'Initial unit rates'!AI195</f>
        <v>0</v>
      </c>
      <c r="AJ68" s="319">
        <f>'Initial unit rates'!AJ195</f>
        <v>0</v>
      </c>
      <c r="AK68" s="319">
        <f>'Initial unit rates'!AK195</f>
        <v>-2.4975647806166394E-2</v>
      </c>
      <c r="AL68" s="319">
        <f>'Initial unit rates'!AL195</f>
        <v>-2.4975647806166394E-2</v>
      </c>
      <c r="AM68" s="319">
        <f>'Initial unit rates'!AM195</f>
        <v>0</v>
      </c>
      <c r="AN68" s="319">
        <f>'Initial unit rates'!AN195</f>
        <v>0</v>
      </c>
      <c r="AO68" s="319">
        <f>'Initial unit rates'!AO195</f>
        <v>-2.4713248450036654E-2</v>
      </c>
      <c r="AP68" s="319">
        <f>'Initial unit rates'!AP195</f>
        <v>-2.4713248450036654E-2</v>
      </c>
      <c r="AQ68" s="304"/>
      <c r="AR68" s="304"/>
    </row>
    <row r="69" spans="3:44" x14ac:dyDescent="0.25">
      <c r="D69"/>
      <c r="F69" t="s">
        <v>230</v>
      </c>
      <c r="G69" t="s">
        <v>328</v>
      </c>
      <c r="H69" s="304"/>
      <c r="I69" s="304"/>
      <c r="J69" s="319">
        <f>'Initial unit rates'!J196</f>
        <v>0</v>
      </c>
      <c r="K69" s="319">
        <f>'Initial unit rates'!K196</f>
        <v>7.7189887798605476E-4</v>
      </c>
      <c r="L69" s="319">
        <f>'Initial unit rates'!L196</f>
        <v>0</v>
      </c>
      <c r="M69" s="319">
        <f>'Initial unit rates'!M196</f>
        <v>0</v>
      </c>
      <c r="N69" s="319">
        <f>'Initial unit rates'!N196</f>
        <v>7.0386582065380026E-4</v>
      </c>
      <c r="O69" s="319">
        <f>'Initial unit rates'!O196</f>
        <v>0</v>
      </c>
      <c r="P69" s="319">
        <f>'Initial unit rates'!P196</f>
        <v>6.390854909842956E-4</v>
      </c>
      <c r="Q69" s="319">
        <f>'Initial unit rates'!Q196</f>
        <v>4.836134316110102E-4</v>
      </c>
      <c r="R69" s="319">
        <f>'Initial unit rates'!R196</f>
        <v>6.5411675217335393E-4</v>
      </c>
      <c r="S69" s="319">
        <f>'Initial unit rates'!S196</f>
        <v>2.0429785303218675E-2</v>
      </c>
      <c r="T69" s="319">
        <f>'Initial unit rates'!T196</f>
        <v>1.8997497929287437E-2</v>
      </c>
      <c r="U69" s="319">
        <f>'Initial unit rates'!U196</f>
        <v>1.5886053618927292E-2</v>
      </c>
      <c r="V69" s="319">
        <f>'Initial unit rates'!V196</f>
        <v>1.5117030219137267E-2</v>
      </c>
      <c r="W69" s="319">
        <f>'Initial unit rates'!W196</f>
        <v>1.3442457117068971E-2</v>
      </c>
      <c r="X69" s="319">
        <f>'Initial unit rates'!X196</f>
        <v>0</v>
      </c>
      <c r="Y69" s="319">
        <f>'Initial unit rates'!Y196</f>
        <v>0</v>
      </c>
      <c r="Z69" s="319">
        <f>'Initial unit rates'!Z196</f>
        <v>0</v>
      </c>
      <c r="AA69" s="319">
        <f>'Initial unit rates'!AA196</f>
        <v>0</v>
      </c>
      <c r="AB69" s="319">
        <f>'Initial unit rates'!AB196</f>
        <v>1.5379914722823832E-2</v>
      </c>
      <c r="AC69" s="319">
        <f>'Initial unit rates'!AC196</f>
        <v>0</v>
      </c>
      <c r="AD69" s="319">
        <f>'Initial unit rates'!AD196</f>
        <v>0</v>
      </c>
      <c r="AE69" s="319">
        <f>'Initial unit rates'!AE196</f>
        <v>0</v>
      </c>
      <c r="AF69" s="319">
        <f>'Initial unit rates'!AF196</f>
        <v>0</v>
      </c>
      <c r="AG69" s="319">
        <f>'Initial unit rates'!AG196</f>
        <v>-1.3435919083487381E-2</v>
      </c>
      <c r="AH69" s="319">
        <f>'Initial unit rates'!AH196</f>
        <v>-1.3435919083487381E-2</v>
      </c>
      <c r="AI69" s="319">
        <f>'Initial unit rates'!AI196</f>
        <v>0</v>
      </c>
      <c r="AJ69" s="319">
        <f>'Initial unit rates'!AJ196</f>
        <v>0</v>
      </c>
      <c r="AK69" s="319">
        <f>'Initial unit rates'!AK196</f>
        <v>-1.3049542931735885E-2</v>
      </c>
      <c r="AL69" s="319">
        <f>'Initial unit rates'!AL196</f>
        <v>-1.3049542931735885E-2</v>
      </c>
      <c r="AM69" s="319">
        <f>'Initial unit rates'!AM196</f>
        <v>0</v>
      </c>
      <c r="AN69" s="319">
        <f>'Initial unit rates'!AN196</f>
        <v>0</v>
      </c>
      <c r="AO69" s="319">
        <f>'Initial unit rates'!AO196</f>
        <v>-1.2912441716598258E-2</v>
      </c>
      <c r="AP69" s="319">
        <f>'Initial unit rates'!AP196</f>
        <v>-1.2912441716598258E-2</v>
      </c>
      <c r="AQ69" s="304"/>
      <c r="AR69" s="304"/>
    </row>
    <row r="70" spans="3:44" x14ac:dyDescent="0.25">
      <c r="D70"/>
      <c r="F70" t="s">
        <v>231</v>
      </c>
      <c r="G70" t="s">
        <v>328</v>
      </c>
      <c r="H70" s="304"/>
      <c r="I70" s="304"/>
      <c r="J70" s="319">
        <f>'Initial unit rates'!J197</f>
        <v>0</v>
      </c>
      <c r="K70" s="319">
        <f>'Initial unit rates'!K197</f>
        <v>2.6819432669939248E-3</v>
      </c>
      <c r="L70" s="319">
        <f>'Initial unit rates'!L197</f>
        <v>0</v>
      </c>
      <c r="M70" s="319">
        <f>'Initial unit rates'!M197</f>
        <v>0</v>
      </c>
      <c r="N70" s="319">
        <f>'Initial unit rates'!N197</f>
        <v>2.4455828742122655E-3</v>
      </c>
      <c r="O70" s="319">
        <f>'Initial unit rates'!O197</f>
        <v>0</v>
      </c>
      <c r="P70" s="319">
        <f>'Initial unit rates'!P197</f>
        <v>2.2204775800699229E-3</v>
      </c>
      <c r="Q70" s="319">
        <f>'Initial unit rates'!Q197</f>
        <v>1.6802959814641067E-3</v>
      </c>
      <c r="R70" s="319">
        <f>'Initial unit rates'!R197</f>
        <v>2.2727031100519515E-3</v>
      </c>
      <c r="S70" s="319">
        <f>'Initial unit rates'!S197</f>
        <v>3.678958937723923E-2</v>
      </c>
      <c r="T70" s="319">
        <f>'Initial unit rates'!T197</f>
        <v>3.4205827786066241E-2</v>
      </c>
      <c r="U70" s="319">
        <f>'Initial unit rates'!U197</f>
        <v>2.8605158438212212E-2</v>
      </c>
      <c r="V70" s="319">
        <f>'Initial unit rates'!V197</f>
        <v>2.7220419552056316E-2</v>
      </c>
      <c r="W70" s="319">
        <f>'Initial unit rates'!W197</f>
        <v>2.4205106243283373E-2</v>
      </c>
      <c r="X70" s="319">
        <f>'Initial unit rates'!X197</f>
        <v>0</v>
      </c>
      <c r="Y70" s="319">
        <f>'Initial unit rates'!Y197</f>
        <v>0</v>
      </c>
      <c r="Z70" s="319">
        <f>'Initial unit rates'!Z197</f>
        <v>0</v>
      </c>
      <c r="AA70" s="319">
        <f>'Initial unit rates'!AA197</f>
        <v>0</v>
      </c>
      <c r="AB70" s="319">
        <f>'Initial unit rates'!AB197</f>
        <v>2.5896860810906384E-2</v>
      </c>
      <c r="AC70" s="319">
        <f>'Initial unit rates'!AC197</f>
        <v>0</v>
      </c>
      <c r="AD70" s="319">
        <f>'Initial unit rates'!AD197</f>
        <v>0</v>
      </c>
      <c r="AE70" s="319">
        <f>'Initial unit rates'!AE197</f>
        <v>0</v>
      </c>
      <c r="AF70" s="319">
        <f>'Initial unit rates'!AF197</f>
        <v>0</v>
      </c>
      <c r="AG70" s="319">
        <f>'Initial unit rates'!AG197</f>
        <v>-2.4193333559458796E-2</v>
      </c>
      <c r="AH70" s="319">
        <f>'Initial unit rates'!AH197</f>
        <v>-2.4193333559458796E-2</v>
      </c>
      <c r="AI70" s="319">
        <f>'Initial unit rates'!AI197</f>
        <v>0</v>
      </c>
      <c r="AJ70" s="319">
        <f>'Initial unit rates'!AJ197</f>
        <v>0</v>
      </c>
      <c r="AK70" s="319">
        <f>'Initial unit rates'!AK197</f>
        <v>-2.3497606898658034E-2</v>
      </c>
      <c r="AL70" s="319">
        <f>'Initial unit rates'!AL197</f>
        <v>-2.3497606898658034E-2</v>
      </c>
      <c r="AM70" s="319">
        <f>'Initial unit rates'!AM197</f>
        <v>0</v>
      </c>
      <c r="AN70" s="319">
        <f>'Initial unit rates'!AN197</f>
        <v>0</v>
      </c>
      <c r="AO70" s="319">
        <f>'Initial unit rates'!AO197</f>
        <v>-2.3250736148051315E-2</v>
      </c>
      <c r="AP70" s="319">
        <f>'Initial unit rates'!AP197</f>
        <v>-2.3250736148051315E-2</v>
      </c>
      <c r="AQ70" s="304"/>
      <c r="AR70" s="304"/>
    </row>
    <row r="71" spans="3:44" x14ac:dyDescent="0.25">
      <c r="D71"/>
      <c r="F71" t="s">
        <v>232</v>
      </c>
      <c r="G71" t="s">
        <v>328</v>
      </c>
      <c r="H71" s="304"/>
      <c r="I71" s="304"/>
      <c r="J71" s="319">
        <f>'Initial unit rates'!J198</f>
        <v>0</v>
      </c>
      <c r="K71" s="319">
        <f>'Initial unit rates'!K198</f>
        <v>4.3144807098180766E-3</v>
      </c>
      <c r="L71" s="319">
        <f>'Initial unit rates'!L198</f>
        <v>0</v>
      </c>
      <c r="M71" s="319">
        <f>'Initial unit rates'!M198</f>
        <v>0</v>
      </c>
      <c r="N71" s="319">
        <f>'Initial unit rates'!N198</f>
        <v>3.9342443462187402E-3</v>
      </c>
      <c r="O71" s="319">
        <f>'Initial unit rates'!O198</f>
        <v>0</v>
      </c>
      <c r="P71" s="319">
        <f>'Initial unit rates'!P198</f>
        <v>3.5721142216901735E-3</v>
      </c>
      <c r="Q71" s="319">
        <f>'Initial unit rates'!Q198</f>
        <v>2.7031163142155088E-3</v>
      </c>
      <c r="R71" s="319">
        <f>'Initial unit rates'!R198</f>
        <v>3.656130182967403E-3</v>
      </c>
      <c r="S71" s="319">
        <f>'Initial unit rates'!S198</f>
        <v>5.9183941600725223E-2</v>
      </c>
      <c r="T71" s="319">
        <f>'Initial unit rates'!T198</f>
        <v>5.5027407165013781E-2</v>
      </c>
      <c r="U71" s="319">
        <f>'Initial unit rates'!U198</f>
        <v>4.6017529826903644E-2</v>
      </c>
      <c r="V71" s="319">
        <f>'Initial unit rates'!V198</f>
        <v>4.3789880463108173E-2</v>
      </c>
      <c r="W71" s="319">
        <f>'Initial unit rates'!W198</f>
        <v>3.8939102571993268E-2</v>
      </c>
      <c r="X71" s="319">
        <f>'Initial unit rates'!X198</f>
        <v>0</v>
      </c>
      <c r="Y71" s="319">
        <f>'Initial unit rates'!Y198</f>
        <v>0</v>
      </c>
      <c r="Z71" s="319">
        <f>'Initial unit rates'!Z198</f>
        <v>0</v>
      </c>
      <c r="AA71" s="319">
        <f>'Initial unit rates'!AA198</f>
        <v>0</v>
      </c>
      <c r="AB71" s="319">
        <f>'Initial unit rates'!AB198</f>
        <v>4.1660652478579217E-2</v>
      </c>
      <c r="AC71" s="319">
        <f>'Initial unit rates'!AC198</f>
        <v>0</v>
      </c>
      <c r="AD71" s="319">
        <f>'Initial unit rates'!AD198</f>
        <v>0</v>
      </c>
      <c r="AE71" s="319">
        <f>'Initial unit rates'!AE198</f>
        <v>0</v>
      </c>
      <c r="AF71" s="319">
        <f>'Initial unit rates'!AF198</f>
        <v>0</v>
      </c>
      <c r="AG71" s="319">
        <f>'Initial unit rates'!AG198</f>
        <v>-3.8920163686190203E-2</v>
      </c>
      <c r="AH71" s="319">
        <f>'Initial unit rates'!AH198</f>
        <v>-3.8920163686190203E-2</v>
      </c>
      <c r="AI71" s="319">
        <f>'Initial unit rates'!AI198</f>
        <v>0</v>
      </c>
      <c r="AJ71" s="319">
        <f>'Initial unit rates'!AJ198</f>
        <v>0</v>
      </c>
      <c r="AK71" s="319">
        <f>'Initial unit rates'!AK198</f>
        <v>-3.7800938199852627E-2</v>
      </c>
      <c r="AL71" s="319">
        <f>'Initial unit rates'!AL198</f>
        <v>-3.7800938199852627E-2</v>
      </c>
      <c r="AM71" s="319">
        <f>'Initial unit rates'!AM198</f>
        <v>0</v>
      </c>
      <c r="AN71" s="319">
        <f>'Initial unit rates'!AN198</f>
        <v>0</v>
      </c>
      <c r="AO71" s="319">
        <f>'Initial unit rates'!AO198</f>
        <v>-3.740379367244253E-2</v>
      </c>
      <c r="AP71" s="319">
        <f>'Initial unit rates'!AP198</f>
        <v>-3.740379367244253E-2</v>
      </c>
      <c r="AQ71" s="304"/>
      <c r="AR71" s="304"/>
    </row>
    <row r="72" spans="3:44" x14ac:dyDescent="0.25">
      <c r="D72"/>
      <c r="F72" t="s">
        <v>233</v>
      </c>
      <c r="G72" t="s">
        <v>328</v>
      </c>
      <c r="H72" s="304"/>
      <c r="I72" s="304"/>
      <c r="J72" s="319">
        <f>'Initial unit rates'!J199</f>
        <v>0</v>
      </c>
      <c r="K72" s="319">
        <f>'Initial unit rates'!K199</f>
        <v>1.29176272844914E-4</v>
      </c>
      <c r="L72" s="319">
        <f>'Initial unit rates'!L199</f>
        <v>0</v>
      </c>
      <c r="M72" s="319">
        <f>'Initial unit rates'!M199</f>
        <v>0</v>
      </c>
      <c r="N72" s="319">
        <f>'Initial unit rates'!N199</f>
        <v>1.1779102922420266E-4</v>
      </c>
      <c r="O72" s="319">
        <f>'Initial unit rates'!O199</f>
        <v>0</v>
      </c>
      <c r="P72" s="319">
        <f>'Initial unit rates'!P199</f>
        <v>1.0695012534544017E-4</v>
      </c>
      <c r="Q72" s="319">
        <f>'Initial unit rates'!Q199</f>
        <v>8.0932078507798573E-5</v>
      </c>
      <c r="R72" s="319">
        <f>'Initial unit rates'!R199</f>
        <v>1.094655873469228E-4</v>
      </c>
      <c r="S72" s="319">
        <f>'Initial unit rates'!S199</f>
        <v>3.4188979874890646E-3</v>
      </c>
      <c r="T72" s="319">
        <f>'Initial unit rates'!T199</f>
        <v>3.1792065591377339E-3</v>
      </c>
      <c r="U72" s="319">
        <f>'Initial unit rates'!U199</f>
        <v>2.6585104023749587E-3</v>
      </c>
      <c r="V72" s="319">
        <f>'Initial unit rates'!V199</f>
        <v>2.5298153370646105E-3</v>
      </c>
      <c r="W72" s="319">
        <f>'Initial unit rates'!W199</f>
        <v>2.2495777073689811E-3</v>
      </c>
      <c r="X72" s="319">
        <f>'Initial unit rates'!X199</f>
        <v>0</v>
      </c>
      <c r="Y72" s="319">
        <f>'Initial unit rates'!Y199</f>
        <v>0</v>
      </c>
      <c r="Z72" s="319">
        <f>'Initial unit rates'!Z199</f>
        <v>0</v>
      </c>
      <c r="AA72" s="319">
        <f>'Initial unit rates'!AA199</f>
        <v>0</v>
      </c>
      <c r="AB72" s="319">
        <f>'Initial unit rates'!AB199</f>
        <v>2.5738087166942273E-3</v>
      </c>
      <c r="AC72" s="319">
        <f>'Initial unit rates'!AC199</f>
        <v>0</v>
      </c>
      <c r="AD72" s="319">
        <f>'Initial unit rates'!AD199</f>
        <v>0</v>
      </c>
      <c r="AE72" s="319">
        <f>'Initial unit rates'!AE199</f>
        <v>0</v>
      </c>
      <c r="AF72" s="319">
        <f>'Initial unit rates'!AF199</f>
        <v>0</v>
      </c>
      <c r="AG72" s="319">
        <f>'Initial unit rates'!AG199</f>
        <v>-2.2484835759563164E-3</v>
      </c>
      <c r="AH72" s="319">
        <f>'Initial unit rates'!AH199</f>
        <v>-2.2484835759563164E-3</v>
      </c>
      <c r="AI72" s="319">
        <f>'Initial unit rates'!AI199</f>
        <v>0</v>
      </c>
      <c r="AJ72" s="319">
        <f>'Initial unit rates'!AJ199</f>
        <v>0</v>
      </c>
      <c r="AK72" s="319">
        <f>'Initial unit rates'!AK199</f>
        <v>-2.1838240297089632E-3</v>
      </c>
      <c r="AL72" s="319">
        <f>'Initial unit rates'!AL199</f>
        <v>-2.1838240297089632E-3</v>
      </c>
      <c r="AM72" s="319">
        <f>'Initial unit rates'!AM199</f>
        <v>0</v>
      </c>
      <c r="AN72" s="319">
        <f>'Initial unit rates'!AN199</f>
        <v>0</v>
      </c>
      <c r="AO72" s="319">
        <f>'Initial unit rates'!AO199</f>
        <v>-2.1608803197502263E-3</v>
      </c>
      <c r="AP72" s="319">
        <f>'Initial unit rates'!AP199</f>
        <v>-2.1608803197502263E-3</v>
      </c>
      <c r="AQ72" s="304"/>
      <c r="AR72" s="304"/>
    </row>
    <row r="73" spans="3:44" x14ac:dyDescent="0.25">
      <c r="D73"/>
      <c r="F73" t="s">
        <v>234</v>
      </c>
      <c r="G73" t="s">
        <v>328</v>
      </c>
      <c r="H73" s="304"/>
      <c r="I73" s="304"/>
      <c r="J73" s="319">
        <f>'Initial unit rates'!J200</f>
        <v>0</v>
      </c>
      <c r="K73" s="319">
        <f>'Initial unit rates'!K200</f>
        <v>9.9398248735988251E-3</v>
      </c>
      <c r="L73" s="319">
        <f>'Initial unit rates'!L200</f>
        <v>0</v>
      </c>
      <c r="M73" s="319">
        <f>'Initial unit rates'!M200</f>
        <v>0</v>
      </c>
      <c r="N73" s="319">
        <f>'Initial unit rates'!N200</f>
        <v>9.0638253920967242E-3</v>
      </c>
      <c r="O73" s="319">
        <f>'Initial unit rates'!O200</f>
        <v>0</v>
      </c>
      <c r="P73" s="319">
        <f>'Initial unit rates'!P200</f>
        <v>8.2295395854462498E-3</v>
      </c>
      <c r="Q73" s="319">
        <f>'Initial unit rates'!Q200</f>
        <v>6.2275171876717064E-3</v>
      </c>
      <c r="R73" s="319">
        <f>'Initial unit rates'!R200</f>
        <v>8.4230979758644405E-3</v>
      </c>
      <c r="S73" s="319">
        <f>'Initial unit rates'!S200</f>
        <v>0.13634966857119499</v>
      </c>
      <c r="T73" s="319">
        <f>'Initial unit rates'!T200</f>
        <v>0.12677372487117164</v>
      </c>
      <c r="U73" s="319">
        <f>'Initial unit rates'!U200</f>
        <v>0.10601651006438724</v>
      </c>
      <c r="V73" s="319">
        <f>'Initial unit rates'!V200</f>
        <v>0.10088438732583302</v>
      </c>
      <c r="W73" s="319">
        <f>'Initial unit rates'!W200</f>
        <v>8.970902556591448E-2</v>
      </c>
      <c r="X73" s="319">
        <f>'Initial unit rates'!X200</f>
        <v>0</v>
      </c>
      <c r="Y73" s="319">
        <f>'Initial unit rates'!Y200</f>
        <v>0</v>
      </c>
      <c r="Z73" s="319">
        <f>'Initial unit rates'!Z200</f>
        <v>0</v>
      </c>
      <c r="AA73" s="319">
        <f>'Initial unit rates'!AA200</f>
        <v>0</v>
      </c>
      <c r="AB73" s="319">
        <f>'Initial unit rates'!AB200</f>
        <v>9.5979010594394121E-2</v>
      </c>
      <c r="AC73" s="319">
        <f>'Initial unit rates'!AC200</f>
        <v>0</v>
      </c>
      <c r="AD73" s="319">
        <f>'Initial unit rates'!AD200</f>
        <v>0</v>
      </c>
      <c r="AE73" s="319">
        <f>'Initial unit rates'!AE200</f>
        <v>0</v>
      </c>
      <c r="AF73" s="319">
        <f>'Initial unit rates'!AF200</f>
        <v>0</v>
      </c>
      <c r="AG73" s="319">
        <f>'Initial unit rates'!AG200</f>
        <v>-8.9665393615549011E-2</v>
      </c>
      <c r="AH73" s="319">
        <f>'Initial unit rates'!AH200</f>
        <v>-8.9665393615549011E-2</v>
      </c>
      <c r="AI73" s="319">
        <f>'Initial unit rates'!AI200</f>
        <v>0</v>
      </c>
      <c r="AJ73" s="319">
        <f>'Initial unit rates'!AJ200</f>
        <v>0</v>
      </c>
      <c r="AK73" s="319">
        <f>'Initial unit rates'!AK200</f>
        <v>-8.7086889717513744E-2</v>
      </c>
      <c r="AL73" s="319">
        <f>'Initial unit rates'!AL200</f>
        <v>-8.7086889717513744E-2</v>
      </c>
      <c r="AM73" s="319">
        <f>'Initial unit rates'!AM200</f>
        <v>0</v>
      </c>
      <c r="AN73" s="319">
        <f>'Initial unit rates'!AN200</f>
        <v>0</v>
      </c>
      <c r="AO73" s="319">
        <f>'Initial unit rates'!AO200</f>
        <v>0</v>
      </c>
      <c r="AP73" s="319">
        <f>'Initial unit rates'!AP200</f>
        <v>0</v>
      </c>
      <c r="AQ73" s="304"/>
      <c r="AR73" s="304"/>
    </row>
    <row r="74" spans="3:44" x14ac:dyDescent="0.25">
      <c r="D74"/>
      <c r="F74" t="s">
        <v>235</v>
      </c>
      <c r="G74" t="s">
        <v>328</v>
      </c>
      <c r="H74" s="304"/>
      <c r="I74" s="304"/>
      <c r="J74" s="319">
        <f>'Initial unit rates'!J201</f>
        <v>0</v>
      </c>
      <c r="K74" s="319">
        <f>'Initial unit rates'!K201</f>
        <v>4.5499761226272719E-3</v>
      </c>
      <c r="L74" s="319">
        <f>'Initial unit rates'!L201</f>
        <v>0</v>
      </c>
      <c r="M74" s="319">
        <f>'Initial unit rates'!M201</f>
        <v>0</v>
      </c>
      <c r="N74" s="319">
        <f>'Initial unit rates'!N201</f>
        <v>4.1489854839637033E-3</v>
      </c>
      <c r="O74" s="319">
        <f>'Initial unit rates'!O201</f>
        <v>0</v>
      </c>
      <c r="P74" s="319">
        <f>'Initial unit rates'!P201</f>
        <v>3.7670893692958278E-3</v>
      </c>
      <c r="Q74" s="319">
        <f>'Initial unit rates'!Q201</f>
        <v>2.8506593292622253E-3</v>
      </c>
      <c r="R74" s="319">
        <f>'Initial unit rates'!R201</f>
        <v>0</v>
      </c>
      <c r="S74" s="319">
        <f>'Initial unit rates'!S201</f>
        <v>6.2414352789543784E-2</v>
      </c>
      <c r="T74" s="319">
        <f>'Initial unit rates'!T201</f>
        <v>5.8030944053394269E-2</v>
      </c>
      <c r="U74" s="319">
        <f>'Initial unit rates'!U201</f>
        <v>4.852928452275513E-2</v>
      </c>
      <c r="V74" s="319">
        <f>'Initial unit rates'!V201</f>
        <v>4.6180044348430038E-2</v>
      </c>
      <c r="W74" s="319">
        <f>'Initial unit rates'!W201</f>
        <v>0</v>
      </c>
      <c r="X74" s="319">
        <f>'Initial unit rates'!X201</f>
        <v>0</v>
      </c>
      <c r="Y74" s="319">
        <f>'Initial unit rates'!Y201</f>
        <v>0</v>
      </c>
      <c r="Z74" s="319">
        <f>'Initial unit rates'!Z201</f>
        <v>0</v>
      </c>
      <c r="AA74" s="319">
        <f>'Initial unit rates'!AA201</f>
        <v>0</v>
      </c>
      <c r="AB74" s="319">
        <f>'Initial unit rates'!AB201</f>
        <v>4.3934597644452296E-2</v>
      </c>
      <c r="AC74" s="319">
        <f>'Initial unit rates'!AC201</f>
        <v>0</v>
      </c>
      <c r="AD74" s="319">
        <f>'Initial unit rates'!AD201</f>
        <v>0</v>
      </c>
      <c r="AE74" s="319">
        <f>'Initial unit rates'!AE201</f>
        <v>0</v>
      </c>
      <c r="AF74" s="319">
        <f>'Initial unit rates'!AF201</f>
        <v>0</v>
      </c>
      <c r="AG74" s="319">
        <f>'Initial unit rates'!AG201</f>
        <v>-4.1044525951392526E-2</v>
      </c>
      <c r="AH74" s="319">
        <f>'Initial unit rates'!AH201</f>
        <v>-4.1044525951392526E-2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236</v>
      </c>
      <c r="G75" t="s">
        <v>328</v>
      </c>
      <c r="H75" s="304"/>
      <c r="I75" s="304"/>
      <c r="J75" s="319">
        <f>'Initial unit rates'!J202</f>
        <v>0</v>
      </c>
      <c r="K75" s="319">
        <f>'Initial unit rates'!K202</f>
        <v>9.0690423983107449E-3</v>
      </c>
      <c r="L75" s="319">
        <f>'Initial unit rates'!L202</f>
        <v>0</v>
      </c>
      <c r="M75" s="319">
        <f>'Initial unit rates'!M202</f>
        <v>0</v>
      </c>
      <c r="N75" s="319">
        <f>'Initial unit rates'!N202</f>
        <v>8.2697852142388107E-3</v>
      </c>
      <c r="O75" s="319">
        <f>'Initial unit rates'!O202</f>
        <v>0</v>
      </c>
      <c r="P75" s="319">
        <f>'Initial unit rates'!P202</f>
        <v>7.5085873612546448E-3</v>
      </c>
      <c r="Q75" s="319">
        <f>'Initial unit rates'!Q202</f>
        <v>0</v>
      </c>
      <c r="R75" s="319">
        <f>'Initial unit rates'!R202</f>
        <v>0</v>
      </c>
      <c r="S75" s="319">
        <f>'Initial unit rates'!S202</f>
        <v>0.12440469937777435</v>
      </c>
      <c r="T75" s="319">
        <f>'Initial unit rates'!T202</f>
        <v>0.11566766019210252</v>
      </c>
      <c r="U75" s="319">
        <f>'Initial unit rates'!U202</f>
        <v>9.672888978644105E-2</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8.7570729615211521E-2</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437</v>
      </c>
      <c r="G76" s="23" t="s">
        <v>328</v>
      </c>
      <c r="H76" s="302"/>
      <c r="I76" s="302" t="s">
        <v>191</v>
      </c>
      <c r="J76" s="320"/>
      <c r="K76" s="320"/>
      <c r="L76" s="320"/>
      <c r="M76" s="320"/>
      <c r="N76" s="320"/>
      <c r="O76" s="320"/>
      <c r="P76" s="320"/>
      <c r="Q76" s="320"/>
      <c r="R76" s="320"/>
      <c r="S76" s="320"/>
      <c r="T76" s="320"/>
      <c r="U76" s="320"/>
      <c r="V76" s="320"/>
      <c r="W76" s="320"/>
      <c r="X76" s="320"/>
      <c r="Y76" s="320"/>
      <c r="Z76" s="320"/>
      <c r="AA76" s="320"/>
      <c r="AB76" s="318">
        <f>'Service model charges'!$AB$44</f>
        <v>0.70225428447889948</v>
      </c>
      <c r="AC76" s="320"/>
      <c r="AD76" s="320"/>
      <c r="AE76" s="320"/>
      <c r="AF76" s="320"/>
      <c r="AG76" s="320"/>
      <c r="AH76" s="320"/>
      <c r="AI76" s="320"/>
      <c r="AJ76" s="320"/>
      <c r="AK76" s="320"/>
      <c r="AL76" s="320"/>
      <c r="AM76" s="320"/>
      <c r="AN76" s="320"/>
      <c r="AO76" s="320"/>
      <c r="AP76" s="320"/>
      <c r="AQ76" s="304"/>
      <c r="AR76" s="304" t="s">
        <v>780</v>
      </c>
    </row>
    <row r="77" spans="3:44" x14ac:dyDescent="0.25">
      <c r="D77"/>
      <c r="F77" s="37" t="s">
        <v>438</v>
      </c>
      <c r="G77" s="37" t="s">
        <v>328</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734</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226</v>
      </c>
      <c r="G82" s="23" t="s">
        <v>328</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228</v>
      </c>
      <c r="G83" t="s">
        <v>328</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229</v>
      </c>
      <c r="G84" t="s">
        <v>328</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2.574405804486968E-3</v>
      </c>
      <c r="T84" s="319">
        <f>'Initial unit rates'!T212</f>
        <v>2.3939198681731367E-3</v>
      </c>
      <c r="U84" s="319">
        <f>'Initial unit rates'!U212</f>
        <v>2.0018393752045138E-3</v>
      </c>
      <c r="V84" s="319">
        <f>'Initial unit rates'!V212</f>
        <v>1.9049329087477262E-3</v>
      </c>
      <c r="W84" s="319">
        <f>'Initial unit rates'!W212</f>
        <v>1.6939159719557776E-3</v>
      </c>
      <c r="X84" s="319">
        <f>'Initial unit rates'!X212</f>
        <v>0</v>
      </c>
      <c r="Y84" s="319">
        <f>'Initial unit rates'!Y212</f>
        <v>0</v>
      </c>
      <c r="Z84" s="319">
        <f>'Initial unit rates'!Z212</f>
        <v>0</v>
      </c>
      <c r="AA84" s="319">
        <f>'Initial unit rates'!AA212</f>
        <v>0</v>
      </c>
      <c r="AB84" s="319">
        <f>'Initial unit rates'!AB212</f>
        <v>2.0317386068260234E-3</v>
      </c>
      <c r="AC84" s="319">
        <f>'Initial unit rates'!AC212</f>
        <v>0</v>
      </c>
      <c r="AD84" s="319">
        <f>'Initial unit rates'!AD212</f>
        <v>0</v>
      </c>
      <c r="AE84" s="319">
        <f>'Initial unit rates'!AE212</f>
        <v>0</v>
      </c>
      <c r="AF84" s="319">
        <f>'Initial unit rates'!AF212</f>
        <v>0</v>
      </c>
      <c r="AG84" s="319">
        <f>'Initial unit rates'!AG212</f>
        <v>-1.6930920988042701E-3</v>
      </c>
      <c r="AH84" s="319">
        <f>'Initial unit rates'!AH212</f>
        <v>-1.6930920988042701E-3</v>
      </c>
      <c r="AI84" s="319">
        <f>'Initial unit rates'!AI212</f>
        <v>0</v>
      </c>
      <c r="AJ84" s="319">
        <f>'Initial unit rates'!AJ212</f>
        <v>0</v>
      </c>
      <c r="AK84" s="319">
        <f>'Initial unit rates'!AK212</f>
        <v>-1.6444039215659284E-3</v>
      </c>
      <c r="AL84" s="319">
        <f>'Initial unit rates'!AL212</f>
        <v>-1.6444039215659284E-3</v>
      </c>
      <c r="AM84" s="319">
        <f>'Initial unit rates'!AM212</f>
        <v>0</v>
      </c>
      <c r="AN84" s="319">
        <f>'Initial unit rates'!AN212</f>
        <v>0</v>
      </c>
      <c r="AO84" s="319">
        <f>'Initial unit rates'!AO212</f>
        <v>-1.6271274715781295E-3</v>
      </c>
      <c r="AP84" s="319">
        <f>'Initial unit rates'!AP212</f>
        <v>-1.6271274715781295E-3</v>
      </c>
      <c r="AQ84" s="304"/>
      <c r="AR84" s="304"/>
    </row>
    <row r="85" spans="4:44" x14ac:dyDescent="0.25">
      <c r="D85"/>
      <c r="F85" t="s">
        <v>230</v>
      </c>
      <c r="G85" t="s">
        <v>328</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1.345103011144653E-3</v>
      </c>
      <c r="T85" s="319">
        <f>'Initial unit rates'!T213</f>
        <v>1.2508007935292849E-3</v>
      </c>
      <c r="U85" s="319">
        <f>'Initial unit rates'!U213</f>
        <v>1.0459423944439575E-3</v>
      </c>
      <c r="V85" s="319">
        <f>'Initial unit rates'!V213</f>
        <v>9.9530966995148382E-4</v>
      </c>
      <c r="W85" s="319">
        <f>'Initial unit rates'!W213</f>
        <v>8.8505528947010743E-4</v>
      </c>
      <c r="X85" s="319">
        <f>'Initial unit rates'!X213</f>
        <v>0</v>
      </c>
      <c r="Y85" s="319">
        <f>'Initial unit rates'!Y213</f>
        <v>0</v>
      </c>
      <c r="Z85" s="319">
        <f>'Initial unit rates'!Z213</f>
        <v>0</v>
      </c>
      <c r="AA85" s="319">
        <f>'Initial unit rates'!AA213</f>
        <v>0</v>
      </c>
      <c r="AB85" s="319">
        <f>'Initial unit rates'!AB213</f>
        <v>1.0615644639774041E-3</v>
      </c>
      <c r="AC85" s="319">
        <f>'Initial unit rates'!AC213</f>
        <v>0</v>
      </c>
      <c r="AD85" s="319">
        <f>'Initial unit rates'!AD213</f>
        <v>0</v>
      </c>
      <c r="AE85" s="319">
        <f>'Initial unit rates'!AE213</f>
        <v>0</v>
      </c>
      <c r="AF85" s="319">
        <f>'Initial unit rates'!AF213</f>
        <v>0</v>
      </c>
      <c r="AG85" s="319">
        <f>'Initial unit rates'!AG213</f>
        <v>-8.8462482343597932E-4</v>
      </c>
      <c r="AH85" s="319">
        <f>'Initial unit rates'!AH213</f>
        <v>-8.8462482343597932E-4</v>
      </c>
      <c r="AI85" s="319">
        <f>'Initial unit rates'!AI213</f>
        <v>0</v>
      </c>
      <c r="AJ85" s="319">
        <f>'Initial unit rates'!AJ213</f>
        <v>0</v>
      </c>
      <c r="AK85" s="319">
        <f>'Initial unit rates'!AK213</f>
        <v>-8.5918570513679969E-4</v>
      </c>
      <c r="AL85" s="319">
        <f>'Initial unit rates'!AL213</f>
        <v>-8.5918570513679969E-4</v>
      </c>
      <c r="AM85" s="319">
        <f>'Initial unit rates'!AM213</f>
        <v>0</v>
      </c>
      <c r="AN85" s="319">
        <f>'Initial unit rates'!AN213</f>
        <v>0</v>
      </c>
      <c r="AO85" s="319">
        <f>'Initial unit rates'!AO213</f>
        <v>-8.5015892122418781E-4</v>
      </c>
      <c r="AP85" s="319">
        <f>'Initial unit rates'!AP213</f>
        <v>-8.5015892122418781E-4</v>
      </c>
      <c r="AQ85" s="304"/>
      <c r="AR85" s="304"/>
    </row>
    <row r="86" spans="4:44" x14ac:dyDescent="0.25">
      <c r="D86"/>
      <c r="F86" t="s">
        <v>231</v>
      </c>
      <c r="G86" t="s">
        <v>328</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4.6738609075090733E-3</v>
      </c>
      <c r="T86" s="319">
        <f>'Initial unit rates'!T214</f>
        <v>4.3456120061288904E-3</v>
      </c>
      <c r="U86" s="319">
        <f>'Initial unit rates'!U214</f>
        <v>3.6340860020627995E-3</v>
      </c>
      <c r="V86" s="319">
        <f>'Initial unit rates'!V214</f>
        <v>3.4581645781853209E-3</v>
      </c>
      <c r="W86" s="319">
        <f>'Initial unit rates'!W214</f>
        <v>2.87391749623187E-3</v>
      </c>
      <c r="X86" s="319">
        <f>'Initial unit rates'!X214</f>
        <v>0</v>
      </c>
      <c r="Y86" s="319">
        <f>'Initial unit rates'!Y214</f>
        <v>0</v>
      </c>
      <c r="Z86" s="319">
        <f>'Initial unit rates'!Z214</f>
        <v>0</v>
      </c>
      <c r="AA86" s="319">
        <f>'Initial unit rates'!AA214</f>
        <v>0</v>
      </c>
      <c r="AB86" s="319">
        <f>'Initial unit rates'!AB214</f>
        <v>3.6883642725644276E-3</v>
      </c>
      <c r="AC86" s="319">
        <f>'Initial unit rates'!AC214</f>
        <v>0</v>
      </c>
      <c r="AD86" s="319">
        <f>'Initial unit rates'!AD214</f>
        <v>0</v>
      </c>
      <c r="AE86" s="319">
        <f>'Initial unit rates'!AE214</f>
        <v>0</v>
      </c>
      <c r="AF86" s="319">
        <f>'Initial unit rates'!AF214</f>
        <v>0</v>
      </c>
      <c r="AG86" s="319">
        <f>'Initial unit rates'!AG214</f>
        <v>-3.0735944015683734E-3</v>
      </c>
      <c r="AH86" s="319">
        <f>'Initial unit rates'!AH214</f>
        <v>-3.0735944015683734E-3</v>
      </c>
      <c r="AI86" s="319">
        <f>'Initial unit rates'!AI214</f>
        <v>0</v>
      </c>
      <c r="AJ86" s="319">
        <f>'Initial unit rates'!AJ214</f>
        <v>0</v>
      </c>
      <c r="AK86" s="319">
        <f>'Initial unit rates'!AK214</f>
        <v>-2.985207178517706E-3</v>
      </c>
      <c r="AL86" s="319">
        <f>'Initial unit rates'!AL214</f>
        <v>-2.985207178517706E-3</v>
      </c>
      <c r="AM86" s="319">
        <f>'Initial unit rates'!AM214</f>
        <v>0</v>
      </c>
      <c r="AN86" s="319">
        <f>'Initial unit rates'!AN214</f>
        <v>0</v>
      </c>
      <c r="AO86" s="319">
        <f>'Initial unit rates'!AO214</f>
        <v>-2.7606033513981132E-3</v>
      </c>
      <c r="AP86" s="319">
        <f>'Initial unit rates'!AP214</f>
        <v>-2.7606033513981132E-3</v>
      </c>
      <c r="AQ86" s="304"/>
      <c r="AR86" s="304"/>
    </row>
    <row r="87" spans="4:44" x14ac:dyDescent="0.25">
      <c r="D87"/>
      <c r="F87" t="s">
        <v>232</v>
      </c>
      <c r="G87" t="s">
        <v>328</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7.5189072692142013E-3</v>
      </c>
      <c r="T87" s="319">
        <f>'Initial unit rates'!T215</f>
        <v>6.9908485401378173E-3</v>
      </c>
      <c r="U87" s="319">
        <f>'Initial unit rates'!U215</f>
        <v>5.8462064230366722E-3</v>
      </c>
      <c r="V87" s="319">
        <f>'Initial unit rates'!V215</f>
        <v>5.5631990980480831E-3</v>
      </c>
      <c r="W87" s="319">
        <f>'Initial unit rates'!W215</f>
        <v>3.207450375773959E-3</v>
      </c>
      <c r="X87" s="319">
        <f>'Initial unit rates'!X215</f>
        <v>0</v>
      </c>
      <c r="Y87" s="319">
        <f>'Initial unit rates'!Y215</f>
        <v>0</v>
      </c>
      <c r="Z87" s="319">
        <f>'Initial unit rates'!Z215</f>
        <v>0</v>
      </c>
      <c r="AA87" s="319">
        <f>'Initial unit rates'!AA215</f>
        <v>0</v>
      </c>
      <c r="AB87" s="319">
        <f>'Initial unit rates'!AB215</f>
        <v>5.9335246575137387E-3</v>
      </c>
      <c r="AC87" s="319">
        <f>'Initial unit rates'!AC215</f>
        <v>0</v>
      </c>
      <c r="AD87" s="319">
        <f>'Initial unit rates'!AD215</f>
        <v>0</v>
      </c>
      <c r="AE87" s="319">
        <f>'Initial unit rates'!AE215</f>
        <v>0</v>
      </c>
      <c r="AF87" s="319">
        <f>'Initial unit rates'!AF215</f>
        <v>0</v>
      </c>
      <c r="AG87" s="319">
        <f>'Initial unit rates'!AG215</f>
        <v>-4.9445355233913007E-3</v>
      </c>
      <c r="AH87" s="319">
        <f>'Initial unit rates'!AH215</f>
        <v>-4.9445355233913007E-3</v>
      </c>
      <c r="AI87" s="319">
        <f>'Initial unit rates'!AI215</f>
        <v>0</v>
      </c>
      <c r="AJ87" s="319">
        <f>'Initial unit rates'!AJ215</f>
        <v>0</v>
      </c>
      <c r="AK87" s="319">
        <f>'Initial unit rates'!AK215</f>
        <v>-4.8023457263364489E-3</v>
      </c>
      <c r="AL87" s="319">
        <f>'Initial unit rates'!AL215</f>
        <v>-4.8023457263364489E-3</v>
      </c>
      <c r="AM87" s="319">
        <f>'Initial unit rates'!AM215</f>
        <v>0</v>
      </c>
      <c r="AN87" s="319">
        <f>'Initial unit rates'!AN215</f>
        <v>0</v>
      </c>
      <c r="AO87" s="319">
        <f>'Initial unit rates'!AO215</f>
        <v>-3.0809855427006102E-3</v>
      </c>
      <c r="AP87" s="319">
        <f>'Initial unit rates'!AP215</f>
        <v>-3.0809855427006102E-3</v>
      </c>
      <c r="AQ87" s="304"/>
      <c r="AR87" s="304"/>
    </row>
    <row r="88" spans="4:44" x14ac:dyDescent="0.25">
      <c r="D88"/>
      <c r="F88" t="s">
        <v>233</v>
      </c>
      <c r="G88" t="s">
        <v>328</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2.2510123868229817E-4</v>
      </c>
      <c r="T88" s="319">
        <f>'Initial unit rates'!T216</f>
        <v>2.0931988526934076E-4</v>
      </c>
      <c r="U88" s="319">
        <f>'Initial unit rates'!U216</f>
        <v>1.7503709874183322E-4</v>
      </c>
      <c r="V88" s="319">
        <f>'Initial unit rates'!V216</f>
        <v>1.6656377818074372E-4</v>
      </c>
      <c r="W88" s="319">
        <f>'Initial unit rates'!W216</f>
        <v>9.6031985104326633E-5</v>
      </c>
      <c r="X88" s="319">
        <f>'Initial unit rates'!X216</f>
        <v>0</v>
      </c>
      <c r="Y88" s="319">
        <f>'Initial unit rates'!Y216</f>
        <v>0</v>
      </c>
      <c r="Z88" s="319">
        <f>'Initial unit rates'!Z216</f>
        <v>0</v>
      </c>
      <c r="AA88" s="319">
        <f>'Initial unit rates'!AA216</f>
        <v>0</v>
      </c>
      <c r="AB88" s="319">
        <f>'Initial unit rates'!AB216</f>
        <v>1.7765143175099604E-4</v>
      </c>
      <c r="AC88" s="319">
        <f>'Initial unit rates'!AC216</f>
        <v>0</v>
      </c>
      <c r="AD88" s="319">
        <f>'Initial unit rates'!AD216</f>
        <v>0</v>
      </c>
      <c r="AE88" s="319">
        <f>'Initial unit rates'!AE216</f>
        <v>0</v>
      </c>
      <c r="AF88" s="319">
        <f>'Initial unit rates'!AF216</f>
        <v>0</v>
      </c>
      <c r="AG88" s="319">
        <f>'Initial unit rates'!AG216</f>
        <v>-1.4804081313823906E-4</v>
      </c>
      <c r="AH88" s="319">
        <f>'Initial unit rates'!AH216</f>
        <v>-1.4804081313823906E-4</v>
      </c>
      <c r="AI88" s="319">
        <f>'Initial unit rates'!AI216</f>
        <v>0</v>
      </c>
      <c r="AJ88" s="319">
        <f>'Initial unit rates'!AJ216</f>
        <v>0</v>
      </c>
      <c r="AK88" s="319">
        <f>'Initial unit rates'!AK216</f>
        <v>-1.4378360979196313E-4</v>
      </c>
      <c r="AL88" s="319">
        <f>'Initial unit rates'!AL216</f>
        <v>-1.4378360979196313E-4</v>
      </c>
      <c r="AM88" s="319">
        <f>'Initial unit rates'!AM216</f>
        <v>0</v>
      </c>
      <c r="AN88" s="319">
        <f>'Initial unit rates'!AN216</f>
        <v>0</v>
      </c>
      <c r="AO88" s="319">
        <f>'Initial unit rates'!AO216</f>
        <v>-9.2245591694267877E-5</v>
      </c>
      <c r="AP88" s="319">
        <f>'Initial unit rates'!AP216</f>
        <v>-9.2245591694267877E-5</v>
      </c>
      <c r="AQ88" s="304"/>
      <c r="AR88" s="304"/>
    </row>
    <row r="89" spans="4:44" x14ac:dyDescent="0.25">
      <c r="D89"/>
      <c r="F89" t="s">
        <v>234</v>
      </c>
      <c r="G89" t="s">
        <v>328</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9.0225924418505452E-3</v>
      </c>
      <c r="T89" s="319">
        <f>'Initial unit rates'!T217</f>
        <v>8.3889287288632028E-3</v>
      </c>
      <c r="U89" s="319">
        <f>'Initial unit rates'!U217</f>
        <v>7.0153728457275511E-3</v>
      </c>
      <c r="V89" s="319">
        <f>'Initial unit rates'!V217</f>
        <v>6.6757676797102221E-3</v>
      </c>
      <c r="W89" s="319">
        <f>'Initial unit rates'!W217</f>
        <v>4.1275127927635083E-3</v>
      </c>
      <c r="X89" s="319">
        <f>'Initial unit rates'!X217</f>
        <v>0</v>
      </c>
      <c r="Y89" s="319">
        <f>'Initial unit rates'!Y217</f>
        <v>0</v>
      </c>
      <c r="Z89" s="319">
        <f>'Initial unit rates'!Z217</f>
        <v>0</v>
      </c>
      <c r="AA89" s="319">
        <f>'Initial unit rates'!AA217</f>
        <v>0</v>
      </c>
      <c r="AB89" s="319">
        <f>'Initial unit rates'!AB217</f>
        <v>7.1201536089714676E-3</v>
      </c>
      <c r="AC89" s="319">
        <f>'Initial unit rates'!AC217</f>
        <v>0</v>
      </c>
      <c r="AD89" s="319">
        <f>'Initial unit rates'!AD217</f>
        <v>0</v>
      </c>
      <c r="AE89" s="319">
        <f>'Initial unit rates'!AE217</f>
        <v>0</v>
      </c>
      <c r="AF89" s="319">
        <f>'Initial unit rates'!AF217</f>
        <v>0</v>
      </c>
      <c r="AG89" s="319">
        <f>'Initial unit rates'!AG217</f>
        <v>-5.9333793122407167E-3</v>
      </c>
      <c r="AH89" s="319">
        <f>'Initial unit rates'!AH217</f>
        <v>-5.9333793122407167E-3</v>
      </c>
      <c r="AI89" s="319">
        <f>'Initial unit rates'!AI217</f>
        <v>0</v>
      </c>
      <c r="AJ89" s="319">
        <f>'Initial unit rates'!AJ217</f>
        <v>0</v>
      </c>
      <c r="AK89" s="319">
        <f>'Initial unit rates'!AK217</f>
        <v>-5.7627533765454821E-3</v>
      </c>
      <c r="AL89" s="319">
        <f>'Initial unit rates'!AL217</f>
        <v>-5.7627533765454821E-3</v>
      </c>
      <c r="AM89" s="319">
        <f>'Initial unit rates'!AM217</f>
        <v>0</v>
      </c>
      <c r="AN89" s="319">
        <f>'Initial unit rates'!AN217</f>
        <v>0</v>
      </c>
      <c r="AO89" s="319">
        <f>'Initial unit rates'!AO217</f>
        <v>0</v>
      </c>
      <c r="AP89" s="319">
        <f>'Initial unit rates'!AP217</f>
        <v>0</v>
      </c>
      <c r="AQ89" s="304"/>
      <c r="AR89" s="304"/>
    </row>
    <row r="90" spans="4:44" x14ac:dyDescent="0.25">
      <c r="D90"/>
      <c r="F90" t="s">
        <v>235</v>
      </c>
      <c r="G90" t="s">
        <v>328</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2.3080326233566851E-3</v>
      </c>
      <c r="T90" s="319">
        <f>'Initial unit rates'!T218</f>
        <v>2.1459376898619229E-3</v>
      </c>
      <c r="U90" s="319">
        <f>'Initial unit rates'!U218</f>
        <v>1.7945739539166055E-3</v>
      </c>
      <c r="V90" s="319">
        <f>'Initial unit rates'!V218</f>
        <v>1.707700939616106E-3</v>
      </c>
      <c r="W90" s="319">
        <f>'Initial unit rates'!W218</f>
        <v>0</v>
      </c>
      <c r="X90" s="319">
        <f>'Initial unit rates'!X218</f>
        <v>0</v>
      </c>
      <c r="Y90" s="319">
        <f>'Initial unit rates'!Y218</f>
        <v>0</v>
      </c>
      <c r="Z90" s="319">
        <f>'Initial unit rates'!Z218</f>
        <v>0</v>
      </c>
      <c r="AA90" s="319">
        <f>'Initial unit rates'!AA218</f>
        <v>0</v>
      </c>
      <c r="AB90" s="319">
        <f>'Initial unit rates'!AB218</f>
        <v>1.8213774941879615E-3</v>
      </c>
      <c r="AC90" s="319">
        <f>'Initial unit rates'!AC218</f>
        <v>0</v>
      </c>
      <c r="AD90" s="319">
        <f>'Initial unit rates'!AD218</f>
        <v>0</v>
      </c>
      <c r="AE90" s="319">
        <f>'Initial unit rates'!AE218</f>
        <v>0</v>
      </c>
      <c r="AF90" s="319">
        <f>'Initial unit rates'!AF218</f>
        <v>0</v>
      </c>
      <c r="AG90" s="319">
        <f>'Initial unit rates'!AG218</f>
        <v>-1.517793595095877E-3</v>
      </c>
      <c r="AH90" s="319">
        <f>'Initial unit rates'!AH218</f>
        <v>-1.517793595095877E-3</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236</v>
      </c>
      <c r="G91" t="s">
        <v>328</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9.6860718238037807E-4</v>
      </c>
      <c r="T91" s="319">
        <f>'Initial unit rates'!T219</f>
        <v>9.0058114357068628E-4</v>
      </c>
      <c r="U91" s="319">
        <f>'Initial unit rates'!U219</f>
        <v>7.531250656883585E-4</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7.643736508934928E-4</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437</v>
      </c>
      <c r="G92" s="23" t="s">
        <v>328</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438</v>
      </c>
      <c r="G93" s="37" t="s">
        <v>328</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735</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226</v>
      </c>
      <c r="G96" s="23" t="s">
        <v>328</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0</v>
      </c>
      <c r="T96" s="318">
        <f>'Initial unit rates'!T222</f>
        <v>0</v>
      </c>
      <c r="U96" s="318">
        <f>'Initial unit rates'!U222</f>
        <v>0</v>
      </c>
      <c r="V96" s="318">
        <f>'Initial unit rates'!V222</f>
        <v>0</v>
      </c>
      <c r="W96" s="318">
        <f>'Initial unit rates'!W222</f>
        <v>0</v>
      </c>
      <c r="X96" s="318">
        <f>'Initial unit rates'!X222</f>
        <v>0</v>
      </c>
      <c r="Y96" s="318">
        <f>'Initial unit rates'!Y222</f>
        <v>0</v>
      </c>
      <c r="Z96" s="318">
        <f>'Initial unit rates'!Z222</f>
        <v>0</v>
      </c>
      <c r="AA96" s="318">
        <f>'Initial unit rates'!AA222</f>
        <v>0</v>
      </c>
      <c r="AB96" s="318">
        <f>'Initial unit rates'!AB222</f>
        <v>0</v>
      </c>
      <c r="AC96" s="318">
        <f>'Initial unit rates'!AC222</f>
        <v>0</v>
      </c>
      <c r="AD96" s="318">
        <f>'Initial unit rates'!AD222</f>
        <v>0</v>
      </c>
      <c r="AE96" s="318">
        <f>'Initial unit rates'!AE222</f>
        <v>0</v>
      </c>
      <c r="AF96" s="318">
        <f>'Initial unit rates'!AF222</f>
        <v>0</v>
      </c>
      <c r="AG96" s="318">
        <f>'Initial unit rates'!AG222</f>
        <v>0</v>
      </c>
      <c r="AH96" s="318">
        <f>'Initial unit rates'!AH222</f>
        <v>0</v>
      </c>
      <c r="AI96" s="318">
        <f>'Initial unit rates'!AI222</f>
        <v>0</v>
      </c>
      <c r="AJ96" s="318">
        <f>'Initial unit rates'!AJ222</f>
        <v>0</v>
      </c>
      <c r="AK96" s="318">
        <f>'Initial unit rates'!AK222</f>
        <v>0</v>
      </c>
      <c r="AL96" s="318">
        <f>'Initial unit rates'!AL222</f>
        <v>0</v>
      </c>
      <c r="AM96" s="318">
        <f>'Initial unit rates'!AM222</f>
        <v>0</v>
      </c>
      <c r="AN96" s="318">
        <f>'Initial unit rates'!AN222</f>
        <v>0</v>
      </c>
      <c r="AO96" s="318">
        <f>'Initial unit rates'!AO222</f>
        <v>0</v>
      </c>
      <c r="AP96" s="318">
        <f>'Initial unit rates'!AP222</f>
        <v>0</v>
      </c>
      <c r="AQ96" s="304"/>
      <c r="AR96" s="304"/>
    </row>
    <row r="97" spans="3:59" x14ac:dyDescent="0.25">
      <c r="D97"/>
      <c r="F97" t="s">
        <v>228</v>
      </c>
      <c r="G97" t="s">
        <v>328</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229</v>
      </c>
      <c r="G98" t="s">
        <v>328</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1.4133141612961771E-3</v>
      </c>
      <c r="T98" s="319">
        <f>'Initial unit rates'!T224</f>
        <v>1.3142298097683215E-3</v>
      </c>
      <c r="U98" s="319">
        <f>'Initial unit rates'!U224</f>
        <v>1.098982892551644E-3</v>
      </c>
      <c r="V98" s="319">
        <f>'Initial unit rates'!V224</f>
        <v>1.0457825458441272E-3</v>
      </c>
      <c r="W98" s="319">
        <f>'Initial unit rates'!W224</f>
        <v>9.2993708569110605E-4</v>
      </c>
      <c r="X98" s="319">
        <f>'Initial unit rates'!X224</f>
        <v>0</v>
      </c>
      <c r="Y98" s="319">
        <f>'Initial unit rates'!Y224</f>
        <v>0</v>
      </c>
      <c r="Z98" s="319">
        <f>'Initial unit rates'!Z224</f>
        <v>0</v>
      </c>
      <c r="AA98" s="319">
        <f>'Initial unit rates'!AA224</f>
        <v>0</v>
      </c>
      <c r="AB98" s="319">
        <f>'Initial unit rates'!AB224</f>
        <v>1.1153971685717275E-3</v>
      </c>
      <c r="AC98" s="319">
        <f>'Initial unit rates'!AC224</f>
        <v>0</v>
      </c>
      <c r="AD98" s="319">
        <f>'Initial unit rates'!AD224</f>
        <v>0</v>
      </c>
      <c r="AE98" s="319">
        <f>'Initial unit rates'!AE224</f>
        <v>0</v>
      </c>
      <c r="AF98" s="319">
        <f>'Initial unit rates'!AF224</f>
        <v>0</v>
      </c>
      <c r="AG98" s="319">
        <f>'Initial unit rates'!AG224</f>
        <v>-9.2948479041189734E-4</v>
      </c>
      <c r="AH98" s="319">
        <f>'Initial unit rates'!AH224</f>
        <v>-9.2948479041189734E-4</v>
      </c>
      <c r="AI98" s="319">
        <f>'Initial unit rates'!AI224</f>
        <v>0</v>
      </c>
      <c r="AJ98" s="319">
        <f>'Initial unit rates'!AJ224</f>
        <v>0</v>
      </c>
      <c r="AK98" s="319">
        <f>'Initial unit rates'!AK224</f>
        <v>-9.0275563595663868E-4</v>
      </c>
      <c r="AL98" s="319">
        <f>'Initial unit rates'!AL224</f>
        <v>-9.0275563595663868E-4</v>
      </c>
      <c r="AM98" s="319">
        <f>'Initial unit rates'!AM224</f>
        <v>0</v>
      </c>
      <c r="AN98" s="319">
        <f>'Initial unit rates'!AN224</f>
        <v>0</v>
      </c>
      <c r="AO98" s="319">
        <f>'Initial unit rates'!AO224</f>
        <v>-8.9327109727896598E-4</v>
      </c>
      <c r="AP98" s="319">
        <f>'Initial unit rates'!AP224</f>
        <v>-8.9327109727896598E-4</v>
      </c>
      <c r="AQ98" s="304"/>
      <c r="AR98" s="304"/>
    </row>
    <row r="99" spans="3:59" x14ac:dyDescent="0.25">
      <c r="D99"/>
      <c r="F99" t="s">
        <v>230</v>
      </c>
      <c r="G99" t="s">
        <v>328</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7.3844346168715712E-4</v>
      </c>
      <c r="T99" s="319">
        <f>'Initial unit rates'!T225</f>
        <v>6.8667281256682799E-4</v>
      </c>
      <c r="U99" s="319">
        <f>'Initial unit rates'!U225</f>
        <v>5.7420830678334503E-4</v>
      </c>
      <c r="V99" s="319">
        <f>'Initial unit rates'!V225</f>
        <v>5.4641162203943321E-4</v>
      </c>
      <c r="W99" s="319">
        <f>'Initial unit rates'!W225</f>
        <v>4.8588345005983369E-4</v>
      </c>
      <c r="X99" s="319">
        <f>'Initial unit rates'!X225</f>
        <v>0</v>
      </c>
      <c r="Y99" s="319">
        <f>'Initial unit rates'!Y225</f>
        <v>0</v>
      </c>
      <c r="Z99" s="319">
        <f>'Initial unit rates'!Z225</f>
        <v>0</v>
      </c>
      <c r="AA99" s="319">
        <f>'Initial unit rates'!AA225</f>
        <v>0</v>
      </c>
      <c r="AB99" s="319">
        <f>'Initial unit rates'!AB225</f>
        <v>5.8278461284274404E-4</v>
      </c>
      <c r="AC99" s="319">
        <f>'Initial unit rates'!AC225</f>
        <v>0</v>
      </c>
      <c r="AD99" s="319">
        <f>'Initial unit rates'!AD225</f>
        <v>0</v>
      </c>
      <c r="AE99" s="319">
        <f>'Initial unit rates'!AE225</f>
        <v>0</v>
      </c>
      <c r="AF99" s="319">
        <f>'Initial unit rates'!AF225</f>
        <v>0</v>
      </c>
      <c r="AG99" s="319">
        <f>'Initial unit rates'!AG225</f>
        <v>-4.8564712999680018E-4</v>
      </c>
      <c r="AH99" s="319">
        <f>'Initial unit rates'!AH225</f>
        <v>-4.8564712999680018E-4</v>
      </c>
      <c r="AI99" s="319">
        <f>'Initial unit rates'!AI225</f>
        <v>0</v>
      </c>
      <c r="AJ99" s="319">
        <f>'Initial unit rates'!AJ225</f>
        <v>0</v>
      </c>
      <c r="AK99" s="319">
        <f>'Initial unit rates'!AK225</f>
        <v>-4.7168139620282906E-4</v>
      </c>
      <c r="AL99" s="319">
        <f>'Initial unit rates'!AL225</f>
        <v>-4.7168139620282906E-4</v>
      </c>
      <c r="AM99" s="319">
        <f>'Initial unit rates'!AM225</f>
        <v>0</v>
      </c>
      <c r="AN99" s="319">
        <f>'Initial unit rates'!AN225</f>
        <v>0</v>
      </c>
      <c r="AO99" s="319">
        <f>'Initial unit rates'!AO225</f>
        <v>-4.6672581324367805E-4</v>
      </c>
      <c r="AP99" s="319">
        <f>'Initial unit rates'!AP225</f>
        <v>-4.6672581324367805E-4</v>
      </c>
      <c r="AQ99" s="304"/>
      <c r="AR99" s="304"/>
    </row>
    <row r="100" spans="3:59" x14ac:dyDescent="0.25">
      <c r="D100"/>
      <c r="F100" t="s">
        <v>231</v>
      </c>
      <c r="G100" t="s">
        <v>328</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2.5658867755029608E-3</v>
      </c>
      <c r="T100" s="319">
        <f>'Initial unit rates'!T226</f>
        <v>2.3856825435431225E-3</v>
      </c>
      <c r="U100" s="319">
        <f>'Initial unit rates'!U226</f>
        <v>1.9950643372275544E-3</v>
      </c>
      <c r="V100" s="319">
        <f>'Initial unit rates'!V226</f>
        <v>1.8984858416352577E-3</v>
      </c>
      <c r="W100" s="319">
        <f>'Initial unit rates'!W226</f>
        <v>1.6881830719129829E-3</v>
      </c>
      <c r="X100" s="319">
        <f>'Initial unit rates'!X226</f>
        <v>0</v>
      </c>
      <c r="Y100" s="319">
        <f>'Initial unit rates'!Y226</f>
        <v>0</v>
      </c>
      <c r="Z100" s="319">
        <f>'Initial unit rates'!Z226</f>
        <v>0</v>
      </c>
      <c r="AA100" s="319">
        <f>'Initial unit rates'!AA226</f>
        <v>0</v>
      </c>
      <c r="AB100" s="319">
        <f>'Initial unit rates'!AB226</f>
        <v>2.0248623776984516E-3</v>
      </c>
      <c r="AC100" s="319">
        <f>'Initial unit rates'!AC226</f>
        <v>0</v>
      </c>
      <c r="AD100" s="319">
        <f>'Initial unit rates'!AD226</f>
        <v>0</v>
      </c>
      <c r="AE100" s="319">
        <f>'Initial unit rates'!AE226</f>
        <v>0</v>
      </c>
      <c r="AF100" s="319">
        <f>'Initial unit rates'!AF226</f>
        <v>0</v>
      </c>
      <c r="AG100" s="319">
        <f>'Initial unit rates'!AG226</f>
        <v>-1.6873619870830352E-3</v>
      </c>
      <c r="AH100" s="319">
        <f>'Initial unit rates'!AH226</f>
        <v>-1.6873619870830352E-3</v>
      </c>
      <c r="AI100" s="319">
        <f>'Initial unit rates'!AI226</f>
        <v>0</v>
      </c>
      <c r="AJ100" s="319">
        <f>'Initial unit rates'!AJ226</f>
        <v>0</v>
      </c>
      <c r="AK100" s="319">
        <f>'Initial unit rates'!AK226</f>
        <v>-1.6388385904229478E-3</v>
      </c>
      <c r="AL100" s="319">
        <f>'Initial unit rates'!AL226</f>
        <v>-1.6388385904229478E-3</v>
      </c>
      <c r="AM100" s="319">
        <f>'Initial unit rates'!AM226</f>
        <v>0</v>
      </c>
      <c r="AN100" s="319">
        <f>'Initial unit rates'!AN226</f>
        <v>0</v>
      </c>
      <c r="AO100" s="319">
        <f>'Initial unit rates'!AO226</f>
        <v>-1.621620610962917E-3</v>
      </c>
      <c r="AP100" s="319">
        <f>'Initial unit rates'!AP226</f>
        <v>-1.621620610962917E-3</v>
      </c>
      <c r="AQ100" s="304"/>
      <c r="AR100" s="304"/>
    </row>
    <row r="101" spans="3:59" x14ac:dyDescent="0.25">
      <c r="D101"/>
      <c r="F101" t="s">
        <v>232</v>
      </c>
      <c r="G101" t="s">
        <v>328</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4.1277789626375074E-3</v>
      </c>
      <c r="T101" s="319">
        <f>'Initial unit rates'!T227</f>
        <v>3.837881822684297E-3</v>
      </c>
      <c r="U101" s="319">
        <f>'Initial unit rates'!U227</f>
        <v>3.2094886956584401E-3</v>
      </c>
      <c r="V101" s="319">
        <f>'Initial unit rates'!V227</f>
        <v>3.0541214806452531E-3</v>
      </c>
      <c r="W101" s="319">
        <f>'Initial unit rates'!W227</f>
        <v>2.7158043900659757E-3</v>
      </c>
      <c r="X101" s="319">
        <f>'Initial unit rates'!X227</f>
        <v>0</v>
      </c>
      <c r="Y101" s="319">
        <f>'Initial unit rates'!Y227</f>
        <v>0</v>
      </c>
      <c r="Z101" s="319">
        <f>'Initial unit rates'!Z227</f>
        <v>0</v>
      </c>
      <c r="AA101" s="319">
        <f>'Initial unit rates'!AA227</f>
        <v>0</v>
      </c>
      <c r="AB101" s="319">
        <f>'Initial unit rates'!AB227</f>
        <v>3.2574252319693543E-3</v>
      </c>
      <c r="AC101" s="319">
        <f>'Initial unit rates'!AC227</f>
        <v>0</v>
      </c>
      <c r="AD101" s="319">
        <f>'Initial unit rates'!AD227</f>
        <v>0</v>
      </c>
      <c r="AE101" s="319">
        <f>'Initial unit rates'!AE227</f>
        <v>0</v>
      </c>
      <c r="AF101" s="319">
        <f>'Initial unit rates'!AF227</f>
        <v>0</v>
      </c>
      <c r="AG101" s="319">
        <f>'Initial unit rates'!AG227</f>
        <v>-2.71448349908982E-3</v>
      </c>
      <c r="AH101" s="319">
        <f>'Initial unit rates'!AH227</f>
        <v>-2.71448349908982E-3</v>
      </c>
      <c r="AI101" s="319">
        <f>'Initial unit rates'!AI227</f>
        <v>0</v>
      </c>
      <c r="AJ101" s="319">
        <f>'Initial unit rates'!AJ227</f>
        <v>0</v>
      </c>
      <c r="AK101" s="319">
        <f>'Initial unit rates'!AK227</f>
        <v>-2.6364232129378862E-3</v>
      </c>
      <c r="AL101" s="319">
        <f>'Initial unit rates'!AL227</f>
        <v>-2.6364232129378862E-3</v>
      </c>
      <c r="AM101" s="319">
        <f>'Initial unit rates'!AM227</f>
        <v>0</v>
      </c>
      <c r="AN101" s="319">
        <f>'Initial unit rates'!AN227</f>
        <v>0</v>
      </c>
      <c r="AO101" s="319">
        <f>'Initial unit rates'!AO227</f>
        <v>-2.6087244017226848E-3</v>
      </c>
      <c r="AP101" s="319">
        <f>'Initial unit rates'!AP227</f>
        <v>-2.6087244017226848E-3</v>
      </c>
      <c r="AQ101" s="304"/>
      <c r="AR101" s="304"/>
    </row>
    <row r="102" spans="3:59" x14ac:dyDescent="0.25">
      <c r="D102"/>
      <c r="F102" t="s">
        <v>233</v>
      </c>
      <c r="G102" t="s">
        <v>328</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1.2357755245910118E-4</v>
      </c>
      <c r="T102" s="319">
        <f>'Initial unit rates'!T228</f>
        <v>1.1491380169219467E-4</v>
      </c>
      <c r="U102" s="319">
        <f>'Initial unit rates'!U228</f>
        <v>9.6093012986866278E-5</v>
      </c>
      <c r="V102" s="319">
        <f>'Initial unit rates'!V228</f>
        <v>9.1441273963703077E-5</v>
      </c>
      <c r="W102" s="319">
        <f>'Initial unit rates'!W228</f>
        <v>8.1311963141486983E-5</v>
      </c>
      <c r="X102" s="319">
        <f>'Initial unit rates'!X228</f>
        <v>0</v>
      </c>
      <c r="Y102" s="319">
        <f>'Initial unit rates'!Y228</f>
        <v>0</v>
      </c>
      <c r="Z102" s="319">
        <f>'Initial unit rates'!Z228</f>
        <v>0</v>
      </c>
      <c r="AA102" s="319">
        <f>'Initial unit rates'!AA228</f>
        <v>0</v>
      </c>
      <c r="AB102" s="319">
        <f>'Initial unit rates'!AB228</f>
        <v>9.7528246646514646E-5</v>
      </c>
      <c r="AC102" s="319">
        <f>'Initial unit rates'!AC228</f>
        <v>0</v>
      </c>
      <c r="AD102" s="319">
        <f>'Initial unit rates'!AD228</f>
        <v>0</v>
      </c>
      <c r="AE102" s="319">
        <f>'Initial unit rates'!AE228</f>
        <v>0</v>
      </c>
      <c r="AF102" s="319">
        <f>'Initial unit rates'!AF228</f>
        <v>0</v>
      </c>
      <c r="AG102" s="319">
        <f>'Initial unit rates'!AG228</f>
        <v>-8.127241528643529E-5</v>
      </c>
      <c r="AH102" s="319">
        <f>'Initial unit rates'!AH228</f>
        <v>-8.127241528643529E-5</v>
      </c>
      <c r="AI102" s="319">
        <f>'Initial unit rates'!AI228</f>
        <v>0</v>
      </c>
      <c r="AJ102" s="319">
        <f>'Initial unit rates'!AJ228</f>
        <v>0</v>
      </c>
      <c r="AK102" s="319">
        <f>'Initial unit rates'!AK228</f>
        <v>-7.8935267908068386E-5</v>
      </c>
      <c r="AL102" s="319">
        <f>'Initial unit rates'!AL228</f>
        <v>-7.8935267908068386E-5</v>
      </c>
      <c r="AM102" s="319">
        <f>'Initial unit rates'!AM228</f>
        <v>0</v>
      </c>
      <c r="AN102" s="319">
        <f>'Initial unit rates'!AN228</f>
        <v>0</v>
      </c>
      <c r="AO102" s="319">
        <f>'Initial unit rates'!AO228</f>
        <v>-7.8105957548002734E-5</v>
      </c>
      <c r="AP102" s="319">
        <f>'Initial unit rates'!AP228</f>
        <v>-7.8105957548002734E-5</v>
      </c>
      <c r="AQ102" s="304"/>
      <c r="AR102" s="304"/>
    </row>
    <row r="103" spans="3:59" x14ac:dyDescent="0.25">
      <c r="D103"/>
      <c r="F103" t="s">
        <v>234</v>
      </c>
      <c r="G103" t="s">
        <v>328</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9.509696013282741E-3</v>
      </c>
      <c r="T103" s="319">
        <f>'Initial unit rates'!T229</f>
        <v>8.8418226360916369E-3</v>
      </c>
      <c r="U103" s="319">
        <f>'Initial unit rates'!U229</f>
        <v>7.3941124585501228E-3</v>
      </c>
      <c r="V103" s="319">
        <f>'Initial unit rates'!V229</f>
        <v>7.0361729955654862E-3</v>
      </c>
      <c r="W103" s="319">
        <f>'Initial unit rates'!W229</f>
        <v>6.2567483421069508E-3</v>
      </c>
      <c r="X103" s="319">
        <f>'Initial unit rates'!X229</f>
        <v>0</v>
      </c>
      <c r="Y103" s="319">
        <f>'Initial unit rates'!Y229</f>
        <v>0</v>
      </c>
      <c r="Z103" s="319">
        <f>'Initial unit rates'!Z229</f>
        <v>0</v>
      </c>
      <c r="AA103" s="319">
        <f>'Initial unit rates'!AA229</f>
        <v>0</v>
      </c>
      <c r="AB103" s="319">
        <f>'Initial unit rates'!AB229</f>
        <v>7.5045500310007554E-3</v>
      </c>
      <c r="AC103" s="319">
        <f>'Initial unit rates'!AC229</f>
        <v>0</v>
      </c>
      <c r="AD103" s="319">
        <f>'Initial unit rates'!AD229</f>
        <v>0</v>
      </c>
      <c r="AE103" s="319">
        <f>'Initial unit rates'!AE229</f>
        <v>0</v>
      </c>
      <c r="AF103" s="319">
        <f>'Initial unit rates'!AF229</f>
        <v>0</v>
      </c>
      <c r="AG103" s="319">
        <f>'Initial unit rates'!AG229</f>
        <v>-6.2537052354475044E-3</v>
      </c>
      <c r="AH103" s="319">
        <f>'Initial unit rates'!AH229</f>
        <v>-6.2537052354475044E-3</v>
      </c>
      <c r="AI103" s="319">
        <f>'Initial unit rates'!AI229</f>
        <v>0</v>
      </c>
      <c r="AJ103" s="319">
        <f>'Initial unit rates'!AJ229</f>
        <v>0</v>
      </c>
      <c r="AK103" s="319">
        <f>'Initial unit rates'!AK229</f>
        <v>-6.0738677008474367E-3</v>
      </c>
      <c r="AL103" s="319">
        <f>'Initial unit rates'!AL229</f>
        <v>-6.0738677008474367E-3</v>
      </c>
      <c r="AM103" s="319">
        <f>'Initial unit rates'!AM229</f>
        <v>0</v>
      </c>
      <c r="AN103" s="319">
        <f>'Initial unit rates'!AN229</f>
        <v>0</v>
      </c>
      <c r="AO103" s="319">
        <f>'Initial unit rates'!AO229</f>
        <v>0</v>
      </c>
      <c r="AP103" s="319">
        <f>'Initial unit rates'!AP229</f>
        <v>0</v>
      </c>
      <c r="AQ103" s="304"/>
      <c r="AR103" s="304"/>
    </row>
    <row r="104" spans="3:59" x14ac:dyDescent="0.25">
      <c r="D104"/>
      <c r="F104" t="s">
        <v>235</v>
      </c>
      <c r="G104" t="s">
        <v>328</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4.3530837156705608E-3</v>
      </c>
      <c r="T104" s="319">
        <f>'Initial unit rates'!T230</f>
        <v>4.0473632469700165E-3</v>
      </c>
      <c r="U104" s="319">
        <f>'Initial unit rates'!U230</f>
        <v>3.3846708128412993E-3</v>
      </c>
      <c r="V104" s="319">
        <f>'Initial unit rates'!V230</f>
        <v>3.2208232571110276E-3</v>
      </c>
      <c r="W104" s="319">
        <f>'Initial unit rates'!W230</f>
        <v>0</v>
      </c>
      <c r="X104" s="319">
        <f>'Initial unit rates'!X230</f>
        <v>0</v>
      </c>
      <c r="Y104" s="319">
        <f>'Initial unit rates'!Y230</f>
        <v>0</v>
      </c>
      <c r="Z104" s="319">
        <f>'Initial unit rates'!Z230</f>
        <v>0</v>
      </c>
      <c r="AA104" s="319">
        <f>'Initial unit rates'!AA230</f>
        <v>0</v>
      </c>
      <c r="AB104" s="319">
        <f>'Initial unit rates'!AB230</f>
        <v>3.4352238481393312E-3</v>
      </c>
      <c r="AC104" s="319">
        <f>'Initial unit rates'!AC230</f>
        <v>0</v>
      </c>
      <c r="AD104" s="319">
        <f>'Initial unit rates'!AD230</f>
        <v>0</v>
      </c>
      <c r="AE104" s="319">
        <f>'Initial unit rates'!AE230</f>
        <v>0</v>
      </c>
      <c r="AF104" s="319">
        <f>'Initial unit rates'!AF230</f>
        <v>0</v>
      </c>
      <c r="AG104" s="319">
        <f>'Initial unit rates'!AG230</f>
        <v>-2.862646964214888E-3</v>
      </c>
      <c r="AH104" s="319">
        <f>'Initial unit rates'!AH230</f>
        <v>-2.862646964214888E-3</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236</v>
      </c>
      <c r="G105" t="s">
        <v>328</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8.676595154968993E-3</v>
      </c>
      <c r="T105" s="319">
        <f>'Initial unit rates'!T231</f>
        <v>8.0672311016306859E-3</v>
      </c>
      <c r="U105" s="319">
        <f>'Initial unit rates'!U231</f>
        <v>6.7463481738577E-3</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6.847110817028765E-3</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437</v>
      </c>
      <c r="G106" s="23" t="s">
        <v>328</v>
      </c>
      <c r="H106" s="302"/>
      <c r="I106" s="302" t="s">
        <v>191</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0.70225428447889948</v>
      </c>
      <c r="AC106" s="320"/>
      <c r="AD106" s="320"/>
      <c r="AE106" s="320"/>
      <c r="AF106" s="320"/>
      <c r="AG106" s="320"/>
      <c r="AH106" s="320"/>
      <c r="AI106" s="320"/>
      <c r="AJ106" s="320"/>
      <c r="AK106" s="320"/>
      <c r="AL106" s="320"/>
      <c r="AM106" s="320"/>
      <c r="AN106" s="320"/>
      <c r="AO106" s="320"/>
      <c r="AP106" s="320"/>
      <c r="AQ106" s="304"/>
      <c r="AR106" s="304" t="s">
        <v>780</v>
      </c>
    </row>
    <row r="107" spans="3:59" x14ac:dyDescent="0.25">
      <c r="D107"/>
      <c r="F107" s="37" t="s">
        <v>438</v>
      </c>
      <c r="G107" s="37" t="s">
        <v>328</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122</v>
      </c>
      <c r="H111" s="14"/>
      <c r="I111" t="s">
        <v>191</v>
      </c>
      <c r="J111" s="63"/>
      <c r="K111" s="63"/>
      <c r="L111" s="63"/>
      <c r="M111" s="63"/>
      <c r="N111" s="63"/>
      <c r="O111" s="63"/>
      <c r="P111" s="63"/>
      <c r="Q111" s="63"/>
      <c r="R111" s="63"/>
      <c r="S111" s="63"/>
      <c r="AR111" t="s">
        <v>240</v>
      </c>
      <c r="BG111" s="3"/>
    </row>
    <row r="112" spans="3:59" x14ac:dyDescent="0.25">
      <c r="C112" s="32"/>
      <c r="D112"/>
      <c r="E112"/>
      <c r="F112" s="23" t="s">
        <v>228</v>
      </c>
      <c r="G112" s="23" t="s">
        <v>204</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229</v>
      </c>
      <c r="G113" t="s">
        <v>204</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1.5008868542263909E-2</v>
      </c>
      <c r="S113" s="25">
        <f>'Standing charge factors'!S45</f>
        <v>0</v>
      </c>
      <c r="T113" s="25">
        <f>'Standing charge factors'!T45</f>
        <v>0</v>
      </c>
      <c r="U113" s="25">
        <f>'Standing charge factors'!U45</f>
        <v>0</v>
      </c>
      <c r="V113" s="25">
        <f>'Standing charge factors'!V45</f>
        <v>0</v>
      </c>
      <c r="W113" s="25">
        <f>'Standing charge factors'!W45</f>
        <v>1.5008868542263909E-2</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230</v>
      </c>
      <c r="G114" t="s">
        <v>204</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231</v>
      </c>
      <c r="G115" t="s">
        <v>204</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232</v>
      </c>
      <c r="G116" t="s">
        <v>204</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233</v>
      </c>
      <c r="G117" t="s">
        <v>204</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234</v>
      </c>
      <c r="G118" t="s">
        <v>204</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235</v>
      </c>
      <c r="G119" t="s">
        <v>204</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236</v>
      </c>
      <c r="G120" s="37" t="s">
        <v>204</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191</v>
      </c>
      <c r="AR125" t="s">
        <v>782</v>
      </c>
    </row>
    <row r="126" spans="2:59" x14ac:dyDescent="0.25">
      <c r="E126" s="32" t="s">
        <v>734</v>
      </c>
    </row>
    <row r="127" spans="2:59" x14ac:dyDescent="0.25">
      <c r="F127" s="23" t="s">
        <v>226</v>
      </c>
      <c r="G127" s="23" t="s">
        <v>328</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228</v>
      </c>
      <c r="G128" t="s">
        <v>328</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229</v>
      </c>
      <c r="G129" t="s">
        <v>328</v>
      </c>
      <c r="H129" s="304"/>
      <c r="I129" s="304"/>
      <c r="J129" s="322">
        <f t="shared" ref="J129:AP129" si="2">J24 * (1 - J$113)</f>
        <v>0.14657660776207709</v>
      </c>
      <c r="K129" s="322">
        <f t="shared" si="2"/>
        <v>0.17561057762842913</v>
      </c>
      <c r="L129" s="322">
        <f t="shared" si="2"/>
        <v>4.3550387727968126E-2</v>
      </c>
      <c r="M129" s="322">
        <f t="shared" si="2"/>
        <v>0.12884591674664936</v>
      </c>
      <c r="N129" s="322">
        <f t="shared" si="2"/>
        <v>0.14727166417007254</v>
      </c>
      <c r="O129" s="322">
        <f t="shared" si="2"/>
        <v>1.9467208101184703E-2</v>
      </c>
      <c r="P129" s="322">
        <f t="shared" si="2"/>
        <v>0.14004554375680095</v>
      </c>
      <c r="Q129" s="322">
        <f t="shared" si="2"/>
        <v>0.10515455841302399</v>
      </c>
      <c r="R129" s="322">
        <f t="shared" si="2"/>
        <v>0.14060752804841056</v>
      </c>
      <c r="S129" s="322">
        <f t="shared" si="2"/>
        <v>0.90969857556581457</v>
      </c>
      <c r="T129" s="322">
        <f t="shared" si="2"/>
        <v>0.84592160657041005</v>
      </c>
      <c r="U129" s="322">
        <f t="shared" si="2"/>
        <v>0.70737504746187918</v>
      </c>
      <c r="V129" s="322">
        <f t="shared" si="2"/>
        <v>0.67313193227576207</v>
      </c>
      <c r="W129" s="322">
        <f t="shared" si="2"/>
        <v>0.58958264620221634</v>
      </c>
      <c r="X129" s="322">
        <f t="shared" si="2"/>
        <v>8.3605178158947996E-2</v>
      </c>
      <c r="Y129" s="322">
        <f t="shared" si="2"/>
        <v>0.1139197146924361</v>
      </c>
      <c r="Z129" s="322">
        <f t="shared" si="2"/>
        <v>0.20961033443612143</v>
      </c>
      <c r="AA129" s="322">
        <f t="shared" si="2"/>
        <v>5.3425038646439986E-2</v>
      </c>
      <c r="AB129" s="322">
        <f t="shared" si="2"/>
        <v>2.1213309144797847</v>
      </c>
      <c r="AC129" s="322">
        <f t="shared" si="2"/>
        <v>-6.9141952760269715E-2</v>
      </c>
      <c r="AD129" s="322">
        <f t="shared" si="2"/>
        <v>-6.7153640575141366E-2</v>
      </c>
      <c r="AE129" s="322">
        <f t="shared" si="2"/>
        <v>-6.9141952760269715E-2</v>
      </c>
      <c r="AF129" s="322">
        <f t="shared" si="2"/>
        <v>-6.9141952760269715E-2</v>
      </c>
      <c r="AG129" s="322">
        <f t="shared" si="2"/>
        <v>-0.59827532547492623</v>
      </c>
      <c r="AH129" s="322">
        <f t="shared" si="2"/>
        <v>-0.59827532547492623</v>
      </c>
      <c r="AI129" s="322">
        <f t="shared" si="2"/>
        <v>-6.7153640575141366E-2</v>
      </c>
      <c r="AJ129" s="322">
        <f t="shared" si="2"/>
        <v>-6.7153640575141366E-2</v>
      </c>
      <c r="AK129" s="322">
        <f t="shared" si="2"/>
        <v>-0.58107074746961751</v>
      </c>
      <c r="AL129" s="322">
        <f t="shared" si="2"/>
        <v>-0.58107074746961751</v>
      </c>
      <c r="AM129" s="322">
        <f t="shared" si="2"/>
        <v>-6.6448110444934524E-2</v>
      </c>
      <c r="AN129" s="322">
        <f t="shared" si="2"/>
        <v>-6.6448110444934524E-2</v>
      </c>
      <c r="AO129" s="322">
        <f t="shared" si="2"/>
        <v>-0.57496589720966917</v>
      </c>
      <c r="AP129" s="322">
        <f t="shared" si="2"/>
        <v>-0.57496589720966917</v>
      </c>
      <c r="AQ129" s="304"/>
      <c r="AR129" s="304"/>
    </row>
    <row r="130" spans="4:44" x14ac:dyDescent="0.25">
      <c r="F130" t="s">
        <v>230</v>
      </c>
      <c r="G130" t="s">
        <v>328</v>
      </c>
      <c r="H130" s="304"/>
      <c r="I130" s="304"/>
      <c r="J130" s="322">
        <f t="shared" ref="J130:AP130" si="3">J25 * (1 - J$114)</f>
        <v>7.6584909853957203E-2</v>
      </c>
      <c r="K130" s="322">
        <f t="shared" si="3"/>
        <v>9.1754888194064285E-2</v>
      </c>
      <c r="L130" s="322">
        <f t="shared" si="3"/>
        <v>2.2754671220561882E-2</v>
      </c>
      <c r="M130" s="322">
        <f t="shared" si="3"/>
        <v>6.7320789242917775E-2</v>
      </c>
      <c r="N130" s="322">
        <f t="shared" si="3"/>
        <v>7.6948070341585281E-2</v>
      </c>
      <c r="O130" s="322">
        <f t="shared" si="3"/>
        <v>1.0171434584961014E-2</v>
      </c>
      <c r="P130" s="322">
        <f t="shared" si="3"/>
        <v>7.3172489852353723E-2</v>
      </c>
      <c r="Q130" s="322">
        <f t="shared" si="3"/>
        <v>5.4942275576919775E-2</v>
      </c>
      <c r="R130" s="322">
        <f t="shared" si="3"/>
        <v>7.4585566361532532E-2</v>
      </c>
      <c r="S130" s="322">
        <f t="shared" si="3"/>
        <v>0.47530901736427195</v>
      </c>
      <c r="T130" s="322">
        <f t="shared" si="3"/>
        <v>0.44198614616506976</v>
      </c>
      <c r="U130" s="322">
        <f t="shared" si="3"/>
        <v>0.36959686180445844</v>
      </c>
      <c r="V130" s="322">
        <f t="shared" si="3"/>
        <v>0.35170515364114552</v>
      </c>
      <c r="W130" s="322">
        <f t="shared" si="3"/>
        <v>0.3127453856438126</v>
      </c>
      <c r="X130" s="322">
        <f t="shared" si="3"/>
        <v>4.3682925470756098E-2</v>
      </c>
      <c r="Y130" s="322">
        <f t="shared" si="3"/>
        <v>5.9521987945514374E-2</v>
      </c>
      <c r="Z130" s="322">
        <f t="shared" si="3"/>
        <v>0.10951944387541951</v>
      </c>
      <c r="AA130" s="322">
        <f t="shared" si="3"/>
        <v>2.7914084185405533E-2</v>
      </c>
      <c r="AB130" s="322">
        <f t="shared" si="3"/>
        <v>1.1083756087434831</v>
      </c>
      <c r="AC130" s="322">
        <f t="shared" si="3"/>
        <v>-3.6126025155849097E-2</v>
      </c>
      <c r="AD130" s="322">
        <f t="shared" si="3"/>
        <v>-3.5087150591998142E-2</v>
      </c>
      <c r="AE130" s="322">
        <f t="shared" si="3"/>
        <v>-3.6126025155849097E-2</v>
      </c>
      <c r="AF130" s="322">
        <f t="shared" si="3"/>
        <v>-3.6126025155849097E-2</v>
      </c>
      <c r="AG130" s="322">
        <f t="shared" si="3"/>
        <v>-0.31259327507235823</v>
      </c>
      <c r="AH130" s="322">
        <f t="shared" si="3"/>
        <v>-0.31259327507235823</v>
      </c>
      <c r="AI130" s="322">
        <f t="shared" si="3"/>
        <v>-3.5087150591998142E-2</v>
      </c>
      <c r="AJ130" s="322">
        <f t="shared" si="3"/>
        <v>-3.5087150591998142E-2</v>
      </c>
      <c r="AK130" s="322">
        <f t="shared" si="3"/>
        <v>-0.30360404359996196</v>
      </c>
      <c r="AL130" s="322">
        <f t="shared" si="3"/>
        <v>-0.30360404359996196</v>
      </c>
      <c r="AM130" s="322">
        <f t="shared" si="3"/>
        <v>-3.4718517682244592E-2</v>
      </c>
      <c r="AN130" s="322">
        <f t="shared" si="3"/>
        <v>-3.4718517682244592E-2</v>
      </c>
      <c r="AO130" s="322">
        <f t="shared" si="3"/>
        <v>-0.30041431630330528</v>
      </c>
      <c r="AP130" s="322">
        <f t="shared" si="3"/>
        <v>-0.30041431630330528</v>
      </c>
      <c r="AQ130" s="304"/>
      <c r="AR130" s="304"/>
    </row>
    <row r="131" spans="4:44" x14ac:dyDescent="0.25">
      <c r="F131" t="s">
        <v>231</v>
      </c>
      <c r="G131" t="s">
        <v>328</v>
      </c>
      <c r="H131" s="304"/>
      <c r="I131" s="304"/>
      <c r="J131" s="322">
        <f t="shared" ref="J131:AP131" si="4">J26 * (1 - J$115)</f>
        <v>9.1450414642696806E-2</v>
      </c>
      <c r="K131" s="322">
        <f t="shared" si="4"/>
        <v>0.10918906545502731</v>
      </c>
      <c r="L131" s="322">
        <f t="shared" si="4"/>
        <v>3.1087203216355122E-2</v>
      </c>
      <c r="M131" s="322">
        <f t="shared" si="4"/>
        <v>8.40509649774831E-2</v>
      </c>
      <c r="N131" s="322">
        <f t="shared" si="4"/>
        <v>9.4850655227218805E-2</v>
      </c>
      <c r="O131" s="322">
        <f t="shared" si="4"/>
        <v>1.5711601525750924E-2</v>
      </c>
      <c r="P131" s="322">
        <f t="shared" si="4"/>
        <v>8.9875597572073515E-2</v>
      </c>
      <c r="Q131" s="322">
        <f t="shared" si="4"/>
        <v>6.7525405634905888E-2</v>
      </c>
      <c r="R131" s="322">
        <f t="shared" si="4"/>
        <v>6.8848770081483157E-2</v>
      </c>
      <c r="S131" s="322">
        <f t="shared" si="4"/>
        <v>0.49344836060101199</v>
      </c>
      <c r="T131" s="322">
        <f t="shared" si="4"/>
        <v>0.45879309689923908</v>
      </c>
      <c r="U131" s="322">
        <f t="shared" si="4"/>
        <v>0.38367290244344815</v>
      </c>
      <c r="V131" s="322">
        <f t="shared" si="4"/>
        <v>0.36509979127801506</v>
      </c>
      <c r="W131" s="322">
        <f t="shared" si="4"/>
        <v>0.24273377493794041</v>
      </c>
      <c r="X131" s="322">
        <f t="shared" si="4"/>
        <v>5.3890393413257208E-2</v>
      </c>
      <c r="Y131" s="322">
        <f t="shared" si="4"/>
        <v>6.6080054539435024E-2</v>
      </c>
      <c r="Z131" s="322">
        <f t="shared" si="4"/>
        <v>0.11946183533008875</v>
      </c>
      <c r="AA131" s="322">
        <f t="shared" si="4"/>
        <v>4.145983350426187E-2</v>
      </c>
      <c r="AB131" s="322">
        <f t="shared" si="4"/>
        <v>1.1594053481193398</v>
      </c>
      <c r="AC131" s="322">
        <f t="shared" si="4"/>
        <v>-4.4628812782500214E-2</v>
      </c>
      <c r="AD131" s="322">
        <f t="shared" si="4"/>
        <v>-4.3345423917697322E-2</v>
      </c>
      <c r="AE131" s="322">
        <f t="shared" si="4"/>
        <v>-4.4628812782500214E-2</v>
      </c>
      <c r="AF131" s="322">
        <f t="shared" si="4"/>
        <v>-4.4628812782500214E-2</v>
      </c>
      <c r="AG131" s="322">
        <f t="shared" si="4"/>
        <v>-0.32449834272339617</v>
      </c>
      <c r="AH131" s="322">
        <f t="shared" si="4"/>
        <v>-0.32449834272339617</v>
      </c>
      <c r="AI131" s="322">
        <f t="shared" si="4"/>
        <v>-4.3345423917697322E-2</v>
      </c>
      <c r="AJ131" s="322">
        <f t="shared" si="4"/>
        <v>-4.3345423917697322E-2</v>
      </c>
      <c r="AK131" s="322">
        <f t="shared" si="4"/>
        <v>-0.31516675772856745</v>
      </c>
      <c r="AL131" s="322">
        <f t="shared" si="4"/>
        <v>-0.31516675772856745</v>
      </c>
      <c r="AM131" s="322">
        <f t="shared" si="4"/>
        <v>-4.0084160119963158E-2</v>
      </c>
      <c r="AN131" s="322">
        <f t="shared" si="4"/>
        <v>-4.0084160119963158E-2</v>
      </c>
      <c r="AO131" s="322">
        <f t="shared" si="4"/>
        <v>-0.29145394460252538</v>
      </c>
      <c r="AP131" s="322">
        <f t="shared" si="4"/>
        <v>-0.29145394460252538</v>
      </c>
      <c r="AQ131" s="304"/>
      <c r="AR131" s="304"/>
    </row>
    <row r="132" spans="4:44" x14ac:dyDescent="0.25">
      <c r="F132" t="s">
        <v>232</v>
      </c>
      <c r="G132" t="s">
        <v>328</v>
      </c>
      <c r="H132" s="304"/>
      <c r="I132" s="304"/>
      <c r="J132" s="322">
        <f t="shared" ref="J132:AP132" si="5">J27 * (1 - J$116)</f>
        <v>0.14711759742890701</v>
      </c>
      <c r="K132" s="322">
        <f t="shared" si="5"/>
        <v>0.17565402013772194</v>
      </c>
      <c r="L132" s="322">
        <f t="shared" si="5"/>
        <v>5.0010430962431858E-2</v>
      </c>
      <c r="M132" s="322">
        <f t="shared" si="5"/>
        <v>0.1352139963211858</v>
      </c>
      <c r="N132" s="322">
        <f t="shared" si="5"/>
        <v>0.15258761336518889</v>
      </c>
      <c r="O132" s="322">
        <f t="shared" si="5"/>
        <v>2.5275479365072701E-2</v>
      </c>
      <c r="P132" s="322">
        <f t="shared" si="5"/>
        <v>0.14458416655573567</v>
      </c>
      <c r="Q132" s="322">
        <f t="shared" si="5"/>
        <v>0.10862909130847855</v>
      </c>
      <c r="R132" s="322">
        <f t="shared" si="5"/>
        <v>0</v>
      </c>
      <c r="S132" s="322">
        <f t="shared" si="5"/>
        <v>0.7938174753005478</v>
      </c>
      <c r="T132" s="322">
        <f t="shared" si="5"/>
        <v>0.73806705411339579</v>
      </c>
      <c r="U132" s="322">
        <f t="shared" si="5"/>
        <v>0.61722011678777222</v>
      </c>
      <c r="V132" s="322">
        <f t="shared" si="5"/>
        <v>0.58734128570631328</v>
      </c>
      <c r="W132" s="322">
        <f t="shared" si="5"/>
        <v>0</v>
      </c>
      <c r="X132" s="322">
        <f t="shared" si="5"/>
        <v>8.6694251025904348E-2</v>
      </c>
      <c r="Y132" s="322">
        <f t="shared" si="5"/>
        <v>0.10630393421173165</v>
      </c>
      <c r="Z132" s="322">
        <f t="shared" si="5"/>
        <v>0.19217997279593421</v>
      </c>
      <c r="AA132" s="322">
        <f t="shared" si="5"/>
        <v>6.6697030503148291E-2</v>
      </c>
      <c r="AB132" s="322">
        <f t="shared" si="5"/>
        <v>1.8651520600313034</v>
      </c>
      <c r="AC132" s="322">
        <f t="shared" si="5"/>
        <v>-7.179501304962381E-2</v>
      </c>
      <c r="AD132" s="322">
        <f t="shared" si="5"/>
        <v>-6.9730406922964866E-2</v>
      </c>
      <c r="AE132" s="322">
        <f t="shared" si="5"/>
        <v>-7.179501304962381E-2</v>
      </c>
      <c r="AF132" s="322">
        <f t="shared" si="5"/>
        <v>-7.179501304962381E-2</v>
      </c>
      <c r="AG132" s="322">
        <f t="shared" si="5"/>
        <v>-0.52202515141838712</v>
      </c>
      <c r="AH132" s="322">
        <f t="shared" si="5"/>
        <v>-0.52202515141838712</v>
      </c>
      <c r="AI132" s="322">
        <f t="shared" si="5"/>
        <v>-6.9730406922964866E-2</v>
      </c>
      <c r="AJ132" s="322">
        <f t="shared" si="5"/>
        <v>-6.9730406922964866E-2</v>
      </c>
      <c r="AK132" s="322">
        <f t="shared" si="5"/>
        <v>-0.50701329641470438</v>
      </c>
      <c r="AL132" s="322">
        <f t="shared" si="5"/>
        <v>-0.50701329641470438</v>
      </c>
      <c r="AM132" s="322">
        <f t="shared" si="5"/>
        <v>-4.473613268576114E-2</v>
      </c>
      <c r="AN132" s="322">
        <f t="shared" si="5"/>
        <v>-4.473613268576114E-2</v>
      </c>
      <c r="AO132" s="322">
        <f t="shared" si="5"/>
        <v>-0.32527867113856435</v>
      </c>
      <c r="AP132" s="322">
        <f t="shared" si="5"/>
        <v>-0.32527867113856435</v>
      </c>
      <c r="AQ132" s="304"/>
      <c r="AR132" s="304"/>
    </row>
    <row r="133" spans="4:44" x14ac:dyDescent="0.25">
      <c r="F133" t="s">
        <v>233</v>
      </c>
      <c r="G133" t="s">
        <v>328</v>
      </c>
      <c r="H133" s="304"/>
      <c r="I133" s="304"/>
      <c r="J133" s="322">
        <f t="shared" ref="J133:AP133" si="6">J28 * (1 - J$117)</f>
        <v>1.281638501264494E-2</v>
      </c>
      <c r="K133" s="322">
        <f t="shared" si="6"/>
        <v>1.5355061148858356E-2</v>
      </c>
      <c r="L133" s="322">
        <f t="shared" si="6"/>
        <v>3.8079646206413023E-3</v>
      </c>
      <c r="M133" s="322">
        <f t="shared" si="6"/>
        <v>1.1266046482756002E-2</v>
      </c>
      <c r="N133" s="322">
        <f t="shared" si="6"/>
        <v>1.2877159447709199E-2</v>
      </c>
      <c r="O133" s="322">
        <f t="shared" si="6"/>
        <v>1.7021763428380779E-3</v>
      </c>
      <c r="P133" s="322">
        <f t="shared" si="6"/>
        <v>1.2245320965578746E-2</v>
      </c>
      <c r="Q133" s="322">
        <f t="shared" si="6"/>
        <v>9.1945183275326161E-3</v>
      </c>
      <c r="R133" s="322">
        <f t="shared" si="6"/>
        <v>0</v>
      </c>
      <c r="S133" s="322">
        <f t="shared" si="6"/>
        <v>7.9542345589216398E-2</v>
      </c>
      <c r="T133" s="322">
        <f t="shared" si="6"/>
        <v>7.3965806453371419E-2</v>
      </c>
      <c r="U133" s="322">
        <f t="shared" si="6"/>
        <v>6.1851553907737673E-2</v>
      </c>
      <c r="V133" s="322">
        <f t="shared" si="6"/>
        <v>5.8857399827094703E-2</v>
      </c>
      <c r="W133" s="322">
        <f t="shared" si="6"/>
        <v>0</v>
      </c>
      <c r="X133" s="322">
        <f t="shared" si="6"/>
        <v>7.3102807378045915E-3</v>
      </c>
      <c r="Y133" s="322">
        <f t="shared" si="6"/>
        <v>9.9609272333472092E-3</v>
      </c>
      <c r="Z133" s="322">
        <f t="shared" si="6"/>
        <v>1.8327936427095081E-2</v>
      </c>
      <c r="AA133" s="322">
        <f t="shared" si="6"/>
        <v>4.6713856669383415E-3</v>
      </c>
      <c r="AB133" s="322">
        <f t="shared" si="6"/>
        <v>0.18548521591746947</v>
      </c>
      <c r="AC133" s="322">
        <f t="shared" si="6"/>
        <v>-6.0456433030577584E-3</v>
      </c>
      <c r="AD133" s="322">
        <f t="shared" si="6"/>
        <v>-5.8717889965690835E-3</v>
      </c>
      <c r="AE133" s="322">
        <f t="shared" si="6"/>
        <v>-6.0456433030577584E-3</v>
      </c>
      <c r="AF133" s="322">
        <f t="shared" si="6"/>
        <v>-6.0456433030577584E-3</v>
      </c>
      <c r="AG133" s="322">
        <f t="shared" si="6"/>
        <v>-5.2312077840540275E-2</v>
      </c>
      <c r="AH133" s="322">
        <f t="shared" si="6"/>
        <v>-5.2312077840540275E-2</v>
      </c>
      <c r="AI133" s="322">
        <f t="shared" si="6"/>
        <v>-5.8717889965690835E-3</v>
      </c>
      <c r="AJ133" s="322">
        <f t="shared" si="6"/>
        <v>-5.8717889965690835E-3</v>
      </c>
      <c r="AK133" s="322">
        <f t="shared" si="6"/>
        <v>-5.0807741650320648E-2</v>
      </c>
      <c r="AL133" s="322">
        <f t="shared" si="6"/>
        <v>-5.0807741650320648E-2</v>
      </c>
      <c r="AM133" s="322">
        <f t="shared" si="6"/>
        <v>-3.7670959233538611E-3</v>
      </c>
      <c r="AN133" s="322">
        <f t="shared" si="6"/>
        <v>-3.7670959233538611E-3</v>
      </c>
      <c r="AO133" s="322">
        <f t="shared" si="6"/>
        <v>-3.259613663869286E-2</v>
      </c>
      <c r="AP133" s="322">
        <f t="shared" si="6"/>
        <v>-3.259613663869286E-2</v>
      </c>
      <c r="AQ133" s="304"/>
      <c r="AR133" s="304"/>
    </row>
    <row r="134" spans="4:44" x14ac:dyDescent="0.25">
      <c r="F134" t="s">
        <v>234</v>
      </c>
      <c r="G134" t="s">
        <v>328</v>
      </c>
      <c r="H134" s="304"/>
      <c r="I134" s="304"/>
      <c r="J134" s="322">
        <f t="shared" ref="J134:AP134" si="7">J29 * (1 - J$118)</f>
        <v>0.17653923304256844</v>
      </c>
      <c r="K134" s="322">
        <f t="shared" si="7"/>
        <v>0.21078257487818525</v>
      </c>
      <c r="L134" s="322">
        <f t="shared" si="7"/>
        <v>6.001187676071492E-2</v>
      </c>
      <c r="M134" s="322">
        <f t="shared" si="7"/>
        <v>0.1622550641414465</v>
      </c>
      <c r="N134" s="322">
        <f t="shared" si="7"/>
        <v>0.18310318212138943</v>
      </c>
      <c r="O134" s="322">
        <f t="shared" si="7"/>
        <v>3.0330251580199079E-2</v>
      </c>
      <c r="P134" s="322">
        <f t="shared" si="7"/>
        <v>0.1734991484358839</v>
      </c>
      <c r="Q134" s="322">
        <f t="shared" si="7"/>
        <v>0.1303535185515598</v>
      </c>
      <c r="R134" s="322">
        <f t="shared" si="7"/>
        <v>0</v>
      </c>
      <c r="S134" s="322">
        <f t="shared" si="7"/>
        <v>0.9525708053590789</v>
      </c>
      <c r="T134" s="322">
        <f t="shared" si="7"/>
        <v>0.88567101383049518</v>
      </c>
      <c r="U134" s="322">
        <f t="shared" si="7"/>
        <v>0.59252498920838237</v>
      </c>
      <c r="V134" s="322">
        <f t="shared" si="7"/>
        <v>0</v>
      </c>
      <c r="W134" s="322">
        <f t="shared" si="7"/>
        <v>0</v>
      </c>
      <c r="X134" s="322">
        <f t="shared" si="7"/>
        <v>0.10403199109276509</v>
      </c>
      <c r="Y134" s="322">
        <f t="shared" si="7"/>
        <v>0.1275633598095946</v>
      </c>
      <c r="Z134" s="322">
        <f t="shared" si="7"/>
        <v>0.23061350644970188</v>
      </c>
      <c r="AA134" s="322">
        <f t="shared" si="7"/>
        <v>8.003558253411909E-2</v>
      </c>
      <c r="AB134" s="322">
        <f t="shared" si="7"/>
        <v>2.2381585883688064</v>
      </c>
      <c r="AC134" s="322">
        <f t="shared" si="7"/>
        <v>-8.6153096309139102E-2</v>
      </c>
      <c r="AD134" s="322">
        <f t="shared" si="7"/>
        <v>-8.3675595394868851E-2</v>
      </c>
      <c r="AE134" s="322">
        <f t="shared" si="7"/>
        <v>-8.6153096309139102E-2</v>
      </c>
      <c r="AF134" s="322">
        <f t="shared" si="7"/>
        <v>-8.6153096309139102E-2</v>
      </c>
      <c r="AG134" s="322">
        <f t="shared" si="7"/>
        <v>-0.62642349705899081</v>
      </c>
      <c r="AH134" s="322">
        <f t="shared" si="7"/>
        <v>-0.62642349705899081</v>
      </c>
      <c r="AI134" s="322">
        <f t="shared" si="7"/>
        <v>-8.3675595394868851E-2</v>
      </c>
      <c r="AJ134" s="322">
        <f t="shared" si="7"/>
        <v>-8.3675595394868851E-2</v>
      </c>
      <c r="AK134" s="322">
        <f t="shared" si="7"/>
        <v>-0.60840946328456702</v>
      </c>
      <c r="AL134" s="322">
        <f t="shared" si="7"/>
        <v>-0.60840946328456702</v>
      </c>
      <c r="AM134" s="322">
        <f t="shared" si="7"/>
        <v>0</v>
      </c>
      <c r="AN134" s="322">
        <f t="shared" si="7"/>
        <v>0</v>
      </c>
      <c r="AO134" s="322">
        <f t="shared" si="7"/>
        <v>0</v>
      </c>
      <c r="AP134" s="322">
        <f t="shared" si="7"/>
        <v>0</v>
      </c>
      <c r="AQ134" s="304"/>
      <c r="AR134" s="304"/>
    </row>
    <row r="135" spans="4:44" x14ac:dyDescent="0.25">
      <c r="F135" t="s">
        <v>235</v>
      </c>
      <c r="G135" t="s">
        <v>328</v>
      </c>
      <c r="H135" s="304"/>
      <c r="I135" s="304"/>
      <c r="J135" s="322">
        <f t="shared" ref="J135:AP135" si="8">J30 * (1 - J$119)</f>
        <v>4.5159782156916989E-2</v>
      </c>
      <c r="K135" s="322">
        <f t="shared" si="8"/>
        <v>5.3919431958094122E-2</v>
      </c>
      <c r="L135" s="322">
        <f t="shared" si="8"/>
        <v>1.5351393764626532E-2</v>
      </c>
      <c r="M135" s="322">
        <f t="shared" si="8"/>
        <v>4.1505807090016542E-2</v>
      </c>
      <c r="N135" s="322">
        <f t="shared" si="8"/>
        <v>4.6838879235678942E-2</v>
      </c>
      <c r="O135" s="322">
        <f t="shared" si="8"/>
        <v>7.7586581210308302E-3</v>
      </c>
      <c r="P135" s="322">
        <f t="shared" si="8"/>
        <v>4.4382110496004282E-2</v>
      </c>
      <c r="Q135" s="322">
        <f t="shared" si="8"/>
        <v>0</v>
      </c>
      <c r="R135" s="322">
        <f t="shared" si="8"/>
        <v>0</v>
      </c>
      <c r="S135" s="322">
        <f t="shared" si="8"/>
        <v>0.24367325787963628</v>
      </c>
      <c r="T135" s="322">
        <f t="shared" si="8"/>
        <v>0.22655989469285101</v>
      </c>
      <c r="U135" s="322">
        <f t="shared" si="8"/>
        <v>0</v>
      </c>
      <c r="V135" s="322">
        <f t="shared" si="8"/>
        <v>0</v>
      </c>
      <c r="W135" s="322">
        <f t="shared" si="8"/>
        <v>0</v>
      </c>
      <c r="X135" s="322">
        <f t="shared" si="8"/>
        <v>2.6611999917133262E-2</v>
      </c>
      <c r="Y135" s="322">
        <f t="shared" si="8"/>
        <v>3.2631463504866606E-2</v>
      </c>
      <c r="Z135" s="322">
        <f t="shared" si="8"/>
        <v>5.8992301791636871E-2</v>
      </c>
      <c r="AA135" s="322">
        <f t="shared" si="8"/>
        <v>2.0473576381581086E-2</v>
      </c>
      <c r="AB135" s="322">
        <f t="shared" si="8"/>
        <v>0.57253423242750956</v>
      </c>
      <c r="AC135" s="322">
        <f t="shared" si="8"/>
        <v>-2.2038472663617317E-2</v>
      </c>
      <c r="AD135" s="322">
        <f t="shared" si="8"/>
        <v>0</v>
      </c>
      <c r="AE135" s="322">
        <f t="shared" si="8"/>
        <v>-2.2038472663617317E-2</v>
      </c>
      <c r="AF135" s="322">
        <f t="shared" si="8"/>
        <v>-2.2038472663617317E-2</v>
      </c>
      <c r="AG135" s="322">
        <f t="shared" si="8"/>
        <v>-0.16024284334767033</v>
      </c>
      <c r="AH135" s="322">
        <f t="shared" si="8"/>
        <v>-0.16024284334767033</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236</v>
      </c>
      <c r="G136" t="s">
        <v>328</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1.1168201868721061E-2</v>
      </c>
      <c r="Y136" s="322">
        <f t="shared" si="9"/>
        <v>1.3694377454868584E-2</v>
      </c>
      <c r="Z136" s="322">
        <f t="shared" si="9"/>
        <v>2.4757174851986405E-2</v>
      </c>
      <c r="AA136" s="322">
        <f t="shared" si="9"/>
        <v>8.5921026122116641E-3</v>
      </c>
      <c r="AB136" s="322">
        <f t="shared" si="9"/>
        <v>0.2402742335944098</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437</v>
      </c>
      <c r="G137" s="23" t="s">
        <v>328</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438</v>
      </c>
      <c r="G138" s="37" t="s">
        <v>328</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735</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226</v>
      </c>
      <c r="G141" s="23" t="s">
        <v>328</v>
      </c>
      <c r="H141" s="302"/>
      <c r="I141" s="302"/>
      <c r="J141" s="321">
        <f t="shared" ref="J141:AP141" si="10">J36 * (1 - J$112)</f>
        <v>7.5224465739553589E-2</v>
      </c>
      <c r="K141" s="321">
        <f t="shared" si="10"/>
        <v>9.0275130452876995E-2</v>
      </c>
      <c r="L141" s="321">
        <f t="shared" si="10"/>
        <v>1.9569916463561134E-2</v>
      </c>
      <c r="M141" s="321">
        <f t="shared" si="10"/>
        <v>6.314487394393653E-2</v>
      </c>
      <c r="N141" s="321">
        <f t="shared" si="10"/>
        <v>7.3092518381714988E-2</v>
      </c>
      <c r="O141" s="321">
        <f t="shared" si="10"/>
        <v>7.6959353951705977E-3</v>
      </c>
      <c r="P141" s="321">
        <f t="shared" si="10"/>
        <v>6.9720833315190786E-2</v>
      </c>
      <c r="Q141" s="321">
        <f t="shared" si="10"/>
        <v>5.2322618105660509E-2</v>
      </c>
      <c r="R141" s="321">
        <f t="shared" si="10"/>
        <v>7.0680570180624361E-2</v>
      </c>
      <c r="S141" s="321">
        <f t="shared" si="10"/>
        <v>0.52179338011400589</v>
      </c>
      <c r="T141" s="321">
        <f t="shared" si="10"/>
        <v>0.48527435609656067</v>
      </c>
      <c r="U141" s="321">
        <f t="shared" si="10"/>
        <v>0.40575170138526651</v>
      </c>
      <c r="V141" s="321">
        <f t="shared" si="10"/>
        <v>0.38610978399313867</v>
      </c>
      <c r="W141" s="321">
        <f t="shared" si="10"/>
        <v>0.34333887930170059</v>
      </c>
      <c r="X141" s="321">
        <f t="shared" si="10"/>
        <v>4.1723179398164577E-2</v>
      </c>
      <c r="Y141" s="321">
        <f t="shared" si="10"/>
        <v>5.7881229666073113E-2</v>
      </c>
      <c r="Z141" s="321">
        <f t="shared" si="10"/>
        <v>0.10738110083716003</v>
      </c>
      <c r="AA141" s="321">
        <f t="shared" si="10"/>
        <v>2.5666537610813528E-2</v>
      </c>
      <c r="AB141" s="321">
        <f t="shared" si="10"/>
        <v>1.0989740579068357</v>
      </c>
      <c r="AC141" s="321">
        <f t="shared" si="10"/>
        <v>-3.4494121560325754E-2</v>
      </c>
      <c r="AD141" s="321">
        <f t="shared" si="10"/>
        <v>-3.3502175578535305E-2</v>
      </c>
      <c r="AE141" s="321">
        <f t="shared" si="10"/>
        <v>-3.4494121560325754E-2</v>
      </c>
      <c r="AF141" s="321">
        <f t="shared" si="10"/>
        <v>-3.4494121560325754E-2</v>
      </c>
      <c r="AG141" s="321">
        <f t="shared" si="10"/>
        <v>-0.34317188891421468</v>
      </c>
      <c r="AH141" s="321">
        <f t="shared" si="10"/>
        <v>-0.34317188891421468</v>
      </c>
      <c r="AI141" s="321">
        <f t="shared" si="10"/>
        <v>-3.3502175578535305E-2</v>
      </c>
      <c r="AJ141" s="321">
        <f t="shared" si="10"/>
        <v>-3.3502175578535305E-2</v>
      </c>
      <c r="AK141" s="321">
        <f t="shared" si="10"/>
        <v>-0.33330330954840692</v>
      </c>
      <c r="AL141" s="321">
        <f t="shared" si="10"/>
        <v>-0.33330330954840692</v>
      </c>
      <c r="AM141" s="321">
        <f t="shared" si="10"/>
        <v>-3.3150194746287089E-2</v>
      </c>
      <c r="AN141" s="321">
        <f t="shared" si="10"/>
        <v>-3.3150194746287089E-2</v>
      </c>
      <c r="AO141" s="321">
        <f t="shared" si="10"/>
        <v>-0.32980155557989466</v>
      </c>
      <c r="AP141" s="321">
        <f t="shared" si="10"/>
        <v>-0.32980155557989466</v>
      </c>
      <c r="AQ141" s="304"/>
      <c r="AR141" s="304"/>
    </row>
    <row r="142" spans="4:44" x14ac:dyDescent="0.25">
      <c r="F142" t="s">
        <v>228</v>
      </c>
      <c r="G142" t="s">
        <v>328</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229</v>
      </c>
      <c r="G143" t="s">
        <v>328</v>
      </c>
      <c r="H143" s="304"/>
      <c r="I143" s="304"/>
      <c r="J143" s="322">
        <f t="shared" ref="J143:AP143" si="12">J38 * (1 - J$113)</f>
        <v>8.0468586228262348E-2</v>
      </c>
      <c r="K143" s="322">
        <f t="shared" si="12"/>
        <v>9.6407845182403487E-2</v>
      </c>
      <c r="L143" s="322">
        <f t="shared" si="12"/>
        <v>2.390857711655232E-2</v>
      </c>
      <c r="M143" s="322">
        <f t="shared" si="12"/>
        <v>7.0734675335894434E-2</v>
      </c>
      <c r="N143" s="322">
        <f t="shared" si="12"/>
        <v>8.0850162847848697E-2</v>
      </c>
      <c r="O143" s="322">
        <f t="shared" si="12"/>
        <v>1.0687235416557373E-2</v>
      </c>
      <c r="P143" s="322">
        <f t="shared" si="12"/>
        <v>7.6883119931184934E-2</v>
      </c>
      <c r="Q143" s="322">
        <f t="shared" si="12"/>
        <v>5.7728438255906359E-2</v>
      </c>
      <c r="R143" s="322">
        <f t="shared" si="12"/>
        <v>7.7191641748675224E-2</v>
      </c>
      <c r="S143" s="322">
        <f t="shared" si="12"/>
        <v>0.49941228267792087</v>
      </c>
      <c r="T143" s="322">
        <f t="shared" si="12"/>
        <v>0.46439958448999286</v>
      </c>
      <c r="U143" s="322">
        <f t="shared" si="12"/>
        <v>0.3883393869695923</v>
      </c>
      <c r="V143" s="322">
        <f t="shared" si="12"/>
        <v>0.3695403772971137</v>
      </c>
      <c r="W143" s="322">
        <f t="shared" si="12"/>
        <v>0.32367294296794852</v>
      </c>
      <c r="X143" s="322">
        <f t="shared" si="12"/>
        <v>4.5898118332310951E-2</v>
      </c>
      <c r="Y143" s="322">
        <f t="shared" si="12"/>
        <v>6.2540391163282555E-2</v>
      </c>
      <c r="Z143" s="322">
        <f t="shared" si="12"/>
        <v>0.11507325437826006</v>
      </c>
      <c r="AA143" s="322">
        <f t="shared" si="12"/>
        <v>2.9329627658237902E-2</v>
      </c>
      <c r="AB143" s="322">
        <f t="shared" si="12"/>
        <v>1.1645821404707084</v>
      </c>
      <c r="AC143" s="322">
        <f t="shared" si="12"/>
        <v>-3.7958002116622071E-2</v>
      </c>
      <c r="AD143" s="322">
        <f t="shared" si="12"/>
        <v>-3.6866445469483589E-2</v>
      </c>
      <c r="AE143" s="322">
        <f t="shared" si="12"/>
        <v>-3.7958002116622071E-2</v>
      </c>
      <c r="AF143" s="322">
        <f t="shared" si="12"/>
        <v>-3.7958002116622071E-2</v>
      </c>
      <c r="AG143" s="322">
        <f t="shared" si="12"/>
        <v>-0.32844510697344992</v>
      </c>
      <c r="AH143" s="322">
        <f t="shared" si="12"/>
        <v>-0.32844510697344992</v>
      </c>
      <c r="AI143" s="322">
        <f t="shared" si="12"/>
        <v>-3.6866445469483589E-2</v>
      </c>
      <c r="AJ143" s="322">
        <f t="shared" si="12"/>
        <v>-3.6866445469483589E-2</v>
      </c>
      <c r="AK143" s="322">
        <f t="shared" si="12"/>
        <v>-0.3190000250474973</v>
      </c>
      <c r="AL143" s="322">
        <f t="shared" si="12"/>
        <v>-0.3190000250474973</v>
      </c>
      <c r="AM143" s="322">
        <f t="shared" si="12"/>
        <v>-3.6479118917273158E-2</v>
      </c>
      <c r="AN143" s="322">
        <f t="shared" si="12"/>
        <v>-3.6479118917273158E-2</v>
      </c>
      <c r="AO143" s="322">
        <f t="shared" si="12"/>
        <v>-0.31564854436409467</v>
      </c>
      <c r="AP143" s="322">
        <f t="shared" si="12"/>
        <v>-0.31564854436409467</v>
      </c>
      <c r="AQ143" s="304"/>
      <c r="AR143" s="304"/>
    </row>
    <row r="144" spans="4:44" x14ac:dyDescent="0.25">
      <c r="F144" t="s">
        <v>230</v>
      </c>
      <c r="G144" t="s">
        <v>328</v>
      </c>
      <c r="H144" s="304"/>
      <c r="I144" s="304"/>
      <c r="J144" s="322">
        <f t="shared" ref="J144:AP144" si="13">J39 * (1 - J$114)</f>
        <v>4.2044085454413738E-2</v>
      </c>
      <c r="K144" s="322">
        <f t="shared" si="13"/>
        <v>5.0372199529227286E-2</v>
      </c>
      <c r="L144" s="322">
        <f t="shared" si="13"/>
        <v>1.2492008453215662E-2</v>
      </c>
      <c r="M144" s="322">
        <f t="shared" si="13"/>
        <v>3.6958207839968629E-2</v>
      </c>
      <c r="N144" s="322">
        <f t="shared" si="13"/>
        <v>4.2243455677668143E-2</v>
      </c>
      <c r="O144" s="322">
        <f t="shared" si="13"/>
        <v>5.5839807828928752E-3</v>
      </c>
      <c r="P144" s="322">
        <f t="shared" si="13"/>
        <v>4.0170712770064308E-2</v>
      </c>
      <c r="Q144" s="322">
        <f t="shared" si="13"/>
        <v>3.0162570326464962E-2</v>
      </c>
      <c r="R144" s="322">
        <f t="shared" si="13"/>
        <v>4.0946472767938974E-2</v>
      </c>
      <c r="S144" s="322">
        <f t="shared" si="13"/>
        <v>0.26093825769887341</v>
      </c>
      <c r="T144" s="322">
        <f t="shared" si="13"/>
        <v>0.24264444959806925</v>
      </c>
      <c r="U144" s="322">
        <f t="shared" si="13"/>
        <v>0.20290370610897657</v>
      </c>
      <c r="V144" s="322">
        <f t="shared" si="13"/>
        <v>0.19308139896807588</v>
      </c>
      <c r="W144" s="322">
        <f t="shared" si="13"/>
        <v>0.17169301034050388</v>
      </c>
      <c r="X144" s="322">
        <f t="shared" si="13"/>
        <v>2.3981338554730398E-2</v>
      </c>
      <c r="Y144" s="322">
        <f t="shared" si="13"/>
        <v>3.2676770820387439E-2</v>
      </c>
      <c r="Z144" s="322">
        <f t="shared" si="13"/>
        <v>6.0124701667714789E-2</v>
      </c>
      <c r="AA144" s="322">
        <f t="shared" si="13"/>
        <v>1.5324456777593861E-2</v>
      </c>
      <c r="AB144" s="322">
        <f t="shared" si="13"/>
        <v>0.60848330171653198</v>
      </c>
      <c r="AC144" s="322">
        <f t="shared" si="13"/>
        <v>-1.983270192100824E-2</v>
      </c>
      <c r="AD144" s="322">
        <f t="shared" si="13"/>
        <v>-1.9262373758159205E-2</v>
      </c>
      <c r="AE144" s="322">
        <f t="shared" si="13"/>
        <v>-1.983270192100824E-2</v>
      </c>
      <c r="AF144" s="322">
        <f t="shared" si="13"/>
        <v>-1.983270192100824E-2</v>
      </c>
      <c r="AG144" s="322">
        <f t="shared" si="13"/>
        <v>-0.17160950368263961</v>
      </c>
      <c r="AH144" s="322">
        <f t="shared" si="13"/>
        <v>-0.17160950368263961</v>
      </c>
      <c r="AI144" s="322">
        <f t="shared" si="13"/>
        <v>-1.9262373758159205E-2</v>
      </c>
      <c r="AJ144" s="322">
        <f t="shared" si="13"/>
        <v>-1.9262373758159205E-2</v>
      </c>
      <c r="AK144" s="322">
        <f t="shared" si="13"/>
        <v>-0.16667453650809241</v>
      </c>
      <c r="AL144" s="322">
        <f t="shared" si="13"/>
        <v>-0.16667453650809241</v>
      </c>
      <c r="AM144" s="322">
        <f t="shared" si="13"/>
        <v>-1.9059999248761162E-2</v>
      </c>
      <c r="AN144" s="322">
        <f t="shared" si="13"/>
        <v>-1.9059999248761162E-2</v>
      </c>
      <c r="AO144" s="322">
        <f t="shared" si="13"/>
        <v>-0.16492341912357567</v>
      </c>
      <c r="AP144" s="322">
        <f t="shared" si="13"/>
        <v>-0.16492341912357567</v>
      </c>
      <c r="AQ144" s="304"/>
      <c r="AR144" s="304"/>
    </row>
    <row r="145" spans="3:44" x14ac:dyDescent="0.25">
      <c r="F145" t="s">
        <v>231</v>
      </c>
      <c r="G145" t="s">
        <v>328</v>
      </c>
      <c r="H145" s="304"/>
      <c r="I145" s="304"/>
      <c r="J145" s="322">
        <f t="shared" ref="J145:AP145" si="14">J40 * (1 - J$115)</f>
        <v>5.0205047644649572E-2</v>
      </c>
      <c r="K145" s="322">
        <f t="shared" si="14"/>
        <v>5.9943328358459051E-2</v>
      </c>
      <c r="L145" s="322">
        <f t="shared" si="14"/>
        <v>1.7066456447616032E-2</v>
      </c>
      <c r="M145" s="322">
        <f t="shared" si="14"/>
        <v>4.6142849299921712E-2</v>
      </c>
      <c r="N145" s="322">
        <f t="shared" si="14"/>
        <v>5.2071733992832582E-2</v>
      </c>
      <c r="O145" s="322">
        <f t="shared" si="14"/>
        <v>8.6254579189824088E-3</v>
      </c>
      <c r="P145" s="322">
        <f t="shared" si="14"/>
        <v>4.9340494253927863E-2</v>
      </c>
      <c r="Q145" s="322">
        <f t="shared" si="14"/>
        <v>3.7070539487110712E-2</v>
      </c>
      <c r="R145" s="322">
        <f t="shared" si="14"/>
        <v>4.044282006215652E-2</v>
      </c>
      <c r="S145" s="322">
        <f t="shared" si="14"/>
        <v>0.27089651316443147</v>
      </c>
      <c r="T145" s="322">
        <f t="shared" si="14"/>
        <v>0.2518712395001928</v>
      </c>
      <c r="U145" s="322">
        <f t="shared" si="14"/>
        <v>0.21063126309917266</v>
      </c>
      <c r="V145" s="322">
        <f t="shared" si="14"/>
        <v>0.20043487487487491</v>
      </c>
      <c r="W145" s="322">
        <f t="shared" si="14"/>
        <v>0.14258553015841535</v>
      </c>
      <c r="X145" s="322">
        <f t="shared" si="14"/>
        <v>2.9585101166269591E-2</v>
      </c>
      <c r="Y145" s="322">
        <f t="shared" si="14"/>
        <v>3.6277061175449966E-2</v>
      </c>
      <c r="Z145" s="322">
        <f t="shared" si="14"/>
        <v>6.5582940852672786E-2</v>
      </c>
      <c r="AA145" s="322">
        <f t="shared" si="14"/>
        <v>2.2760890965374456E-2</v>
      </c>
      <c r="AB145" s="322">
        <f t="shared" si="14"/>
        <v>0.63649794229163115</v>
      </c>
      <c r="AC145" s="322">
        <f t="shared" si="14"/>
        <v>-2.4500617966837199E-2</v>
      </c>
      <c r="AD145" s="322">
        <f t="shared" si="14"/>
        <v>-2.3796054741445777E-2</v>
      </c>
      <c r="AE145" s="322">
        <f t="shared" si="14"/>
        <v>-2.4500617966837199E-2</v>
      </c>
      <c r="AF145" s="322">
        <f t="shared" si="14"/>
        <v>-2.4500617966837199E-2</v>
      </c>
      <c r="AG145" s="322">
        <f t="shared" si="14"/>
        <v>-0.17814522570170718</v>
      </c>
      <c r="AH145" s="322">
        <f t="shared" si="14"/>
        <v>-0.17814522570170718</v>
      </c>
      <c r="AI145" s="322">
        <f t="shared" si="14"/>
        <v>-2.3796054741445777E-2</v>
      </c>
      <c r="AJ145" s="322">
        <f t="shared" si="14"/>
        <v>-2.3796054741445777E-2</v>
      </c>
      <c r="AK145" s="322">
        <f t="shared" si="14"/>
        <v>-0.17302231104794749</v>
      </c>
      <c r="AL145" s="322">
        <f t="shared" si="14"/>
        <v>-0.17302231104794749</v>
      </c>
      <c r="AM145" s="322">
        <f t="shared" si="14"/>
        <v>-2.3546048435661729E-2</v>
      </c>
      <c r="AN145" s="322">
        <f t="shared" si="14"/>
        <v>-2.3546048435661729E-2</v>
      </c>
      <c r="AO145" s="322">
        <f t="shared" si="14"/>
        <v>-0.1712045026224199</v>
      </c>
      <c r="AP145" s="322">
        <f t="shared" si="14"/>
        <v>-0.1712045026224199</v>
      </c>
      <c r="AQ145" s="304"/>
      <c r="AR145" s="304"/>
    </row>
    <row r="146" spans="3:44" x14ac:dyDescent="0.25">
      <c r="F146" t="s">
        <v>232</v>
      </c>
      <c r="G146" t="s">
        <v>328</v>
      </c>
      <c r="H146" s="304"/>
      <c r="I146" s="304"/>
      <c r="J146" s="322">
        <f t="shared" ref="J146:AP146" si="15">J41 * (1 - J$116)</f>
        <v>8.0765582279123074E-2</v>
      </c>
      <c r="K146" s="322">
        <f t="shared" si="15"/>
        <v>9.6431694535710072E-2</v>
      </c>
      <c r="L146" s="322">
        <f t="shared" si="15"/>
        <v>2.7455053965672303E-2</v>
      </c>
      <c r="M146" s="322">
        <f t="shared" si="15"/>
        <v>7.4230665372611582E-2</v>
      </c>
      <c r="N146" s="322">
        <f t="shared" si="15"/>
        <v>8.3768547457258077E-2</v>
      </c>
      <c r="O146" s="322">
        <f t="shared" si="15"/>
        <v>1.3875898220065319E-2</v>
      </c>
      <c r="P146" s="322">
        <f t="shared" si="15"/>
        <v>7.937476280401258E-2</v>
      </c>
      <c r="Q146" s="322">
        <f t="shared" si="15"/>
        <v>5.9635910083571025E-2</v>
      </c>
      <c r="R146" s="322">
        <f t="shared" si="15"/>
        <v>0</v>
      </c>
      <c r="S146" s="322">
        <f t="shared" si="15"/>
        <v>0.43579511721549241</v>
      </c>
      <c r="T146" s="322">
        <f t="shared" si="15"/>
        <v>0.40518888581844564</v>
      </c>
      <c r="U146" s="322">
        <f t="shared" si="15"/>
        <v>0.33884554259963579</v>
      </c>
      <c r="V146" s="322">
        <f t="shared" si="15"/>
        <v>0.32244246620165601</v>
      </c>
      <c r="W146" s="322">
        <f t="shared" si="15"/>
        <v>0</v>
      </c>
      <c r="X146" s="322">
        <f t="shared" si="15"/>
        <v>4.7593977788708969E-2</v>
      </c>
      <c r="Y146" s="322">
        <f t="shared" si="15"/>
        <v>5.8359430110466869E-2</v>
      </c>
      <c r="Z146" s="322">
        <f t="shared" si="15"/>
        <v>0.10550422027351468</v>
      </c>
      <c r="AA146" s="322">
        <f t="shared" si="15"/>
        <v>3.6615772681295518E-2</v>
      </c>
      <c r="AB146" s="322">
        <f t="shared" si="15"/>
        <v>1.0239433949451855</v>
      </c>
      <c r="AC146" s="322">
        <f t="shared" si="15"/>
        <v>-3.9414496532219415E-2</v>
      </c>
      <c r="AD146" s="322">
        <f t="shared" si="15"/>
        <v>-3.8281055537322563E-2</v>
      </c>
      <c r="AE146" s="322">
        <f t="shared" si="15"/>
        <v>-3.9414496532219415E-2</v>
      </c>
      <c r="AF146" s="322">
        <f t="shared" si="15"/>
        <v>-3.9414496532219415E-2</v>
      </c>
      <c r="AG146" s="322">
        <f t="shared" si="15"/>
        <v>-0.28658478696967304</v>
      </c>
      <c r="AH146" s="322">
        <f t="shared" si="15"/>
        <v>-0.28658478696967304</v>
      </c>
      <c r="AI146" s="322">
        <f t="shared" si="15"/>
        <v>-3.8281055537322563E-2</v>
      </c>
      <c r="AJ146" s="322">
        <f t="shared" si="15"/>
        <v>-3.8281055537322563E-2</v>
      </c>
      <c r="AK146" s="322">
        <f t="shared" si="15"/>
        <v>-0.27834348047982155</v>
      </c>
      <c r="AL146" s="322">
        <f t="shared" si="15"/>
        <v>-0.27834348047982155</v>
      </c>
      <c r="AM146" s="322">
        <f t="shared" si="15"/>
        <v>-3.7878866797197881E-2</v>
      </c>
      <c r="AN146" s="322">
        <f t="shared" si="15"/>
        <v>-3.7878866797197881E-2</v>
      </c>
      <c r="AO146" s="322">
        <f t="shared" si="15"/>
        <v>-0.27541914591890659</v>
      </c>
      <c r="AP146" s="322">
        <f t="shared" si="15"/>
        <v>-0.27541914591890659</v>
      </c>
      <c r="AQ146" s="304"/>
      <c r="AR146" s="304"/>
    </row>
    <row r="147" spans="3:44" x14ac:dyDescent="0.25">
      <c r="F147" t="s">
        <v>233</v>
      </c>
      <c r="G147" t="s">
        <v>328</v>
      </c>
      <c r="H147" s="304"/>
      <c r="I147" s="304"/>
      <c r="J147" s="322">
        <f t="shared" ref="J147:AP147" si="16">J42 * (1 - J$117)</f>
        <v>7.0360229935097131E-3</v>
      </c>
      <c r="K147" s="322">
        <f t="shared" si="16"/>
        <v>8.4297220474823225E-3</v>
      </c>
      <c r="L147" s="322">
        <f t="shared" si="16"/>
        <v>2.090521360186135E-3</v>
      </c>
      <c r="M147" s="322">
        <f t="shared" si="16"/>
        <v>6.1849079924185075E-3</v>
      </c>
      <c r="N147" s="322">
        <f t="shared" si="16"/>
        <v>7.0693873409530678E-3</v>
      </c>
      <c r="O147" s="322">
        <f t="shared" si="16"/>
        <v>9.3447191820475472E-4</v>
      </c>
      <c r="P147" s="322">
        <f t="shared" si="16"/>
        <v>6.7225165123950938E-3</v>
      </c>
      <c r="Q147" s="322">
        <f t="shared" si="16"/>
        <v>5.0476668969400111E-3</v>
      </c>
      <c r="R147" s="322">
        <f t="shared" si="16"/>
        <v>0</v>
      </c>
      <c r="S147" s="322">
        <f t="shared" si="16"/>
        <v>4.366767789600947E-2</v>
      </c>
      <c r="T147" s="322">
        <f t="shared" si="16"/>
        <v>4.0606232914035201E-2</v>
      </c>
      <c r="U147" s="322">
        <f t="shared" si="16"/>
        <v>3.3955671201339563E-2</v>
      </c>
      <c r="V147" s="322">
        <f t="shared" si="16"/>
        <v>3.2311920881984313E-2</v>
      </c>
      <c r="W147" s="322">
        <f t="shared" si="16"/>
        <v>0</v>
      </c>
      <c r="X147" s="322">
        <f t="shared" si="16"/>
        <v>4.0132458028888018E-3</v>
      </c>
      <c r="Y147" s="322">
        <f t="shared" si="16"/>
        <v>5.468415078148812E-3</v>
      </c>
      <c r="Z147" s="322">
        <f t="shared" si="16"/>
        <v>1.00617905905132E-2</v>
      </c>
      <c r="AA147" s="322">
        <f t="shared" si="16"/>
        <v>2.5645279017212398E-3</v>
      </c>
      <c r="AB147" s="322">
        <f t="shared" si="16"/>
        <v>0.10182888879070102</v>
      </c>
      <c r="AC147" s="322">
        <f t="shared" si="16"/>
        <v>-3.3189768603942636E-3</v>
      </c>
      <c r="AD147" s="322">
        <f t="shared" si="16"/>
        <v>-3.2235331844460043E-3</v>
      </c>
      <c r="AE147" s="322">
        <f t="shared" si="16"/>
        <v>-3.3189768603942636E-3</v>
      </c>
      <c r="AF147" s="322">
        <f t="shared" si="16"/>
        <v>-3.3189768603942636E-3</v>
      </c>
      <c r="AG147" s="322">
        <f t="shared" si="16"/>
        <v>-2.8718627144952807E-2</v>
      </c>
      <c r="AH147" s="322">
        <f t="shared" si="16"/>
        <v>-2.8718627144952807E-2</v>
      </c>
      <c r="AI147" s="322">
        <f t="shared" si="16"/>
        <v>-3.2235331844460043E-3</v>
      </c>
      <c r="AJ147" s="322">
        <f t="shared" si="16"/>
        <v>-3.2235331844460043E-3</v>
      </c>
      <c r="AK147" s="322">
        <f t="shared" si="16"/>
        <v>-2.7892766809615565E-2</v>
      </c>
      <c r="AL147" s="322">
        <f t="shared" si="16"/>
        <v>-2.7892766809615565E-2</v>
      </c>
      <c r="AM147" s="322">
        <f t="shared" si="16"/>
        <v>-3.1896660736256558E-3</v>
      </c>
      <c r="AN147" s="322">
        <f t="shared" si="16"/>
        <v>-3.1896660736256558E-3</v>
      </c>
      <c r="AO147" s="322">
        <f t="shared" si="16"/>
        <v>-2.7599719593850748E-2</v>
      </c>
      <c r="AP147" s="322">
        <f t="shared" si="16"/>
        <v>-2.7599719593850748E-2</v>
      </c>
      <c r="AQ147" s="304"/>
      <c r="AR147" s="304"/>
    </row>
    <row r="148" spans="3:44" x14ac:dyDescent="0.25">
      <c r="F148" t="s">
        <v>234</v>
      </c>
      <c r="G148" t="s">
        <v>328</v>
      </c>
      <c r="H148" s="304"/>
      <c r="I148" s="304"/>
      <c r="J148" s="322">
        <f t="shared" ref="J148:AP148" si="17">J43 * (1 - J$118)</f>
        <v>0.18607007370362552</v>
      </c>
      <c r="K148" s="322">
        <f t="shared" si="17"/>
        <v>0.22216211414924864</v>
      </c>
      <c r="L148" s="322">
        <f t="shared" si="17"/>
        <v>6.3251743759794116E-2</v>
      </c>
      <c r="M148" s="322">
        <f t="shared" si="17"/>
        <v>0.17101474399350999</v>
      </c>
      <c r="N148" s="322">
        <f t="shared" si="17"/>
        <v>0.19298839133667298</v>
      </c>
      <c r="O148" s="322">
        <f t="shared" si="17"/>
        <v>3.1967693807847988E-2</v>
      </c>
      <c r="P148" s="322">
        <f t="shared" si="17"/>
        <v>0.1828658637550378</v>
      </c>
      <c r="Q148" s="322">
        <f t="shared" si="17"/>
        <v>0.13739092657419183</v>
      </c>
      <c r="R148" s="322">
        <f t="shared" si="17"/>
        <v>0</v>
      </c>
      <c r="S148" s="322">
        <f t="shared" si="17"/>
        <v>1.00399733762493</v>
      </c>
      <c r="T148" s="322">
        <f t="shared" si="17"/>
        <v>0.93348582057603013</v>
      </c>
      <c r="U148" s="322">
        <f t="shared" si="17"/>
        <v>0.62451369314977745</v>
      </c>
      <c r="V148" s="322">
        <f t="shared" si="17"/>
        <v>0</v>
      </c>
      <c r="W148" s="322">
        <f t="shared" si="17"/>
        <v>0</v>
      </c>
      <c r="X148" s="322">
        <f t="shared" si="17"/>
        <v>0.10964837626488474</v>
      </c>
      <c r="Y148" s="322">
        <f t="shared" si="17"/>
        <v>0.13445013526217167</v>
      </c>
      <c r="Z148" s="322">
        <f t="shared" si="17"/>
        <v>0.2430636601429027</v>
      </c>
      <c r="AA148" s="322">
        <f t="shared" si="17"/>
        <v>8.4356471274831119E-2</v>
      </c>
      <c r="AB148" s="322">
        <f t="shared" si="17"/>
        <v>2.3589902727048089</v>
      </c>
      <c r="AC148" s="322">
        <f t="shared" si="17"/>
        <v>-9.0804251858121909E-2</v>
      </c>
      <c r="AD148" s="322">
        <f t="shared" si="17"/>
        <v>-8.8192997862201888E-2</v>
      </c>
      <c r="AE148" s="322">
        <f t="shared" si="17"/>
        <v>-9.0804251858121909E-2</v>
      </c>
      <c r="AF148" s="322">
        <f t="shared" si="17"/>
        <v>-9.0804251858121909E-2</v>
      </c>
      <c r="AG148" s="322">
        <f t="shared" si="17"/>
        <v>-0.66024228302466792</v>
      </c>
      <c r="AH148" s="322">
        <f t="shared" si="17"/>
        <v>-0.66024228302466792</v>
      </c>
      <c r="AI148" s="322">
        <f t="shared" si="17"/>
        <v>-8.8192997862201888E-2</v>
      </c>
      <c r="AJ148" s="322">
        <f t="shared" si="17"/>
        <v>-8.8192997862201888E-2</v>
      </c>
      <c r="AK148" s="322">
        <f t="shared" si="17"/>
        <v>-0.64125572386533136</v>
      </c>
      <c r="AL148" s="322">
        <f t="shared" si="17"/>
        <v>-0.64125572386533136</v>
      </c>
      <c r="AM148" s="322">
        <f t="shared" si="17"/>
        <v>0</v>
      </c>
      <c r="AN148" s="322">
        <f t="shared" si="17"/>
        <v>0</v>
      </c>
      <c r="AO148" s="322">
        <f t="shared" si="17"/>
        <v>0</v>
      </c>
      <c r="AP148" s="322">
        <f t="shared" si="17"/>
        <v>0</v>
      </c>
      <c r="AQ148" s="304"/>
      <c r="AR148" s="304"/>
    </row>
    <row r="149" spans="3:44" x14ac:dyDescent="0.25">
      <c r="F149" t="s">
        <v>235</v>
      </c>
      <c r="G149" t="s">
        <v>328</v>
      </c>
      <c r="H149" s="304"/>
      <c r="I149" s="304"/>
      <c r="J149" s="322">
        <f t="shared" ref="J149:AP149" si="18">J44 * (1 - J$119)</f>
        <v>8.5173974718174977E-2</v>
      </c>
      <c r="K149" s="322">
        <f t="shared" si="18"/>
        <v>0.10169518352545105</v>
      </c>
      <c r="L149" s="322">
        <f t="shared" si="18"/>
        <v>2.8953621163488652E-2</v>
      </c>
      <c r="M149" s="322">
        <f t="shared" si="18"/>
        <v>7.8282365301468509E-2</v>
      </c>
      <c r="N149" s="322">
        <f t="shared" si="18"/>
        <v>8.8340849430698948E-2</v>
      </c>
      <c r="O149" s="322">
        <f t="shared" si="18"/>
        <v>1.463328030129624E-2</v>
      </c>
      <c r="P149" s="322">
        <f t="shared" si="18"/>
        <v>8.3707240752199111E-2</v>
      </c>
      <c r="Q149" s="322">
        <f t="shared" si="18"/>
        <v>0</v>
      </c>
      <c r="R149" s="322">
        <f t="shared" si="18"/>
        <v>0</v>
      </c>
      <c r="S149" s="322">
        <f t="shared" si="18"/>
        <v>0.45958193141896159</v>
      </c>
      <c r="T149" s="322">
        <f t="shared" si="18"/>
        <v>0.42730513348514032</v>
      </c>
      <c r="U149" s="322">
        <f t="shared" si="18"/>
        <v>0</v>
      </c>
      <c r="V149" s="322">
        <f t="shared" si="18"/>
        <v>0</v>
      </c>
      <c r="W149" s="322">
        <f t="shared" si="18"/>
        <v>0</v>
      </c>
      <c r="X149" s="322">
        <f t="shared" si="18"/>
        <v>5.019177905389445E-2</v>
      </c>
      <c r="Y149" s="322">
        <f t="shared" si="18"/>
        <v>6.1544837349372647E-2</v>
      </c>
      <c r="Z149" s="322">
        <f t="shared" si="18"/>
        <v>0.11126291096597378</v>
      </c>
      <c r="AA149" s="322">
        <f t="shared" si="18"/>
        <v>3.8614355380549956E-2</v>
      </c>
      <c r="AB149" s="322">
        <f t="shared" si="18"/>
        <v>1.0798328492512717</v>
      </c>
      <c r="AC149" s="322">
        <f t="shared" si="18"/>
        <v>-4.1565840750864225E-2</v>
      </c>
      <c r="AD149" s="322">
        <f t="shared" si="18"/>
        <v>0</v>
      </c>
      <c r="AE149" s="322">
        <f t="shared" si="18"/>
        <v>-4.1565840750864225E-2</v>
      </c>
      <c r="AF149" s="322">
        <f t="shared" si="18"/>
        <v>-4.1565840750864225E-2</v>
      </c>
      <c r="AG149" s="322">
        <f t="shared" si="18"/>
        <v>-0.30222731900340755</v>
      </c>
      <c r="AH149" s="322">
        <f t="shared" si="18"/>
        <v>-0.30222731900340755</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236</v>
      </c>
      <c r="G150" t="s">
        <v>328</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0.10004258484406614</v>
      </c>
      <c r="Y150" s="322">
        <f t="shared" si="19"/>
        <v>0.12267157547110548</v>
      </c>
      <c r="Z150" s="322">
        <f t="shared" si="19"/>
        <v>0.22176996751517891</v>
      </c>
      <c r="AA150" s="322">
        <f t="shared" si="19"/>
        <v>7.6966387666982869E-2</v>
      </c>
      <c r="AB150" s="322">
        <f t="shared" si="19"/>
        <v>2.1523299527325257</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437</v>
      </c>
      <c r="G151" s="23" t="s">
        <v>328</v>
      </c>
      <c r="H151" s="302"/>
      <c r="I151" s="302" t="s">
        <v>191</v>
      </c>
      <c r="J151" s="320"/>
      <c r="K151" s="320"/>
      <c r="L151" s="320"/>
      <c r="M151" s="320"/>
      <c r="N151" s="320"/>
      <c r="O151" s="320"/>
      <c r="P151" s="320"/>
      <c r="Q151" s="320"/>
      <c r="R151" s="320"/>
      <c r="S151" s="320"/>
      <c r="T151" s="320"/>
      <c r="U151" s="320"/>
      <c r="V151" s="320"/>
      <c r="W151" s="320"/>
      <c r="X151" s="321">
        <f>X46</f>
        <v>0.70225428447889948</v>
      </c>
      <c r="Y151" s="321">
        <f>Y46</f>
        <v>0.70225428447889948</v>
      </c>
      <c r="Z151" s="321">
        <f>Z46</f>
        <v>0.70225428447889948</v>
      </c>
      <c r="AA151" s="321">
        <f>AA46</f>
        <v>0.70225428447889948</v>
      </c>
      <c r="AB151" s="321">
        <f>AB46</f>
        <v>0.70225428447889948</v>
      </c>
      <c r="AC151" s="320"/>
      <c r="AD151" s="320"/>
      <c r="AE151" s="320"/>
      <c r="AF151" s="320"/>
      <c r="AG151" s="320"/>
      <c r="AH151" s="320"/>
      <c r="AI151" s="320"/>
      <c r="AJ151" s="320"/>
      <c r="AK151" s="320"/>
      <c r="AL151" s="320"/>
      <c r="AM151" s="320"/>
      <c r="AN151" s="320"/>
      <c r="AO151" s="320"/>
      <c r="AP151" s="320"/>
      <c r="AQ151" s="304"/>
      <c r="AR151" s="304" t="s">
        <v>780</v>
      </c>
    </row>
    <row r="152" spans="3:44" x14ac:dyDescent="0.25">
      <c r="D152"/>
      <c r="F152" s="37" t="s">
        <v>438</v>
      </c>
      <c r="G152" s="37" t="s">
        <v>328</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191</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782</v>
      </c>
    </row>
    <row r="156" spans="3:44" x14ac:dyDescent="0.25">
      <c r="E156" s="32" t="s">
        <v>734</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226</v>
      </c>
      <c r="G157" s="23" t="s">
        <v>328</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228</v>
      </c>
      <c r="G158" t="s">
        <v>328</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229</v>
      </c>
      <c r="G159" t="s">
        <v>328</v>
      </c>
      <c r="H159" s="304"/>
      <c r="I159" s="304"/>
      <c r="J159" s="322">
        <f t="shared" ref="J159:AP159" si="22">J54 * (1 - J$113)</f>
        <v>0</v>
      </c>
      <c r="K159" s="322">
        <f t="shared" si="22"/>
        <v>2.6910400796617117E-3</v>
      </c>
      <c r="L159" s="322">
        <f t="shared" si="22"/>
        <v>0</v>
      </c>
      <c r="M159" s="322">
        <f t="shared" si="22"/>
        <v>0</v>
      </c>
      <c r="N159" s="322">
        <f t="shared" si="22"/>
        <v>2.4538591622587872E-3</v>
      </c>
      <c r="O159" s="322">
        <f t="shared" si="22"/>
        <v>0</v>
      </c>
      <c r="P159" s="322">
        <f t="shared" si="22"/>
        <v>2.2280180987646063E-3</v>
      </c>
      <c r="Q159" s="322">
        <f t="shared" si="22"/>
        <v>1.6860020977404226E-3</v>
      </c>
      <c r="R159" s="322">
        <f t="shared" si="22"/>
        <v>2.2461944426667539E-3</v>
      </c>
      <c r="S159" s="322">
        <f t="shared" si="22"/>
        <v>7.122354059288899E-2</v>
      </c>
      <c r="T159" s="322">
        <f t="shared" si="22"/>
        <v>6.6230214603222232E-2</v>
      </c>
      <c r="U159" s="322">
        <f t="shared" si="22"/>
        <v>5.5382911175783117E-2</v>
      </c>
      <c r="V159" s="322">
        <f t="shared" si="22"/>
        <v>5.27018957603545E-2</v>
      </c>
      <c r="W159" s="322">
        <f t="shared" si="22"/>
        <v>4.6160524664478196E-2</v>
      </c>
      <c r="X159" s="322">
        <f t="shared" si="22"/>
        <v>0</v>
      </c>
      <c r="Y159" s="322">
        <f t="shared" si="22"/>
        <v>0</v>
      </c>
      <c r="Z159" s="322">
        <f t="shared" si="22"/>
        <v>0</v>
      </c>
      <c r="AA159" s="322">
        <f t="shared" si="22"/>
        <v>0</v>
      </c>
      <c r="AB159" s="322">
        <f t="shared" si="22"/>
        <v>5.3618379455198394E-2</v>
      </c>
      <c r="AC159" s="322">
        <f t="shared" si="22"/>
        <v>0</v>
      </c>
      <c r="AD159" s="322">
        <f t="shared" si="22"/>
        <v>0</v>
      </c>
      <c r="AE159" s="322">
        <f t="shared" si="22"/>
        <v>0</v>
      </c>
      <c r="AF159" s="322">
        <f t="shared" si="22"/>
        <v>0</v>
      </c>
      <c r="AG159" s="322">
        <f t="shared" si="22"/>
        <v>-4.6841105476266028E-2</v>
      </c>
      <c r="AH159" s="322">
        <f t="shared" si="22"/>
        <v>-4.6841105476266028E-2</v>
      </c>
      <c r="AI159" s="322">
        <f t="shared" si="22"/>
        <v>0</v>
      </c>
      <c r="AJ159" s="322">
        <f t="shared" si="22"/>
        <v>0</v>
      </c>
      <c r="AK159" s="322">
        <f t="shared" si="22"/>
        <v>-4.5494097804870619E-2</v>
      </c>
      <c r="AL159" s="322">
        <f t="shared" si="22"/>
        <v>-4.5494097804870619E-2</v>
      </c>
      <c r="AM159" s="322">
        <f t="shared" si="22"/>
        <v>0</v>
      </c>
      <c r="AN159" s="322">
        <f t="shared" si="22"/>
        <v>0</v>
      </c>
      <c r="AO159" s="322">
        <f t="shared" si="22"/>
        <v>-4.5016127340827078E-2</v>
      </c>
      <c r="AP159" s="322">
        <f t="shared" si="22"/>
        <v>-4.5016127340827078E-2</v>
      </c>
      <c r="AQ159" s="304"/>
      <c r="AR159" s="304"/>
    </row>
    <row r="160" spans="3:44" x14ac:dyDescent="0.25">
      <c r="F160" t="s">
        <v>230</v>
      </c>
      <c r="G160" t="s">
        <v>328</v>
      </c>
      <c r="H160" s="304"/>
      <c r="I160" s="304"/>
      <c r="J160" s="322">
        <f t="shared" ref="J160:AP160" si="23">J55 * (1 - J$114)</f>
        <v>0</v>
      </c>
      <c r="K160" s="322">
        <f t="shared" si="23"/>
        <v>1.4060433316126942E-3</v>
      </c>
      <c r="L160" s="322">
        <f t="shared" si="23"/>
        <v>0</v>
      </c>
      <c r="M160" s="322">
        <f t="shared" si="23"/>
        <v>0</v>
      </c>
      <c r="N160" s="322">
        <f t="shared" si="23"/>
        <v>1.2821185153973653E-3</v>
      </c>
      <c r="O160" s="322">
        <f t="shared" si="23"/>
        <v>0</v>
      </c>
      <c r="P160" s="322">
        <f t="shared" si="23"/>
        <v>1.1641186670375331E-3</v>
      </c>
      <c r="Q160" s="322">
        <f t="shared" si="23"/>
        <v>8.8092036403669628E-4</v>
      </c>
      <c r="R160" s="322">
        <f t="shared" si="23"/>
        <v>1.1914986842436032E-3</v>
      </c>
      <c r="S160" s="322">
        <f t="shared" si="23"/>
        <v>3.7213635375161924E-2</v>
      </c>
      <c r="T160" s="322">
        <f t="shared" si="23"/>
        <v>3.4604669138129172E-2</v>
      </c>
      <c r="U160" s="322">
        <f t="shared" si="23"/>
        <v>2.8937054313140177E-2</v>
      </c>
      <c r="V160" s="322">
        <f t="shared" si="23"/>
        <v>2.7536248775049448E-2</v>
      </c>
      <c r="W160" s="322">
        <f t="shared" si="23"/>
        <v>2.4485949816714068E-2</v>
      </c>
      <c r="X160" s="322">
        <f t="shared" si="23"/>
        <v>0</v>
      </c>
      <c r="Y160" s="322">
        <f t="shared" si="23"/>
        <v>0</v>
      </c>
      <c r="Z160" s="322">
        <f t="shared" si="23"/>
        <v>0</v>
      </c>
      <c r="AA160" s="322">
        <f t="shared" si="23"/>
        <v>0</v>
      </c>
      <c r="AB160" s="322">
        <f t="shared" si="23"/>
        <v>2.8015102953924783E-2</v>
      </c>
      <c r="AC160" s="322">
        <f t="shared" si="23"/>
        <v>0</v>
      </c>
      <c r="AD160" s="322">
        <f t="shared" si="23"/>
        <v>0</v>
      </c>
      <c r="AE160" s="322">
        <f t="shared" si="23"/>
        <v>0</v>
      </c>
      <c r="AF160" s="322">
        <f t="shared" si="23"/>
        <v>0</v>
      </c>
      <c r="AG160" s="322">
        <f t="shared" si="23"/>
        <v>-2.4474040538463471E-2</v>
      </c>
      <c r="AH160" s="322">
        <f t="shared" si="23"/>
        <v>-2.4474040538463471E-2</v>
      </c>
      <c r="AI160" s="322">
        <f t="shared" si="23"/>
        <v>0</v>
      </c>
      <c r="AJ160" s="322">
        <f t="shared" si="23"/>
        <v>0</v>
      </c>
      <c r="AK160" s="322">
        <f t="shared" si="23"/>
        <v>-2.3770241599045686E-2</v>
      </c>
      <c r="AL160" s="322">
        <f t="shared" si="23"/>
        <v>-2.3770241599045686E-2</v>
      </c>
      <c r="AM160" s="322">
        <f t="shared" si="23"/>
        <v>0</v>
      </c>
      <c r="AN160" s="322">
        <f t="shared" si="23"/>
        <v>0</v>
      </c>
      <c r="AO160" s="322">
        <f t="shared" si="23"/>
        <v>-2.352050649151035E-2</v>
      </c>
      <c r="AP160" s="322">
        <f t="shared" si="23"/>
        <v>-2.352050649151035E-2</v>
      </c>
      <c r="AQ160" s="304"/>
      <c r="AR160" s="304"/>
    </row>
    <row r="161" spans="4:44" x14ac:dyDescent="0.25">
      <c r="F161" t="s">
        <v>231</v>
      </c>
      <c r="G161" t="s">
        <v>328</v>
      </c>
      <c r="H161" s="304"/>
      <c r="I161" s="304"/>
      <c r="J161" s="322">
        <f t="shared" ref="J161:AP161" si="24">J56 * (1 - J$115)</f>
        <v>0</v>
      </c>
      <c r="K161" s="322">
        <f t="shared" si="24"/>
        <v>4.8852622459550953E-3</v>
      </c>
      <c r="L161" s="322">
        <f t="shared" si="24"/>
        <v>0</v>
      </c>
      <c r="M161" s="322">
        <f t="shared" si="24"/>
        <v>0</v>
      </c>
      <c r="N161" s="322">
        <f t="shared" si="24"/>
        <v>4.4547227496481538E-3</v>
      </c>
      <c r="O161" s="322">
        <f t="shared" si="24"/>
        <v>0</v>
      </c>
      <c r="P161" s="322">
        <f t="shared" si="24"/>
        <v>4.0446848460235895E-3</v>
      </c>
      <c r="Q161" s="322">
        <f t="shared" si="24"/>
        <v>3.0607234020566831E-3</v>
      </c>
      <c r="R161" s="322">
        <f t="shared" si="24"/>
        <v>3.0951909614009248E-3</v>
      </c>
      <c r="S161" s="322">
        <f t="shared" si="24"/>
        <v>6.701364426334995E-2</v>
      </c>
      <c r="T161" s="322">
        <f t="shared" si="24"/>
        <v>6.2307223695380914E-2</v>
      </c>
      <c r="U161" s="322">
        <f t="shared" si="24"/>
        <v>5.2105390251000597E-2</v>
      </c>
      <c r="V161" s="322">
        <f t="shared" si="24"/>
        <v>4.9583035403194399E-2</v>
      </c>
      <c r="W161" s="322">
        <f t="shared" si="24"/>
        <v>3.2964897936997674E-2</v>
      </c>
      <c r="X161" s="322">
        <f t="shared" si="24"/>
        <v>0</v>
      </c>
      <c r="Y161" s="322">
        <f t="shared" si="24"/>
        <v>0</v>
      </c>
      <c r="Z161" s="322">
        <f t="shared" si="24"/>
        <v>0</v>
      </c>
      <c r="AA161" s="322">
        <f t="shared" si="24"/>
        <v>0</v>
      </c>
      <c r="AB161" s="322">
        <f t="shared" si="24"/>
        <v>4.7172122529675266E-2</v>
      </c>
      <c r="AC161" s="322">
        <f t="shared" si="24"/>
        <v>0</v>
      </c>
      <c r="AD161" s="322">
        <f t="shared" si="24"/>
        <v>0</v>
      </c>
      <c r="AE161" s="322">
        <f t="shared" si="24"/>
        <v>0</v>
      </c>
      <c r="AF161" s="322">
        <f t="shared" si="24"/>
        <v>0</v>
      </c>
      <c r="AG161" s="322">
        <f t="shared" si="24"/>
        <v>-4.40690824807407E-2</v>
      </c>
      <c r="AH161" s="322">
        <f t="shared" si="24"/>
        <v>-4.40690824807407E-2</v>
      </c>
      <c r="AI161" s="322">
        <f t="shared" si="24"/>
        <v>0</v>
      </c>
      <c r="AJ161" s="322">
        <f t="shared" si="24"/>
        <v>0</v>
      </c>
      <c r="AK161" s="322">
        <f t="shared" si="24"/>
        <v>-4.280178975634092E-2</v>
      </c>
      <c r="AL161" s="322">
        <f t="shared" si="24"/>
        <v>-4.280178975634092E-2</v>
      </c>
      <c r="AM161" s="322">
        <f t="shared" si="24"/>
        <v>0</v>
      </c>
      <c r="AN161" s="322">
        <f t="shared" si="24"/>
        <v>0</v>
      </c>
      <c r="AO161" s="322">
        <f t="shared" si="24"/>
        <v>-3.9581428417260971E-2</v>
      </c>
      <c r="AP161" s="322">
        <f t="shared" si="24"/>
        <v>-3.9581428417260971E-2</v>
      </c>
      <c r="AQ161" s="304"/>
      <c r="AR161" s="304"/>
    </row>
    <row r="162" spans="4:44" x14ac:dyDescent="0.25">
      <c r="F162" t="s">
        <v>232</v>
      </c>
      <c r="G162" t="s">
        <v>328</v>
      </c>
      <c r="H162" s="304"/>
      <c r="I162" s="304"/>
      <c r="J162" s="322">
        <f t="shared" ref="J162:AP162" si="25">J57 * (1 - J$116)</f>
        <v>0</v>
      </c>
      <c r="K162" s="322">
        <f t="shared" si="25"/>
        <v>7.8589916431008287E-3</v>
      </c>
      <c r="L162" s="322">
        <f t="shared" si="25"/>
        <v>0</v>
      </c>
      <c r="M162" s="322">
        <f t="shared" si="25"/>
        <v>0</v>
      </c>
      <c r="N162" s="322">
        <f t="shared" si="25"/>
        <v>7.1663765626509193E-3</v>
      </c>
      <c r="O162" s="322">
        <f t="shared" si="25"/>
        <v>0</v>
      </c>
      <c r="P162" s="322">
        <f t="shared" si="25"/>
        <v>6.5067426892374313E-3</v>
      </c>
      <c r="Q162" s="322">
        <f t="shared" si="25"/>
        <v>4.9238297613445493E-3</v>
      </c>
      <c r="R162" s="322">
        <f t="shared" si="25"/>
        <v>0</v>
      </c>
      <c r="S162" s="322">
        <f t="shared" si="25"/>
        <v>0.10780581342904635</v>
      </c>
      <c r="T162" s="322">
        <f t="shared" si="25"/>
        <v>0.10023452696572259</v>
      </c>
      <c r="U162" s="322">
        <f t="shared" si="25"/>
        <v>8.3822690763873706E-2</v>
      </c>
      <c r="V162" s="322">
        <f t="shared" si="25"/>
        <v>7.9764942239471157E-2</v>
      </c>
      <c r="W162" s="322">
        <f t="shared" si="25"/>
        <v>0</v>
      </c>
      <c r="X162" s="322">
        <f t="shared" si="25"/>
        <v>0</v>
      </c>
      <c r="Y162" s="322">
        <f t="shared" si="25"/>
        <v>0</v>
      </c>
      <c r="Z162" s="322">
        <f t="shared" si="25"/>
        <v>0</v>
      </c>
      <c r="AA162" s="322">
        <f t="shared" si="25"/>
        <v>0</v>
      </c>
      <c r="AB162" s="322">
        <f t="shared" si="25"/>
        <v>7.5886472022049539E-2</v>
      </c>
      <c r="AC162" s="322">
        <f t="shared" si="25"/>
        <v>0</v>
      </c>
      <c r="AD162" s="322">
        <f t="shared" si="25"/>
        <v>0</v>
      </c>
      <c r="AE162" s="322">
        <f t="shared" si="25"/>
        <v>0</v>
      </c>
      <c r="AF162" s="322">
        <f t="shared" si="25"/>
        <v>0</v>
      </c>
      <c r="AG162" s="322">
        <f t="shared" si="25"/>
        <v>-7.0894566862203565E-2</v>
      </c>
      <c r="AH162" s="322">
        <f t="shared" si="25"/>
        <v>-7.0894566862203565E-2</v>
      </c>
      <c r="AI162" s="322">
        <f t="shared" si="25"/>
        <v>0</v>
      </c>
      <c r="AJ162" s="322">
        <f t="shared" si="25"/>
        <v>0</v>
      </c>
      <c r="AK162" s="322">
        <f t="shared" si="25"/>
        <v>-6.8855854828132779E-2</v>
      </c>
      <c r="AL162" s="322">
        <f t="shared" si="25"/>
        <v>-6.8855854828132779E-2</v>
      </c>
      <c r="AM162" s="322">
        <f t="shared" si="25"/>
        <v>0</v>
      </c>
      <c r="AN162" s="322">
        <f t="shared" si="25"/>
        <v>0</v>
      </c>
      <c r="AO162" s="322">
        <f t="shared" si="25"/>
        <v>-4.4175056388038661E-2</v>
      </c>
      <c r="AP162" s="322">
        <f t="shared" si="25"/>
        <v>-4.4175056388038661E-2</v>
      </c>
      <c r="AQ162" s="304"/>
      <c r="AR162" s="304"/>
    </row>
    <row r="163" spans="4:44" x14ac:dyDescent="0.25">
      <c r="F163" t="s">
        <v>233</v>
      </c>
      <c r="G163" t="s">
        <v>328</v>
      </c>
      <c r="H163" s="304"/>
      <c r="I163" s="304"/>
      <c r="J163" s="322">
        <f t="shared" ref="J163:AP163" si="26">J58 * (1 - J$117)</f>
        <v>0</v>
      </c>
      <c r="K163" s="322">
        <f t="shared" si="26"/>
        <v>2.3529952201777212E-4</v>
      </c>
      <c r="L163" s="322">
        <f t="shared" si="26"/>
        <v>0</v>
      </c>
      <c r="M163" s="322">
        <f t="shared" si="26"/>
        <v>0</v>
      </c>
      <c r="N163" s="322">
        <f t="shared" si="26"/>
        <v>2.1456086527370003E-4</v>
      </c>
      <c r="O163" s="322">
        <f t="shared" si="26"/>
        <v>0</v>
      </c>
      <c r="P163" s="322">
        <f t="shared" si="26"/>
        <v>1.9481374419074446E-4</v>
      </c>
      <c r="Q163" s="322">
        <f t="shared" si="26"/>
        <v>1.4742087667796953E-4</v>
      </c>
      <c r="R163" s="322">
        <f t="shared" si="26"/>
        <v>0</v>
      </c>
      <c r="S163" s="322">
        <f t="shared" si="26"/>
        <v>6.227653458073695E-3</v>
      </c>
      <c r="T163" s="322">
        <f t="shared" si="26"/>
        <v>5.7910463530634988E-3</v>
      </c>
      <c r="U163" s="322">
        <f t="shared" si="26"/>
        <v>4.842578386737623E-3</v>
      </c>
      <c r="V163" s="322">
        <f t="shared" si="26"/>
        <v>4.6081554026503949E-3</v>
      </c>
      <c r="W163" s="322">
        <f t="shared" si="26"/>
        <v>0</v>
      </c>
      <c r="X163" s="322">
        <f t="shared" si="26"/>
        <v>0</v>
      </c>
      <c r="Y163" s="322">
        <f t="shared" si="26"/>
        <v>0</v>
      </c>
      <c r="Z163" s="322">
        <f t="shared" si="26"/>
        <v>0</v>
      </c>
      <c r="AA163" s="322">
        <f t="shared" si="26"/>
        <v>0</v>
      </c>
      <c r="AB163" s="322">
        <f t="shared" si="26"/>
        <v>4.6882910264055633E-3</v>
      </c>
      <c r="AC163" s="322">
        <f t="shared" si="26"/>
        <v>0</v>
      </c>
      <c r="AD163" s="322">
        <f t="shared" si="26"/>
        <v>0</v>
      </c>
      <c r="AE163" s="322">
        <f t="shared" si="26"/>
        <v>0</v>
      </c>
      <c r="AF163" s="322">
        <f t="shared" si="26"/>
        <v>0</v>
      </c>
      <c r="AG163" s="322">
        <f t="shared" si="26"/>
        <v>-4.0956988387683066E-3</v>
      </c>
      <c r="AH163" s="322">
        <f t="shared" si="26"/>
        <v>-4.0956988387683066E-3</v>
      </c>
      <c r="AI163" s="322">
        <f t="shared" si="26"/>
        <v>0</v>
      </c>
      <c r="AJ163" s="322">
        <f t="shared" si="26"/>
        <v>0</v>
      </c>
      <c r="AK163" s="322">
        <f t="shared" si="26"/>
        <v>-3.9779190020319257E-3</v>
      </c>
      <c r="AL163" s="322">
        <f t="shared" si="26"/>
        <v>-3.9779190020319257E-3</v>
      </c>
      <c r="AM163" s="322">
        <f t="shared" si="26"/>
        <v>0</v>
      </c>
      <c r="AN163" s="322">
        <f t="shared" si="26"/>
        <v>0</v>
      </c>
      <c r="AO163" s="322">
        <f t="shared" si="26"/>
        <v>-2.5520676006481596E-3</v>
      </c>
      <c r="AP163" s="322">
        <f t="shared" si="26"/>
        <v>-2.5520676006481596E-3</v>
      </c>
      <c r="AQ163" s="304"/>
      <c r="AR163" s="304"/>
    </row>
    <row r="164" spans="4:44" x14ac:dyDescent="0.25">
      <c r="F164" t="s">
        <v>234</v>
      </c>
      <c r="G164" t="s">
        <v>328</v>
      </c>
      <c r="H164" s="304"/>
      <c r="I164" s="304"/>
      <c r="J164" s="322">
        <f t="shared" ref="J164:AP164" si="27">J59 * (1 - J$118)</f>
        <v>0</v>
      </c>
      <c r="K164" s="322">
        <f t="shared" si="27"/>
        <v>9.43068933566177E-3</v>
      </c>
      <c r="L164" s="322">
        <f t="shared" si="27"/>
        <v>0</v>
      </c>
      <c r="M164" s="322">
        <f t="shared" si="27"/>
        <v>0</v>
      </c>
      <c r="N164" s="322">
        <f t="shared" si="27"/>
        <v>8.599560108205272E-3</v>
      </c>
      <c r="O164" s="322">
        <f t="shared" si="27"/>
        <v>0</v>
      </c>
      <c r="P164" s="322">
        <f t="shared" si="27"/>
        <v>7.8080079068611067E-3</v>
      </c>
      <c r="Q164" s="322">
        <f t="shared" si="27"/>
        <v>5.9085326629263E-3</v>
      </c>
      <c r="R164" s="322">
        <f t="shared" si="27"/>
        <v>0</v>
      </c>
      <c r="S164" s="322">
        <f t="shared" si="27"/>
        <v>0.12936559563848951</v>
      </c>
      <c r="T164" s="322">
        <f t="shared" si="27"/>
        <v>0.12028014883443421</v>
      </c>
      <c r="U164" s="322">
        <f t="shared" si="27"/>
        <v>8.0468924439414502E-2</v>
      </c>
      <c r="V164" s="322">
        <f t="shared" si="27"/>
        <v>0</v>
      </c>
      <c r="W164" s="322">
        <f t="shared" si="27"/>
        <v>0</v>
      </c>
      <c r="X164" s="322">
        <f t="shared" si="27"/>
        <v>0</v>
      </c>
      <c r="Y164" s="322">
        <f t="shared" si="27"/>
        <v>0</v>
      </c>
      <c r="Z164" s="322">
        <f t="shared" si="27"/>
        <v>0</v>
      </c>
      <c r="AA164" s="322">
        <f t="shared" si="27"/>
        <v>0</v>
      </c>
      <c r="AB164" s="322">
        <f t="shared" si="27"/>
        <v>9.1062794684047765E-2</v>
      </c>
      <c r="AC164" s="322">
        <f t="shared" si="27"/>
        <v>0</v>
      </c>
      <c r="AD164" s="322">
        <f t="shared" si="27"/>
        <v>0</v>
      </c>
      <c r="AE164" s="322">
        <f t="shared" si="27"/>
        <v>0</v>
      </c>
      <c r="AF164" s="322">
        <f t="shared" si="27"/>
        <v>0</v>
      </c>
      <c r="AG164" s="322">
        <f t="shared" si="27"/>
        <v>-8.5072572414639724E-2</v>
      </c>
      <c r="AH164" s="322">
        <f t="shared" si="27"/>
        <v>-8.5072572414639724E-2</v>
      </c>
      <c r="AI164" s="322">
        <f t="shared" si="27"/>
        <v>0</v>
      </c>
      <c r="AJ164" s="322">
        <f t="shared" si="27"/>
        <v>0</v>
      </c>
      <c r="AK164" s="322">
        <f t="shared" si="27"/>
        <v>-8.2626144079895894E-2</v>
      </c>
      <c r="AL164" s="322">
        <f t="shared" si="27"/>
        <v>-8.2626144079895894E-2</v>
      </c>
      <c r="AM164" s="322">
        <f t="shared" si="27"/>
        <v>0</v>
      </c>
      <c r="AN164" s="322">
        <f t="shared" si="27"/>
        <v>0</v>
      </c>
      <c r="AO164" s="322">
        <f t="shared" si="27"/>
        <v>0</v>
      </c>
      <c r="AP164" s="322">
        <f t="shared" si="27"/>
        <v>0</v>
      </c>
      <c r="AQ164" s="304"/>
      <c r="AR164" s="304"/>
    </row>
    <row r="165" spans="4:44" x14ac:dyDescent="0.25">
      <c r="F165" t="s">
        <v>235</v>
      </c>
      <c r="G165" t="s">
        <v>328</v>
      </c>
      <c r="H165" s="304"/>
      <c r="I165" s="304"/>
      <c r="J165" s="322">
        <f t="shared" ref="J165:AP165" si="28">J60 * (1 - J$119)</f>
        <v>0</v>
      </c>
      <c r="K165" s="322">
        <f t="shared" si="28"/>
        <v>2.4124262275760119E-3</v>
      </c>
      <c r="L165" s="322">
        <f t="shared" si="28"/>
        <v>0</v>
      </c>
      <c r="M165" s="322">
        <f t="shared" si="28"/>
        <v>0</v>
      </c>
      <c r="N165" s="322">
        <f t="shared" si="28"/>
        <v>2.1998184451057444E-3</v>
      </c>
      <c r="O165" s="322">
        <f t="shared" si="28"/>
        <v>0</v>
      </c>
      <c r="P165" s="322">
        <f t="shared" si="28"/>
        <v>1.9973347004872831E-3</v>
      </c>
      <c r="Q165" s="322">
        <f t="shared" si="28"/>
        <v>0</v>
      </c>
      <c r="R165" s="322">
        <f t="shared" si="28"/>
        <v>0</v>
      </c>
      <c r="S165" s="322">
        <f t="shared" si="28"/>
        <v>3.3092486111714912E-2</v>
      </c>
      <c r="T165" s="322">
        <f t="shared" si="28"/>
        <v>3.0768374969969651E-2</v>
      </c>
      <c r="U165" s="322">
        <f t="shared" si="28"/>
        <v>0</v>
      </c>
      <c r="V165" s="322">
        <f t="shared" si="28"/>
        <v>0</v>
      </c>
      <c r="W165" s="322">
        <f t="shared" si="28"/>
        <v>0</v>
      </c>
      <c r="X165" s="322">
        <f t="shared" si="28"/>
        <v>0</v>
      </c>
      <c r="Y165" s="322">
        <f t="shared" si="28"/>
        <v>0</v>
      </c>
      <c r="Z165" s="322">
        <f t="shared" si="28"/>
        <v>0</v>
      </c>
      <c r="AA165" s="322">
        <f t="shared" si="28"/>
        <v>0</v>
      </c>
      <c r="AB165" s="322">
        <f t="shared" si="28"/>
        <v>2.3294402607606495E-2</v>
      </c>
      <c r="AC165" s="322">
        <f t="shared" si="28"/>
        <v>0</v>
      </c>
      <c r="AD165" s="322">
        <f t="shared" si="28"/>
        <v>0</v>
      </c>
      <c r="AE165" s="322">
        <f t="shared" si="28"/>
        <v>0</v>
      </c>
      <c r="AF165" s="322">
        <f t="shared" si="28"/>
        <v>0</v>
      </c>
      <c r="AG165" s="322">
        <f t="shared" si="28"/>
        <v>-2.17620682471601E-2</v>
      </c>
      <c r="AH165" s="322">
        <f t="shared" si="28"/>
        <v>-2.17620682471601E-2</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236</v>
      </c>
      <c r="G166" t="s">
        <v>328</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9.7759128041150466E-3</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437</v>
      </c>
      <c r="G167" s="23" t="s">
        <v>328</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438</v>
      </c>
      <c r="G168" s="37" t="s">
        <v>328</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735</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226</v>
      </c>
      <c r="G171" s="23" t="s">
        <v>328</v>
      </c>
      <c r="H171" s="302"/>
      <c r="I171" s="302"/>
      <c r="J171" s="321">
        <f t="shared" ref="J171:AP171" si="30">J66 * (1 - J$112)</f>
        <v>0</v>
      </c>
      <c r="K171" s="321">
        <f t="shared" si="30"/>
        <v>0</v>
      </c>
      <c r="L171" s="321">
        <f t="shared" si="30"/>
        <v>0</v>
      </c>
      <c r="M171" s="321">
        <f t="shared" si="30"/>
        <v>0</v>
      </c>
      <c r="N171" s="321">
        <f t="shared" si="30"/>
        <v>0</v>
      </c>
      <c r="O171" s="321">
        <f t="shared" si="30"/>
        <v>0</v>
      </c>
      <c r="P171" s="321">
        <f t="shared" si="30"/>
        <v>0</v>
      </c>
      <c r="Q171" s="321">
        <f t="shared" si="30"/>
        <v>0</v>
      </c>
      <c r="R171" s="321">
        <f t="shared" si="30"/>
        <v>0</v>
      </c>
      <c r="S171" s="321">
        <f t="shared" si="30"/>
        <v>1.8567216037547039E-2</v>
      </c>
      <c r="T171" s="321">
        <f t="shared" si="30"/>
        <v>1.7267742655450613E-2</v>
      </c>
      <c r="U171" s="321">
        <f t="shared" si="30"/>
        <v>1.4438051122029368E-2</v>
      </c>
      <c r="V171" s="321">
        <f t="shared" si="30"/>
        <v>1.3739123658573221E-2</v>
      </c>
      <c r="W171" s="321">
        <f t="shared" si="30"/>
        <v>1.22171867046131E-2</v>
      </c>
      <c r="X171" s="321">
        <f t="shared" si="30"/>
        <v>0</v>
      </c>
      <c r="Y171" s="321">
        <f t="shared" si="30"/>
        <v>0</v>
      </c>
      <c r="Z171" s="321">
        <f t="shared" si="30"/>
        <v>0</v>
      </c>
      <c r="AA171" s="321">
        <f t="shared" si="30"/>
        <v>0</v>
      </c>
      <c r="AB171" s="321">
        <f t="shared" si="30"/>
        <v>2.5200805882497443E-2</v>
      </c>
      <c r="AC171" s="321">
        <f t="shared" si="30"/>
        <v>0</v>
      </c>
      <c r="AD171" s="321">
        <f t="shared" si="30"/>
        <v>0</v>
      </c>
      <c r="AE171" s="321">
        <f t="shared" si="30"/>
        <v>0</v>
      </c>
      <c r="AF171" s="321">
        <f t="shared" si="30"/>
        <v>0</v>
      </c>
      <c r="AG171" s="321">
        <f t="shared" si="30"/>
        <v>-1.2211244608145787E-2</v>
      </c>
      <c r="AH171" s="321">
        <f t="shared" si="30"/>
        <v>-1.2211244608145787E-2</v>
      </c>
      <c r="AI171" s="321">
        <f t="shared" si="30"/>
        <v>0</v>
      </c>
      <c r="AJ171" s="321">
        <f t="shared" si="30"/>
        <v>0</v>
      </c>
      <c r="AK171" s="321">
        <f t="shared" si="30"/>
        <v>-1.1860086368022854E-2</v>
      </c>
      <c r="AL171" s="321">
        <f t="shared" si="30"/>
        <v>-1.1860086368022854E-2</v>
      </c>
      <c r="AM171" s="321">
        <f t="shared" si="30"/>
        <v>0</v>
      </c>
      <c r="AN171" s="321">
        <f t="shared" si="30"/>
        <v>0</v>
      </c>
      <c r="AO171" s="321">
        <f t="shared" si="30"/>
        <v>-1.1735481831205041E-2</v>
      </c>
      <c r="AP171" s="321">
        <f t="shared" si="30"/>
        <v>-1.1735481831205041E-2</v>
      </c>
      <c r="AQ171" s="304"/>
      <c r="AR171" s="304"/>
    </row>
    <row r="172" spans="4:44" x14ac:dyDescent="0.25">
      <c r="F172" t="s">
        <v>228</v>
      </c>
      <c r="G172" t="s">
        <v>328</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229</v>
      </c>
      <c r="G173" t="s">
        <v>328</v>
      </c>
      <c r="H173" s="304"/>
      <c r="I173" s="304"/>
      <c r="J173" s="322">
        <f t="shared" ref="J173:AP173" si="32">J68 * (1 - J$113)</f>
        <v>0</v>
      </c>
      <c r="K173" s="322">
        <f t="shared" si="32"/>
        <v>1.4773448096538201E-3</v>
      </c>
      <c r="L173" s="322">
        <f t="shared" si="32"/>
        <v>0</v>
      </c>
      <c r="M173" s="322">
        <f t="shared" si="32"/>
        <v>0</v>
      </c>
      <c r="N173" s="322">
        <f t="shared" si="32"/>
        <v>1.34713567604694E-3</v>
      </c>
      <c r="O173" s="322">
        <f t="shared" si="32"/>
        <v>0</v>
      </c>
      <c r="P173" s="322">
        <f t="shared" si="32"/>
        <v>1.2231519697166464E-3</v>
      </c>
      <c r="Q173" s="322">
        <f t="shared" si="32"/>
        <v>9.2559247518728279E-4</v>
      </c>
      <c r="R173" s="322">
        <f t="shared" si="32"/>
        <v>1.2331305380498599E-3</v>
      </c>
      <c r="S173" s="322">
        <f t="shared" si="32"/>
        <v>3.9100765839689786E-2</v>
      </c>
      <c r="T173" s="322">
        <f t="shared" si="32"/>
        <v>3.63594970308391E-2</v>
      </c>
      <c r="U173" s="322">
        <f t="shared" si="32"/>
        <v>3.040447334375905E-2</v>
      </c>
      <c r="V173" s="322">
        <f t="shared" si="32"/>
        <v>2.8932631939938988E-2</v>
      </c>
      <c r="W173" s="322">
        <f t="shared" si="32"/>
        <v>2.5341507188750882E-2</v>
      </c>
      <c r="X173" s="322">
        <f t="shared" si="32"/>
        <v>0</v>
      </c>
      <c r="Y173" s="322">
        <f t="shared" si="32"/>
        <v>0</v>
      </c>
      <c r="Z173" s="322">
        <f t="shared" si="32"/>
        <v>0</v>
      </c>
      <c r="AA173" s="322">
        <f t="shared" si="32"/>
        <v>0</v>
      </c>
      <c r="AB173" s="322">
        <f t="shared" si="32"/>
        <v>2.9435769161841752E-2</v>
      </c>
      <c r="AC173" s="322">
        <f t="shared" si="32"/>
        <v>0</v>
      </c>
      <c r="AD173" s="322">
        <f t="shared" si="32"/>
        <v>0</v>
      </c>
      <c r="AE173" s="322">
        <f t="shared" si="32"/>
        <v>0</v>
      </c>
      <c r="AF173" s="322">
        <f t="shared" si="32"/>
        <v>0</v>
      </c>
      <c r="AG173" s="322">
        <f t="shared" si="32"/>
        <v>-2.5715136900713823E-2</v>
      </c>
      <c r="AH173" s="322">
        <f t="shared" si="32"/>
        <v>-2.5715136900713823E-2</v>
      </c>
      <c r="AI173" s="322">
        <f t="shared" si="32"/>
        <v>0</v>
      </c>
      <c r="AJ173" s="322">
        <f t="shared" si="32"/>
        <v>0</v>
      </c>
      <c r="AK173" s="322">
        <f t="shared" si="32"/>
        <v>-2.4975647806166394E-2</v>
      </c>
      <c r="AL173" s="322">
        <f t="shared" si="32"/>
        <v>-2.4975647806166394E-2</v>
      </c>
      <c r="AM173" s="322">
        <f t="shared" si="32"/>
        <v>0</v>
      </c>
      <c r="AN173" s="322">
        <f t="shared" si="32"/>
        <v>0</v>
      </c>
      <c r="AO173" s="322">
        <f t="shared" si="32"/>
        <v>-2.4713248450036654E-2</v>
      </c>
      <c r="AP173" s="322">
        <f t="shared" si="32"/>
        <v>-2.4713248450036654E-2</v>
      </c>
      <c r="AQ173" s="304"/>
      <c r="AR173" s="304"/>
    </row>
    <row r="174" spans="4:44" x14ac:dyDescent="0.25">
      <c r="F174" t="s">
        <v>230</v>
      </c>
      <c r="G174" t="s">
        <v>328</v>
      </c>
      <c r="H174" s="304"/>
      <c r="I174" s="304"/>
      <c r="J174" s="322">
        <f t="shared" ref="J174:AP174" si="33">J69 * (1 - J$114)</f>
        <v>0</v>
      </c>
      <c r="K174" s="322">
        <f t="shared" si="33"/>
        <v>7.7189887798605476E-4</v>
      </c>
      <c r="L174" s="322">
        <f t="shared" si="33"/>
        <v>0</v>
      </c>
      <c r="M174" s="322">
        <f t="shared" si="33"/>
        <v>0</v>
      </c>
      <c r="N174" s="322">
        <f t="shared" si="33"/>
        <v>7.0386582065380026E-4</v>
      </c>
      <c r="O174" s="322">
        <f t="shared" si="33"/>
        <v>0</v>
      </c>
      <c r="P174" s="322">
        <f t="shared" si="33"/>
        <v>6.390854909842956E-4</v>
      </c>
      <c r="Q174" s="322">
        <f t="shared" si="33"/>
        <v>4.836134316110102E-4</v>
      </c>
      <c r="R174" s="322">
        <f t="shared" si="33"/>
        <v>6.5411675217335393E-4</v>
      </c>
      <c r="S174" s="322">
        <f t="shared" si="33"/>
        <v>2.0429785303218675E-2</v>
      </c>
      <c r="T174" s="322">
        <f t="shared" si="33"/>
        <v>1.8997497929287437E-2</v>
      </c>
      <c r="U174" s="322">
        <f t="shared" si="33"/>
        <v>1.5886053618927292E-2</v>
      </c>
      <c r="V174" s="322">
        <f t="shared" si="33"/>
        <v>1.5117030219137267E-2</v>
      </c>
      <c r="W174" s="322">
        <f t="shared" si="33"/>
        <v>1.3442457117068971E-2</v>
      </c>
      <c r="X174" s="322">
        <f t="shared" si="33"/>
        <v>0</v>
      </c>
      <c r="Y174" s="322">
        <f t="shared" si="33"/>
        <v>0</v>
      </c>
      <c r="Z174" s="322">
        <f t="shared" si="33"/>
        <v>0</v>
      </c>
      <c r="AA174" s="322">
        <f t="shared" si="33"/>
        <v>0</v>
      </c>
      <c r="AB174" s="322">
        <f t="shared" si="33"/>
        <v>1.5379914722823832E-2</v>
      </c>
      <c r="AC174" s="322">
        <f t="shared" si="33"/>
        <v>0</v>
      </c>
      <c r="AD174" s="322">
        <f t="shared" si="33"/>
        <v>0</v>
      </c>
      <c r="AE174" s="322">
        <f t="shared" si="33"/>
        <v>0</v>
      </c>
      <c r="AF174" s="322">
        <f t="shared" si="33"/>
        <v>0</v>
      </c>
      <c r="AG174" s="322">
        <f t="shared" si="33"/>
        <v>-1.3435919083487381E-2</v>
      </c>
      <c r="AH174" s="322">
        <f t="shared" si="33"/>
        <v>-1.3435919083487381E-2</v>
      </c>
      <c r="AI174" s="322">
        <f t="shared" si="33"/>
        <v>0</v>
      </c>
      <c r="AJ174" s="322">
        <f t="shared" si="33"/>
        <v>0</v>
      </c>
      <c r="AK174" s="322">
        <f t="shared" si="33"/>
        <v>-1.3049542931735885E-2</v>
      </c>
      <c r="AL174" s="322">
        <f t="shared" si="33"/>
        <v>-1.3049542931735885E-2</v>
      </c>
      <c r="AM174" s="322">
        <f t="shared" si="33"/>
        <v>0</v>
      </c>
      <c r="AN174" s="322">
        <f t="shared" si="33"/>
        <v>0</v>
      </c>
      <c r="AO174" s="322">
        <f t="shared" si="33"/>
        <v>-1.2912441716598258E-2</v>
      </c>
      <c r="AP174" s="322">
        <f t="shared" si="33"/>
        <v>-1.2912441716598258E-2</v>
      </c>
      <c r="AQ174" s="304"/>
      <c r="AR174" s="304"/>
    </row>
    <row r="175" spans="4:44" x14ac:dyDescent="0.25">
      <c r="F175" t="s">
        <v>231</v>
      </c>
      <c r="G175" t="s">
        <v>328</v>
      </c>
      <c r="H175" s="304"/>
      <c r="I175" s="304"/>
      <c r="J175" s="322">
        <f t="shared" ref="J175:AP175" si="34">J70 * (1 - J$115)</f>
        <v>0</v>
      </c>
      <c r="K175" s="322">
        <f t="shared" si="34"/>
        <v>2.6819432669939248E-3</v>
      </c>
      <c r="L175" s="322">
        <f t="shared" si="34"/>
        <v>0</v>
      </c>
      <c r="M175" s="322">
        <f t="shared" si="34"/>
        <v>0</v>
      </c>
      <c r="N175" s="322">
        <f t="shared" si="34"/>
        <v>2.4455828742122655E-3</v>
      </c>
      <c r="O175" s="322">
        <f t="shared" si="34"/>
        <v>0</v>
      </c>
      <c r="P175" s="322">
        <f t="shared" si="34"/>
        <v>2.2204775800699229E-3</v>
      </c>
      <c r="Q175" s="322">
        <f t="shared" si="34"/>
        <v>1.6802959814641067E-3</v>
      </c>
      <c r="R175" s="322">
        <f t="shared" si="34"/>
        <v>1.8181624880415613E-3</v>
      </c>
      <c r="S175" s="322">
        <f t="shared" si="34"/>
        <v>3.678958937723923E-2</v>
      </c>
      <c r="T175" s="322">
        <f t="shared" si="34"/>
        <v>3.4205827786066241E-2</v>
      </c>
      <c r="U175" s="322">
        <f t="shared" si="34"/>
        <v>2.8605158438212212E-2</v>
      </c>
      <c r="V175" s="322">
        <f t="shared" si="34"/>
        <v>2.7220419552056316E-2</v>
      </c>
      <c r="W175" s="322">
        <f t="shared" si="34"/>
        <v>1.9364084994626701E-2</v>
      </c>
      <c r="X175" s="322">
        <f t="shared" si="34"/>
        <v>0</v>
      </c>
      <c r="Y175" s="322">
        <f t="shared" si="34"/>
        <v>0</v>
      </c>
      <c r="Z175" s="322">
        <f t="shared" si="34"/>
        <v>0</v>
      </c>
      <c r="AA175" s="322">
        <f t="shared" si="34"/>
        <v>0</v>
      </c>
      <c r="AB175" s="322">
        <f t="shared" si="34"/>
        <v>2.5896860810906384E-2</v>
      </c>
      <c r="AC175" s="322">
        <f t="shared" si="34"/>
        <v>0</v>
      </c>
      <c r="AD175" s="322">
        <f t="shared" si="34"/>
        <v>0</v>
      </c>
      <c r="AE175" s="322">
        <f t="shared" si="34"/>
        <v>0</v>
      </c>
      <c r="AF175" s="322">
        <f t="shared" si="34"/>
        <v>0</v>
      </c>
      <c r="AG175" s="322">
        <f t="shared" si="34"/>
        <v>-2.4193333559458796E-2</v>
      </c>
      <c r="AH175" s="322">
        <f t="shared" si="34"/>
        <v>-2.4193333559458796E-2</v>
      </c>
      <c r="AI175" s="322">
        <f t="shared" si="34"/>
        <v>0</v>
      </c>
      <c r="AJ175" s="322">
        <f t="shared" si="34"/>
        <v>0</v>
      </c>
      <c r="AK175" s="322">
        <f t="shared" si="34"/>
        <v>-2.3497606898658034E-2</v>
      </c>
      <c r="AL175" s="322">
        <f t="shared" si="34"/>
        <v>-2.3497606898658034E-2</v>
      </c>
      <c r="AM175" s="322">
        <f t="shared" si="34"/>
        <v>0</v>
      </c>
      <c r="AN175" s="322">
        <f t="shared" si="34"/>
        <v>0</v>
      </c>
      <c r="AO175" s="322">
        <f t="shared" si="34"/>
        <v>-2.3250736148051315E-2</v>
      </c>
      <c r="AP175" s="322">
        <f t="shared" si="34"/>
        <v>-2.3250736148051315E-2</v>
      </c>
      <c r="AQ175" s="304"/>
      <c r="AR175" s="304"/>
    </row>
    <row r="176" spans="4:44" x14ac:dyDescent="0.25">
      <c r="F176" t="s">
        <v>232</v>
      </c>
      <c r="G176" t="s">
        <v>328</v>
      </c>
      <c r="H176" s="304"/>
      <c r="I176" s="304"/>
      <c r="J176" s="322">
        <f t="shared" ref="J176:AP176" si="35">J71 * (1 - J$116)</f>
        <v>0</v>
      </c>
      <c r="K176" s="322">
        <f t="shared" si="35"/>
        <v>4.3144807098180766E-3</v>
      </c>
      <c r="L176" s="322">
        <f t="shared" si="35"/>
        <v>0</v>
      </c>
      <c r="M176" s="322">
        <f t="shared" si="35"/>
        <v>0</v>
      </c>
      <c r="N176" s="322">
        <f t="shared" si="35"/>
        <v>3.9342443462187402E-3</v>
      </c>
      <c r="O176" s="322">
        <f t="shared" si="35"/>
        <v>0</v>
      </c>
      <c r="P176" s="322">
        <f t="shared" si="35"/>
        <v>3.5721142216901735E-3</v>
      </c>
      <c r="Q176" s="322">
        <f t="shared" si="35"/>
        <v>2.7031163142155088E-3</v>
      </c>
      <c r="R176" s="322">
        <f t="shared" si="35"/>
        <v>0</v>
      </c>
      <c r="S176" s="322">
        <f t="shared" si="35"/>
        <v>5.9183941600725223E-2</v>
      </c>
      <c r="T176" s="322">
        <f t="shared" si="35"/>
        <v>5.5027407165013781E-2</v>
      </c>
      <c r="U176" s="322">
        <f t="shared" si="35"/>
        <v>4.6017529826903644E-2</v>
      </c>
      <c r="V176" s="322">
        <f t="shared" si="35"/>
        <v>4.3789880463108173E-2</v>
      </c>
      <c r="W176" s="322">
        <f t="shared" si="35"/>
        <v>0</v>
      </c>
      <c r="X176" s="322">
        <f t="shared" si="35"/>
        <v>0</v>
      </c>
      <c r="Y176" s="322">
        <f t="shared" si="35"/>
        <v>0</v>
      </c>
      <c r="Z176" s="322">
        <f t="shared" si="35"/>
        <v>0</v>
      </c>
      <c r="AA176" s="322">
        <f t="shared" si="35"/>
        <v>0</v>
      </c>
      <c r="AB176" s="322">
        <f t="shared" si="35"/>
        <v>4.1660652478579217E-2</v>
      </c>
      <c r="AC176" s="322">
        <f t="shared" si="35"/>
        <v>0</v>
      </c>
      <c r="AD176" s="322">
        <f t="shared" si="35"/>
        <v>0</v>
      </c>
      <c r="AE176" s="322">
        <f t="shared" si="35"/>
        <v>0</v>
      </c>
      <c r="AF176" s="322">
        <f t="shared" si="35"/>
        <v>0</v>
      </c>
      <c r="AG176" s="322">
        <f t="shared" si="35"/>
        <v>-3.8920163686190203E-2</v>
      </c>
      <c r="AH176" s="322">
        <f t="shared" si="35"/>
        <v>-3.8920163686190203E-2</v>
      </c>
      <c r="AI176" s="322">
        <f t="shared" si="35"/>
        <v>0</v>
      </c>
      <c r="AJ176" s="322">
        <f t="shared" si="35"/>
        <v>0</v>
      </c>
      <c r="AK176" s="322">
        <f t="shared" si="35"/>
        <v>-3.7800938199852627E-2</v>
      </c>
      <c r="AL176" s="322">
        <f t="shared" si="35"/>
        <v>-3.7800938199852627E-2</v>
      </c>
      <c r="AM176" s="322">
        <f t="shared" si="35"/>
        <v>0</v>
      </c>
      <c r="AN176" s="322">
        <f t="shared" si="35"/>
        <v>0</v>
      </c>
      <c r="AO176" s="322">
        <f t="shared" si="35"/>
        <v>-3.740379367244253E-2</v>
      </c>
      <c r="AP176" s="322">
        <f t="shared" si="35"/>
        <v>-3.740379367244253E-2</v>
      </c>
      <c r="AQ176" s="304"/>
      <c r="AR176" s="304"/>
    </row>
    <row r="177" spans="3:44" x14ac:dyDescent="0.25">
      <c r="F177" t="s">
        <v>233</v>
      </c>
      <c r="G177" t="s">
        <v>328</v>
      </c>
      <c r="H177" s="304"/>
      <c r="I177" s="304"/>
      <c r="J177" s="322">
        <f t="shared" ref="J177:AP177" si="36">J72 * (1 - J$117)</f>
        <v>0</v>
      </c>
      <c r="K177" s="322">
        <f t="shared" si="36"/>
        <v>1.29176272844914E-4</v>
      </c>
      <c r="L177" s="322">
        <f t="shared" si="36"/>
        <v>0</v>
      </c>
      <c r="M177" s="322">
        <f t="shared" si="36"/>
        <v>0</v>
      </c>
      <c r="N177" s="322">
        <f t="shared" si="36"/>
        <v>1.1779102922420266E-4</v>
      </c>
      <c r="O177" s="322">
        <f t="shared" si="36"/>
        <v>0</v>
      </c>
      <c r="P177" s="322">
        <f t="shared" si="36"/>
        <v>1.0695012534544017E-4</v>
      </c>
      <c r="Q177" s="322">
        <f t="shared" si="36"/>
        <v>8.0932078507798573E-5</v>
      </c>
      <c r="R177" s="322">
        <f t="shared" si="36"/>
        <v>0</v>
      </c>
      <c r="S177" s="322">
        <f t="shared" si="36"/>
        <v>3.4188979874890646E-3</v>
      </c>
      <c r="T177" s="322">
        <f t="shared" si="36"/>
        <v>3.1792065591377339E-3</v>
      </c>
      <c r="U177" s="322">
        <f t="shared" si="36"/>
        <v>2.6585104023749587E-3</v>
      </c>
      <c r="V177" s="322">
        <f t="shared" si="36"/>
        <v>2.5298153370646105E-3</v>
      </c>
      <c r="W177" s="322">
        <f t="shared" si="36"/>
        <v>0</v>
      </c>
      <c r="X177" s="322">
        <f t="shared" si="36"/>
        <v>0</v>
      </c>
      <c r="Y177" s="322">
        <f t="shared" si="36"/>
        <v>0</v>
      </c>
      <c r="Z177" s="322">
        <f t="shared" si="36"/>
        <v>0</v>
      </c>
      <c r="AA177" s="322">
        <f t="shared" si="36"/>
        <v>0</v>
      </c>
      <c r="AB177" s="322">
        <f t="shared" si="36"/>
        <v>2.5738087166942273E-3</v>
      </c>
      <c r="AC177" s="322">
        <f t="shared" si="36"/>
        <v>0</v>
      </c>
      <c r="AD177" s="322">
        <f t="shared" si="36"/>
        <v>0</v>
      </c>
      <c r="AE177" s="322">
        <f t="shared" si="36"/>
        <v>0</v>
      </c>
      <c r="AF177" s="322">
        <f t="shared" si="36"/>
        <v>0</v>
      </c>
      <c r="AG177" s="322">
        <f t="shared" si="36"/>
        <v>-2.2484835759563164E-3</v>
      </c>
      <c r="AH177" s="322">
        <f t="shared" si="36"/>
        <v>-2.2484835759563164E-3</v>
      </c>
      <c r="AI177" s="322">
        <f t="shared" si="36"/>
        <v>0</v>
      </c>
      <c r="AJ177" s="322">
        <f t="shared" si="36"/>
        <v>0</v>
      </c>
      <c r="AK177" s="322">
        <f t="shared" si="36"/>
        <v>-2.1838240297089632E-3</v>
      </c>
      <c r="AL177" s="322">
        <f t="shared" si="36"/>
        <v>-2.1838240297089632E-3</v>
      </c>
      <c r="AM177" s="322">
        <f t="shared" si="36"/>
        <v>0</v>
      </c>
      <c r="AN177" s="322">
        <f t="shared" si="36"/>
        <v>0</v>
      </c>
      <c r="AO177" s="322">
        <f t="shared" si="36"/>
        <v>-2.1608803197502263E-3</v>
      </c>
      <c r="AP177" s="322">
        <f t="shared" si="36"/>
        <v>-2.1608803197502263E-3</v>
      </c>
      <c r="AQ177" s="304"/>
      <c r="AR177" s="304"/>
    </row>
    <row r="178" spans="3:44" x14ac:dyDescent="0.25">
      <c r="F178" t="s">
        <v>234</v>
      </c>
      <c r="G178" t="s">
        <v>328</v>
      </c>
      <c r="H178" s="304"/>
      <c r="I178" s="304"/>
      <c r="J178" s="322">
        <f t="shared" ref="J178:AP178" si="37">J73 * (1 - J$118)</f>
        <v>0</v>
      </c>
      <c r="K178" s="322">
        <f t="shared" si="37"/>
        <v>9.9398248735988251E-3</v>
      </c>
      <c r="L178" s="322">
        <f t="shared" si="37"/>
        <v>0</v>
      </c>
      <c r="M178" s="322">
        <f t="shared" si="37"/>
        <v>0</v>
      </c>
      <c r="N178" s="322">
        <f t="shared" si="37"/>
        <v>9.0638253920967242E-3</v>
      </c>
      <c r="O178" s="322">
        <f t="shared" si="37"/>
        <v>0</v>
      </c>
      <c r="P178" s="322">
        <f t="shared" si="37"/>
        <v>8.2295395854462498E-3</v>
      </c>
      <c r="Q178" s="322">
        <f t="shared" si="37"/>
        <v>6.2275171876717064E-3</v>
      </c>
      <c r="R178" s="322">
        <f t="shared" si="37"/>
        <v>0</v>
      </c>
      <c r="S178" s="322">
        <f t="shared" si="37"/>
        <v>0.13634966857119499</v>
      </c>
      <c r="T178" s="322">
        <f t="shared" si="37"/>
        <v>0.12677372487117164</v>
      </c>
      <c r="U178" s="322">
        <f t="shared" si="37"/>
        <v>8.4813208051509797E-2</v>
      </c>
      <c r="V178" s="322">
        <f t="shared" si="37"/>
        <v>0</v>
      </c>
      <c r="W178" s="322">
        <f t="shared" si="37"/>
        <v>0</v>
      </c>
      <c r="X178" s="322">
        <f t="shared" si="37"/>
        <v>0</v>
      </c>
      <c r="Y178" s="322">
        <f t="shared" si="37"/>
        <v>0</v>
      </c>
      <c r="Z178" s="322">
        <f t="shared" si="37"/>
        <v>0</v>
      </c>
      <c r="AA178" s="322">
        <f t="shared" si="37"/>
        <v>0</v>
      </c>
      <c r="AB178" s="322">
        <f t="shared" si="37"/>
        <v>9.5979010594394121E-2</v>
      </c>
      <c r="AC178" s="322">
        <f t="shared" si="37"/>
        <v>0</v>
      </c>
      <c r="AD178" s="322">
        <f t="shared" si="37"/>
        <v>0</v>
      </c>
      <c r="AE178" s="322">
        <f t="shared" si="37"/>
        <v>0</v>
      </c>
      <c r="AF178" s="322">
        <f t="shared" si="37"/>
        <v>0</v>
      </c>
      <c r="AG178" s="322">
        <f t="shared" si="37"/>
        <v>-8.9665393615549011E-2</v>
      </c>
      <c r="AH178" s="322">
        <f t="shared" si="37"/>
        <v>-8.9665393615549011E-2</v>
      </c>
      <c r="AI178" s="322">
        <f t="shared" si="37"/>
        <v>0</v>
      </c>
      <c r="AJ178" s="322">
        <f t="shared" si="37"/>
        <v>0</v>
      </c>
      <c r="AK178" s="322">
        <f t="shared" si="37"/>
        <v>-8.7086889717513744E-2</v>
      </c>
      <c r="AL178" s="322">
        <f t="shared" si="37"/>
        <v>-8.7086889717513744E-2</v>
      </c>
      <c r="AM178" s="322">
        <f t="shared" si="37"/>
        <v>0</v>
      </c>
      <c r="AN178" s="322">
        <f t="shared" si="37"/>
        <v>0</v>
      </c>
      <c r="AO178" s="322">
        <f t="shared" si="37"/>
        <v>0</v>
      </c>
      <c r="AP178" s="322">
        <f t="shared" si="37"/>
        <v>0</v>
      </c>
      <c r="AQ178" s="304"/>
      <c r="AR178" s="304"/>
    </row>
    <row r="179" spans="3:44" x14ac:dyDescent="0.25">
      <c r="F179" t="s">
        <v>235</v>
      </c>
      <c r="G179" t="s">
        <v>328</v>
      </c>
      <c r="H179" s="304"/>
      <c r="I179" s="304"/>
      <c r="J179" s="322">
        <f t="shared" ref="J179:AP179" si="38">J74 * (1 - J$119)</f>
        <v>0</v>
      </c>
      <c r="K179" s="322">
        <f t="shared" si="38"/>
        <v>4.5499761226272719E-3</v>
      </c>
      <c r="L179" s="322">
        <f t="shared" si="38"/>
        <v>0</v>
      </c>
      <c r="M179" s="322">
        <f t="shared" si="38"/>
        <v>0</v>
      </c>
      <c r="N179" s="322">
        <f t="shared" si="38"/>
        <v>4.1489854839637033E-3</v>
      </c>
      <c r="O179" s="322">
        <f t="shared" si="38"/>
        <v>0</v>
      </c>
      <c r="P179" s="322">
        <f t="shared" si="38"/>
        <v>3.7670893692958278E-3</v>
      </c>
      <c r="Q179" s="322">
        <f t="shared" si="38"/>
        <v>0</v>
      </c>
      <c r="R179" s="322">
        <f t="shared" si="38"/>
        <v>0</v>
      </c>
      <c r="S179" s="322">
        <f t="shared" si="38"/>
        <v>6.2414352789543784E-2</v>
      </c>
      <c r="T179" s="322">
        <f t="shared" si="38"/>
        <v>5.8030944053394269E-2</v>
      </c>
      <c r="U179" s="322">
        <f t="shared" si="38"/>
        <v>0</v>
      </c>
      <c r="V179" s="322">
        <f t="shared" si="38"/>
        <v>0</v>
      </c>
      <c r="W179" s="322">
        <f t="shared" si="38"/>
        <v>0</v>
      </c>
      <c r="X179" s="322">
        <f t="shared" si="38"/>
        <v>0</v>
      </c>
      <c r="Y179" s="322">
        <f t="shared" si="38"/>
        <v>0</v>
      </c>
      <c r="Z179" s="322">
        <f t="shared" si="38"/>
        <v>0</v>
      </c>
      <c r="AA179" s="322">
        <f t="shared" si="38"/>
        <v>0</v>
      </c>
      <c r="AB179" s="322">
        <f t="shared" si="38"/>
        <v>4.3934597644452296E-2</v>
      </c>
      <c r="AC179" s="322">
        <f t="shared" si="38"/>
        <v>0</v>
      </c>
      <c r="AD179" s="322">
        <f t="shared" si="38"/>
        <v>0</v>
      </c>
      <c r="AE179" s="322">
        <f t="shared" si="38"/>
        <v>0</v>
      </c>
      <c r="AF179" s="322">
        <f t="shared" si="38"/>
        <v>0</v>
      </c>
      <c r="AG179" s="322">
        <f t="shared" si="38"/>
        <v>-4.1044525951392526E-2</v>
      </c>
      <c r="AH179" s="322">
        <f t="shared" si="38"/>
        <v>-4.1044525951392526E-2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236</v>
      </c>
      <c r="G180" t="s">
        <v>328</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8.7570729615211521E-2</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437</v>
      </c>
      <c r="G181" s="23" t="s">
        <v>328</v>
      </c>
      <c r="H181" s="302"/>
      <c r="I181" s="302" t="s">
        <v>191</v>
      </c>
      <c r="J181" s="320"/>
      <c r="K181" s="320"/>
      <c r="L181" s="320"/>
      <c r="M181" s="320"/>
      <c r="N181" s="320"/>
      <c r="O181" s="320"/>
      <c r="P181" s="320"/>
      <c r="Q181" s="320"/>
      <c r="R181" s="320"/>
      <c r="S181" s="320"/>
      <c r="T181" s="320"/>
      <c r="U181" s="320"/>
      <c r="V181" s="320"/>
      <c r="W181" s="320"/>
      <c r="X181" s="320"/>
      <c r="Y181" s="320"/>
      <c r="Z181" s="320"/>
      <c r="AA181" s="320"/>
      <c r="AB181" s="321">
        <f>AB76</f>
        <v>0.70225428447889948</v>
      </c>
      <c r="AC181" s="320"/>
      <c r="AD181" s="320"/>
      <c r="AE181" s="320"/>
      <c r="AF181" s="320"/>
      <c r="AG181" s="320"/>
      <c r="AH181" s="320"/>
      <c r="AI181" s="320"/>
      <c r="AJ181" s="320"/>
      <c r="AK181" s="320"/>
      <c r="AL181" s="320"/>
      <c r="AM181" s="320"/>
      <c r="AN181" s="320"/>
      <c r="AO181" s="320"/>
      <c r="AP181" s="320"/>
      <c r="AQ181" s="304"/>
      <c r="AR181" s="304" t="s">
        <v>780</v>
      </c>
    </row>
    <row r="182" spans="3:44" x14ac:dyDescent="0.25">
      <c r="F182" s="37" t="s">
        <v>438</v>
      </c>
      <c r="G182" s="37" t="s">
        <v>328</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191</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782</v>
      </c>
    </row>
    <row r="186" spans="3:44" x14ac:dyDescent="0.25">
      <c r="E186" s="32" t="s">
        <v>734</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226</v>
      </c>
      <c r="G187" s="23" t="s">
        <v>328</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228</v>
      </c>
      <c r="G188" t="s">
        <v>328</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229</v>
      </c>
      <c r="G189" t="s">
        <v>328</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2.574405804486968E-3</v>
      </c>
      <c r="T189" s="322">
        <f t="shared" si="42"/>
        <v>2.3939198681731367E-3</v>
      </c>
      <c r="U189" s="322">
        <f t="shared" si="42"/>
        <v>2.0018393752045138E-3</v>
      </c>
      <c r="V189" s="322">
        <f t="shared" si="42"/>
        <v>1.9049329087477262E-3</v>
      </c>
      <c r="W189" s="322">
        <f t="shared" si="42"/>
        <v>1.6684922098110521E-3</v>
      </c>
      <c r="X189" s="322">
        <f t="shared" si="42"/>
        <v>0</v>
      </c>
      <c r="Y189" s="322">
        <f t="shared" si="42"/>
        <v>0</v>
      </c>
      <c r="Z189" s="322">
        <f t="shared" si="42"/>
        <v>0</v>
      </c>
      <c r="AA189" s="322">
        <f t="shared" si="42"/>
        <v>0</v>
      </c>
      <c r="AB189" s="322">
        <f t="shared" si="42"/>
        <v>2.0317386068260234E-3</v>
      </c>
      <c r="AC189" s="322">
        <f t="shared" si="42"/>
        <v>0</v>
      </c>
      <c r="AD189" s="322">
        <f t="shared" si="42"/>
        <v>0</v>
      </c>
      <c r="AE189" s="322">
        <f t="shared" si="42"/>
        <v>0</v>
      </c>
      <c r="AF189" s="322">
        <f t="shared" si="42"/>
        <v>0</v>
      </c>
      <c r="AG189" s="322">
        <f t="shared" si="42"/>
        <v>-1.6930920988042701E-3</v>
      </c>
      <c r="AH189" s="322">
        <f t="shared" si="42"/>
        <v>-1.6930920988042701E-3</v>
      </c>
      <c r="AI189" s="322">
        <f t="shared" si="42"/>
        <v>0</v>
      </c>
      <c r="AJ189" s="322">
        <f t="shared" si="42"/>
        <v>0</v>
      </c>
      <c r="AK189" s="322">
        <f t="shared" si="42"/>
        <v>-1.6444039215659284E-3</v>
      </c>
      <c r="AL189" s="322">
        <f t="shared" si="42"/>
        <v>-1.6444039215659284E-3</v>
      </c>
      <c r="AM189" s="322">
        <f t="shared" si="42"/>
        <v>0</v>
      </c>
      <c r="AN189" s="322">
        <f t="shared" si="42"/>
        <v>0</v>
      </c>
      <c r="AO189" s="322">
        <f t="shared" si="42"/>
        <v>-1.6271274715781295E-3</v>
      </c>
      <c r="AP189" s="322">
        <f t="shared" si="42"/>
        <v>-1.6271274715781295E-3</v>
      </c>
      <c r="AQ189" s="304"/>
      <c r="AR189" s="304"/>
    </row>
    <row r="190" spans="3:44" x14ac:dyDescent="0.25">
      <c r="F190" t="s">
        <v>230</v>
      </c>
      <c r="G190" t="s">
        <v>328</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1.345103011144653E-3</v>
      </c>
      <c r="T190" s="322">
        <f t="shared" si="43"/>
        <v>1.2508007935292849E-3</v>
      </c>
      <c r="U190" s="322">
        <f t="shared" si="43"/>
        <v>1.0459423944439575E-3</v>
      </c>
      <c r="V190" s="322">
        <f t="shared" si="43"/>
        <v>9.9530966995148382E-4</v>
      </c>
      <c r="W190" s="322">
        <f t="shared" si="43"/>
        <v>8.8505528947010743E-4</v>
      </c>
      <c r="X190" s="322">
        <f t="shared" si="43"/>
        <v>0</v>
      </c>
      <c r="Y190" s="322">
        <f t="shared" si="43"/>
        <v>0</v>
      </c>
      <c r="Z190" s="322">
        <f t="shared" si="43"/>
        <v>0</v>
      </c>
      <c r="AA190" s="322">
        <f t="shared" si="43"/>
        <v>0</v>
      </c>
      <c r="AB190" s="322">
        <f t="shared" si="43"/>
        <v>1.0615644639774041E-3</v>
      </c>
      <c r="AC190" s="322">
        <f t="shared" si="43"/>
        <v>0</v>
      </c>
      <c r="AD190" s="322">
        <f t="shared" si="43"/>
        <v>0</v>
      </c>
      <c r="AE190" s="322">
        <f t="shared" si="43"/>
        <v>0</v>
      </c>
      <c r="AF190" s="322">
        <f t="shared" si="43"/>
        <v>0</v>
      </c>
      <c r="AG190" s="322">
        <f t="shared" si="43"/>
        <v>-8.8462482343597932E-4</v>
      </c>
      <c r="AH190" s="322">
        <f t="shared" si="43"/>
        <v>-8.8462482343597932E-4</v>
      </c>
      <c r="AI190" s="322">
        <f t="shared" si="43"/>
        <v>0</v>
      </c>
      <c r="AJ190" s="322">
        <f t="shared" si="43"/>
        <v>0</v>
      </c>
      <c r="AK190" s="322">
        <f t="shared" si="43"/>
        <v>-8.5918570513679969E-4</v>
      </c>
      <c r="AL190" s="322">
        <f t="shared" si="43"/>
        <v>-8.5918570513679969E-4</v>
      </c>
      <c r="AM190" s="322">
        <f t="shared" si="43"/>
        <v>0</v>
      </c>
      <c r="AN190" s="322">
        <f t="shared" si="43"/>
        <v>0</v>
      </c>
      <c r="AO190" s="322">
        <f t="shared" si="43"/>
        <v>-8.5015892122418781E-4</v>
      </c>
      <c r="AP190" s="322">
        <f t="shared" si="43"/>
        <v>-8.5015892122418781E-4</v>
      </c>
      <c r="AQ190" s="304"/>
      <c r="AR190" s="304"/>
    </row>
    <row r="191" spans="3:44" x14ac:dyDescent="0.25">
      <c r="F191" t="s">
        <v>231</v>
      </c>
      <c r="G191" t="s">
        <v>328</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4.6738609075090733E-3</v>
      </c>
      <c r="T191" s="322">
        <f t="shared" si="44"/>
        <v>4.3456120061288904E-3</v>
      </c>
      <c r="U191" s="322">
        <f t="shared" si="44"/>
        <v>3.6340860020627995E-3</v>
      </c>
      <c r="V191" s="322">
        <f t="shared" si="44"/>
        <v>3.4581645781853209E-3</v>
      </c>
      <c r="W191" s="322">
        <f t="shared" si="44"/>
        <v>2.299133996985496E-3</v>
      </c>
      <c r="X191" s="322">
        <f t="shared" si="44"/>
        <v>0</v>
      </c>
      <c r="Y191" s="322">
        <f t="shared" si="44"/>
        <v>0</v>
      </c>
      <c r="Z191" s="322">
        <f t="shared" si="44"/>
        <v>0</v>
      </c>
      <c r="AA191" s="322">
        <f t="shared" si="44"/>
        <v>0</v>
      </c>
      <c r="AB191" s="322">
        <f t="shared" si="44"/>
        <v>3.6883642725644276E-3</v>
      </c>
      <c r="AC191" s="322">
        <f t="shared" si="44"/>
        <v>0</v>
      </c>
      <c r="AD191" s="322">
        <f t="shared" si="44"/>
        <v>0</v>
      </c>
      <c r="AE191" s="322">
        <f t="shared" si="44"/>
        <v>0</v>
      </c>
      <c r="AF191" s="322">
        <f t="shared" si="44"/>
        <v>0</v>
      </c>
      <c r="AG191" s="322">
        <f t="shared" si="44"/>
        <v>-3.0735944015683734E-3</v>
      </c>
      <c r="AH191" s="322">
        <f t="shared" si="44"/>
        <v>-3.0735944015683734E-3</v>
      </c>
      <c r="AI191" s="322">
        <f t="shared" si="44"/>
        <v>0</v>
      </c>
      <c r="AJ191" s="322">
        <f t="shared" si="44"/>
        <v>0</v>
      </c>
      <c r="AK191" s="322">
        <f t="shared" si="44"/>
        <v>-2.985207178517706E-3</v>
      </c>
      <c r="AL191" s="322">
        <f t="shared" si="44"/>
        <v>-2.985207178517706E-3</v>
      </c>
      <c r="AM191" s="322">
        <f t="shared" si="44"/>
        <v>0</v>
      </c>
      <c r="AN191" s="322">
        <f t="shared" si="44"/>
        <v>0</v>
      </c>
      <c r="AO191" s="322">
        <f t="shared" si="44"/>
        <v>-2.7606033513981132E-3</v>
      </c>
      <c r="AP191" s="322">
        <f t="shared" si="44"/>
        <v>-2.7606033513981132E-3</v>
      </c>
      <c r="AQ191" s="304"/>
      <c r="AR191" s="304"/>
    </row>
    <row r="192" spans="3:44" x14ac:dyDescent="0.25">
      <c r="F192" t="s">
        <v>232</v>
      </c>
      <c r="G192" t="s">
        <v>328</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7.5189072692142013E-3</v>
      </c>
      <c r="T192" s="322">
        <f t="shared" si="45"/>
        <v>6.9908485401378173E-3</v>
      </c>
      <c r="U192" s="322">
        <f t="shared" si="45"/>
        <v>5.8462064230366722E-3</v>
      </c>
      <c r="V192" s="322">
        <f t="shared" si="45"/>
        <v>5.5631990980480831E-3</v>
      </c>
      <c r="W192" s="322">
        <f t="shared" si="45"/>
        <v>0</v>
      </c>
      <c r="X192" s="322">
        <f t="shared" si="45"/>
        <v>0</v>
      </c>
      <c r="Y192" s="322">
        <f t="shared" si="45"/>
        <v>0</v>
      </c>
      <c r="Z192" s="322">
        <f t="shared" si="45"/>
        <v>0</v>
      </c>
      <c r="AA192" s="322">
        <f t="shared" si="45"/>
        <v>0</v>
      </c>
      <c r="AB192" s="322">
        <f t="shared" si="45"/>
        <v>5.9335246575137387E-3</v>
      </c>
      <c r="AC192" s="322">
        <f t="shared" si="45"/>
        <v>0</v>
      </c>
      <c r="AD192" s="322">
        <f t="shared" si="45"/>
        <v>0</v>
      </c>
      <c r="AE192" s="322">
        <f t="shared" si="45"/>
        <v>0</v>
      </c>
      <c r="AF192" s="322">
        <f t="shared" si="45"/>
        <v>0</v>
      </c>
      <c r="AG192" s="322">
        <f t="shared" si="45"/>
        <v>-4.9445355233913007E-3</v>
      </c>
      <c r="AH192" s="322">
        <f t="shared" si="45"/>
        <v>-4.9445355233913007E-3</v>
      </c>
      <c r="AI192" s="322">
        <f t="shared" si="45"/>
        <v>0</v>
      </c>
      <c r="AJ192" s="322">
        <f t="shared" si="45"/>
        <v>0</v>
      </c>
      <c r="AK192" s="322">
        <f t="shared" si="45"/>
        <v>-4.8023457263364489E-3</v>
      </c>
      <c r="AL192" s="322">
        <f t="shared" si="45"/>
        <v>-4.8023457263364489E-3</v>
      </c>
      <c r="AM192" s="322">
        <f t="shared" si="45"/>
        <v>0</v>
      </c>
      <c r="AN192" s="322">
        <f t="shared" si="45"/>
        <v>0</v>
      </c>
      <c r="AO192" s="322">
        <f t="shared" si="45"/>
        <v>-3.0809855427006102E-3</v>
      </c>
      <c r="AP192" s="322">
        <f t="shared" si="45"/>
        <v>-3.0809855427006102E-3</v>
      </c>
      <c r="AQ192" s="304"/>
      <c r="AR192" s="304"/>
    </row>
    <row r="193" spans="4:44" x14ac:dyDescent="0.25">
      <c r="F193" t="s">
        <v>233</v>
      </c>
      <c r="G193" t="s">
        <v>328</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2.2510123868229817E-4</v>
      </c>
      <c r="T193" s="322">
        <f t="shared" si="46"/>
        <v>2.0931988526934076E-4</v>
      </c>
      <c r="U193" s="322">
        <f t="shared" si="46"/>
        <v>1.7503709874183322E-4</v>
      </c>
      <c r="V193" s="322">
        <f t="shared" si="46"/>
        <v>1.6656377818074372E-4</v>
      </c>
      <c r="W193" s="322">
        <f t="shared" si="46"/>
        <v>0</v>
      </c>
      <c r="X193" s="322">
        <f t="shared" si="46"/>
        <v>0</v>
      </c>
      <c r="Y193" s="322">
        <f t="shared" si="46"/>
        <v>0</v>
      </c>
      <c r="Z193" s="322">
        <f t="shared" si="46"/>
        <v>0</v>
      </c>
      <c r="AA193" s="322">
        <f t="shared" si="46"/>
        <v>0</v>
      </c>
      <c r="AB193" s="322">
        <f t="shared" si="46"/>
        <v>1.7765143175099604E-4</v>
      </c>
      <c r="AC193" s="322">
        <f t="shared" si="46"/>
        <v>0</v>
      </c>
      <c r="AD193" s="322">
        <f t="shared" si="46"/>
        <v>0</v>
      </c>
      <c r="AE193" s="322">
        <f t="shared" si="46"/>
        <v>0</v>
      </c>
      <c r="AF193" s="322">
        <f t="shared" si="46"/>
        <v>0</v>
      </c>
      <c r="AG193" s="322">
        <f t="shared" si="46"/>
        <v>-1.4804081313823906E-4</v>
      </c>
      <c r="AH193" s="322">
        <f t="shared" si="46"/>
        <v>-1.4804081313823906E-4</v>
      </c>
      <c r="AI193" s="322">
        <f t="shared" si="46"/>
        <v>0</v>
      </c>
      <c r="AJ193" s="322">
        <f t="shared" si="46"/>
        <v>0</v>
      </c>
      <c r="AK193" s="322">
        <f t="shared" si="46"/>
        <v>-1.4378360979196313E-4</v>
      </c>
      <c r="AL193" s="322">
        <f t="shared" si="46"/>
        <v>-1.4378360979196313E-4</v>
      </c>
      <c r="AM193" s="322">
        <f t="shared" si="46"/>
        <v>0</v>
      </c>
      <c r="AN193" s="322">
        <f t="shared" si="46"/>
        <v>0</v>
      </c>
      <c r="AO193" s="322">
        <f t="shared" si="46"/>
        <v>-9.2245591694267877E-5</v>
      </c>
      <c r="AP193" s="322">
        <f t="shared" si="46"/>
        <v>-9.2245591694267877E-5</v>
      </c>
      <c r="AQ193" s="304"/>
      <c r="AR193" s="304"/>
    </row>
    <row r="194" spans="4:44" x14ac:dyDescent="0.25">
      <c r="F194" t="s">
        <v>234</v>
      </c>
      <c r="G194" t="s">
        <v>328</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9.0225924418505452E-3</v>
      </c>
      <c r="T194" s="322">
        <f t="shared" si="47"/>
        <v>8.3889287288632028E-3</v>
      </c>
      <c r="U194" s="322">
        <f t="shared" si="47"/>
        <v>5.6122982765820411E-3</v>
      </c>
      <c r="V194" s="322">
        <f t="shared" si="47"/>
        <v>0</v>
      </c>
      <c r="W194" s="322">
        <f t="shared" si="47"/>
        <v>0</v>
      </c>
      <c r="X194" s="322">
        <f t="shared" si="47"/>
        <v>0</v>
      </c>
      <c r="Y194" s="322">
        <f t="shared" si="47"/>
        <v>0</v>
      </c>
      <c r="Z194" s="322">
        <f t="shared" si="47"/>
        <v>0</v>
      </c>
      <c r="AA194" s="322">
        <f t="shared" si="47"/>
        <v>0</v>
      </c>
      <c r="AB194" s="322">
        <f t="shared" si="47"/>
        <v>7.1201536089714676E-3</v>
      </c>
      <c r="AC194" s="322">
        <f t="shared" si="47"/>
        <v>0</v>
      </c>
      <c r="AD194" s="322">
        <f t="shared" si="47"/>
        <v>0</v>
      </c>
      <c r="AE194" s="322">
        <f t="shared" si="47"/>
        <v>0</v>
      </c>
      <c r="AF194" s="322">
        <f t="shared" si="47"/>
        <v>0</v>
      </c>
      <c r="AG194" s="322">
        <f t="shared" si="47"/>
        <v>-5.9333793122407167E-3</v>
      </c>
      <c r="AH194" s="322">
        <f t="shared" si="47"/>
        <v>-5.9333793122407167E-3</v>
      </c>
      <c r="AI194" s="322">
        <f t="shared" si="47"/>
        <v>0</v>
      </c>
      <c r="AJ194" s="322">
        <f t="shared" si="47"/>
        <v>0</v>
      </c>
      <c r="AK194" s="322">
        <f t="shared" si="47"/>
        <v>-5.7627533765454821E-3</v>
      </c>
      <c r="AL194" s="322">
        <f t="shared" si="47"/>
        <v>-5.7627533765454821E-3</v>
      </c>
      <c r="AM194" s="322">
        <f t="shared" si="47"/>
        <v>0</v>
      </c>
      <c r="AN194" s="322">
        <f t="shared" si="47"/>
        <v>0</v>
      </c>
      <c r="AO194" s="322">
        <f t="shared" si="47"/>
        <v>0</v>
      </c>
      <c r="AP194" s="322">
        <f t="shared" si="47"/>
        <v>0</v>
      </c>
      <c r="AQ194" s="304"/>
      <c r="AR194" s="304"/>
    </row>
    <row r="195" spans="4:44" x14ac:dyDescent="0.25">
      <c r="F195" t="s">
        <v>235</v>
      </c>
      <c r="G195" t="s">
        <v>328</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2.3080326233566851E-3</v>
      </c>
      <c r="T195" s="322">
        <f t="shared" si="48"/>
        <v>2.1459376898619229E-3</v>
      </c>
      <c r="U195" s="322">
        <f t="shared" si="48"/>
        <v>0</v>
      </c>
      <c r="V195" s="322">
        <f t="shared" si="48"/>
        <v>0</v>
      </c>
      <c r="W195" s="322">
        <f t="shared" si="48"/>
        <v>0</v>
      </c>
      <c r="X195" s="322">
        <f t="shared" si="48"/>
        <v>0</v>
      </c>
      <c r="Y195" s="322">
        <f t="shared" si="48"/>
        <v>0</v>
      </c>
      <c r="Z195" s="322">
        <f t="shared" si="48"/>
        <v>0</v>
      </c>
      <c r="AA195" s="322">
        <f t="shared" si="48"/>
        <v>0</v>
      </c>
      <c r="AB195" s="322">
        <f t="shared" si="48"/>
        <v>1.8213774941879615E-3</v>
      </c>
      <c r="AC195" s="322">
        <f t="shared" si="48"/>
        <v>0</v>
      </c>
      <c r="AD195" s="322">
        <f t="shared" si="48"/>
        <v>0</v>
      </c>
      <c r="AE195" s="322">
        <f t="shared" si="48"/>
        <v>0</v>
      </c>
      <c r="AF195" s="322">
        <f t="shared" si="48"/>
        <v>0</v>
      </c>
      <c r="AG195" s="322">
        <f t="shared" si="48"/>
        <v>-1.517793595095877E-3</v>
      </c>
      <c r="AH195" s="322">
        <f t="shared" si="48"/>
        <v>-1.517793595095877E-3</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236</v>
      </c>
      <c r="G196" t="s">
        <v>328</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7.643736508934928E-4</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437</v>
      </c>
      <c r="G197" s="23" t="s">
        <v>328</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438</v>
      </c>
      <c r="G198" s="37" t="s">
        <v>328</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735</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226</v>
      </c>
      <c r="G201" s="23" t="s">
        <v>328</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0</v>
      </c>
      <c r="T201" s="321">
        <f t="shared" si="50"/>
        <v>0</v>
      </c>
      <c r="U201" s="321">
        <f t="shared" si="50"/>
        <v>0</v>
      </c>
      <c r="V201" s="321">
        <f t="shared" si="50"/>
        <v>0</v>
      </c>
      <c r="W201" s="321">
        <f t="shared" si="50"/>
        <v>0</v>
      </c>
      <c r="X201" s="321">
        <f t="shared" si="50"/>
        <v>0</v>
      </c>
      <c r="Y201" s="321">
        <f t="shared" si="50"/>
        <v>0</v>
      </c>
      <c r="Z201" s="321">
        <f t="shared" si="50"/>
        <v>0</v>
      </c>
      <c r="AA201" s="321">
        <f t="shared" si="50"/>
        <v>0</v>
      </c>
      <c r="AB201" s="321">
        <f t="shared" si="50"/>
        <v>0</v>
      </c>
      <c r="AC201" s="321">
        <f t="shared" si="50"/>
        <v>0</v>
      </c>
      <c r="AD201" s="321">
        <f t="shared" si="50"/>
        <v>0</v>
      </c>
      <c r="AE201" s="321">
        <f t="shared" si="50"/>
        <v>0</v>
      </c>
      <c r="AF201" s="321">
        <f t="shared" si="50"/>
        <v>0</v>
      </c>
      <c r="AG201" s="321">
        <f t="shared" si="50"/>
        <v>0</v>
      </c>
      <c r="AH201" s="321">
        <f t="shared" si="50"/>
        <v>0</v>
      </c>
      <c r="AI201" s="321">
        <f t="shared" si="50"/>
        <v>0</v>
      </c>
      <c r="AJ201" s="321">
        <f t="shared" si="50"/>
        <v>0</v>
      </c>
      <c r="AK201" s="321">
        <f t="shared" si="50"/>
        <v>0</v>
      </c>
      <c r="AL201" s="321">
        <f t="shared" si="50"/>
        <v>0</v>
      </c>
      <c r="AM201" s="321">
        <f t="shared" si="50"/>
        <v>0</v>
      </c>
      <c r="AN201" s="321">
        <f t="shared" si="50"/>
        <v>0</v>
      </c>
      <c r="AO201" s="321">
        <f t="shared" si="50"/>
        <v>0</v>
      </c>
      <c r="AP201" s="321">
        <f t="shared" si="50"/>
        <v>0</v>
      </c>
      <c r="AQ201" s="304"/>
      <c r="AR201" s="304"/>
    </row>
    <row r="202" spans="4:44" x14ac:dyDescent="0.25">
      <c r="F202" t="s">
        <v>228</v>
      </c>
      <c r="G202" t="s">
        <v>328</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229</v>
      </c>
      <c r="G203" t="s">
        <v>328</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1.4133141612961771E-3</v>
      </c>
      <c r="T203" s="322">
        <f t="shared" si="52"/>
        <v>1.3142298097683215E-3</v>
      </c>
      <c r="U203" s="322">
        <f t="shared" si="52"/>
        <v>1.098982892551644E-3</v>
      </c>
      <c r="V203" s="322">
        <f t="shared" si="52"/>
        <v>1.0457825458441272E-3</v>
      </c>
      <c r="W203" s="322">
        <f t="shared" si="52"/>
        <v>9.1597978221939227E-4</v>
      </c>
      <c r="X203" s="322">
        <f t="shared" si="52"/>
        <v>0</v>
      </c>
      <c r="Y203" s="322">
        <f t="shared" si="52"/>
        <v>0</v>
      </c>
      <c r="Z203" s="322">
        <f t="shared" si="52"/>
        <v>0</v>
      </c>
      <c r="AA203" s="322">
        <f t="shared" si="52"/>
        <v>0</v>
      </c>
      <c r="AB203" s="322">
        <f t="shared" si="52"/>
        <v>1.1153971685717275E-3</v>
      </c>
      <c r="AC203" s="322">
        <f t="shared" si="52"/>
        <v>0</v>
      </c>
      <c r="AD203" s="322">
        <f t="shared" si="52"/>
        <v>0</v>
      </c>
      <c r="AE203" s="322">
        <f t="shared" si="52"/>
        <v>0</v>
      </c>
      <c r="AF203" s="322">
        <f t="shared" si="52"/>
        <v>0</v>
      </c>
      <c r="AG203" s="322">
        <f t="shared" si="52"/>
        <v>-9.2948479041189734E-4</v>
      </c>
      <c r="AH203" s="322">
        <f t="shared" si="52"/>
        <v>-9.2948479041189734E-4</v>
      </c>
      <c r="AI203" s="322">
        <f t="shared" si="52"/>
        <v>0</v>
      </c>
      <c r="AJ203" s="322">
        <f t="shared" si="52"/>
        <v>0</v>
      </c>
      <c r="AK203" s="322">
        <f t="shared" si="52"/>
        <v>-9.0275563595663868E-4</v>
      </c>
      <c r="AL203" s="322">
        <f t="shared" si="52"/>
        <v>-9.0275563595663868E-4</v>
      </c>
      <c r="AM203" s="322">
        <f t="shared" si="52"/>
        <v>0</v>
      </c>
      <c r="AN203" s="322">
        <f t="shared" si="52"/>
        <v>0</v>
      </c>
      <c r="AO203" s="322">
        <f t="shared" si="52"/>
        <v>-8.9327109727896598E-4</v>
      </c>
      <c r="AP203" s="322">
        <f t="shared" si="52"/>
        <v>-8.9327109727896598E-4</v>
      </c>
      <c r="AQ203" s="304"/>
      <c r="AR203" s="304"/>
    </row>
    <row r="204" spans="4:44" x14ac:dyDescent="0.25">
      <c r="F204" t="s">
        <v>230</v>
      </c>
      <c r="G204" t="s">
        <v>328</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7.3844346168715712E-4</v>
      </c>
      <c r="T204" s="322">
        <f t="shared" si="53"/>
        <v>6.8667281256682799E-4</v>
      </c>
      <c r="U204" s="322">
        <f t="shared" si="53"/>
        <v>5.7420830678334503E-4</v>
      </c>
      <c r="V204" s="322">
        <f t="shared" si="53"/>
        <v>5.4641162203943321E-4</v>
      </c>
      <c r="W204" s="322">
        <f t="shared" si="53"/>
        <v>4.8588345005983369E-4</v>
      </c>
      <c r="X204" s="322">
        <f t="shared" si="53"/>
        <v>0</v>
      </c>
      <c r="Y204" s="322">
        <f t="shared" si="53"/>
        <v>0</v>
      </c>
      <c r="Z204" s="322">
        <f t="shared" si="53"/>
        <v>0</v>
      </c>
      <c r="AA204" s="322">
        <f t="shared" si="53"/>
        <v>0</v>
      </c>
      <c r="AB204" s="322">
        <f t="shared" si="53"/>
        <v>5.8278461284274404E-4</v>
      </c>
      <c r="AC204" s="322">
        <f t="shared" si="53"/>
        <v>0</v>
      </c>
      <c r="AD204" s="322">
        <f t="shared" si="53"/>
        <v>0</v>
      </c>
      <c r="AE204" s="322">
        <f t="shared" si="53"/>
        <v>0</v>
      </c>
      <c r="AF204" s="322">
        <f t="shared" si="53"/>
        <v>0</v>
      </c>
      <c r="AG204" s="322">
        <f t="shared" si="53"/>
        <v>-4.8564712999680018E-4</v>
      </c>
      <c r="AH204" s="322">
        <f t="shared" si="53"/>
        <v>-4.8564712999680018E-4</v>
      </c>
      <c r="AI204" s="322">
        <f t="shared" si="53"/>
        <v>0</v>
      </c>
      <c r="AJ204" s="322">
        <f t="shared" si="53"/>
        <v>0</v>
      </c>
      <c r="AK204" s="322">
        <f t="shared" si="53"/>
        <v>-4.7168139620282906E-4</v>
      </c>
      <c r="AL204" s="322">
        <f t="shared" si="53"/>
        <v>-4.7168139620282906E-4</v>
      </c>
      <c r="AM204" s="322">
        <f t="shared" si="53"/>
        <v>0</v>
      </c>
      <c r="AN204" s="322">
        <f t="shared" si="53"/>
        <v>0</v>
      </c>
      <c r="AO204" s="322">
        <f t="shared" si="53"/>
        <v>-4.6672581324367805E-4</v>
      </c>
      <c r="AP204" s="322">
        <f t="shared" si="53"/>
        <v>-4.6672581324367805E-4</v>
      </c>
      <c r="AQ204" s="304"/>
      <c r="AR204" s="304"/>
    </row>
    <row r="205" spans="4:44" x14ac:dyDescent="0.25">
      <c r="F205" t="s">
        <v>231</v>
      </c>
      <c r="G205" t="s">
        <v>328</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2.5658867755029608E-3</v>
      </c>
      <c r="T205" s="322">
        <f t="shared" si="54"/>
        <v>2.3856825435431225E-3</v>
      </c>
      <c r="U205" s="322">
        <f t="shared" si="54"/>
        <v>1.9950643372275544E-3</v>
      </c>
      <c r="V205" s="322">
        <f t="shared" si="54"/>
        <v>1.8984858416352577E-3</v>
      </c>
      <c r="W205" s="322">
        <f t="shared" si="54"/>
        <v>1.3505464575303864E-3</v>
      </c>
      <c r="X205" s="322">
        <f t="shared" si="54"/>
        <v>0</v>
      </c>
      <c r="Y205" s="322">
        <f t="shared" si="54"/>
        <v>0</v>
      </c>
      <c r="Z205" s="322">
        <f t="shared" si="54"/>
        <v>0</v>
      </c>
      <c r="AA205" s="322">
        <f t="shared" si="54"/>
        <v>0</v>
      </c>
      <c r="AB205" s="322">
        <f t="shared" si="54"/>
        <v>2.0248623776984516E-3</v>
      </c>
      <c r="AC205" s="322">
        <f t="shared" si="54"/>
        <v>0</v>
      </c>
      <c r="AD205" s="322">
        <f t="shared" si="54"/>
        <v>0</v>
      </c>
      <c r="AE205" s="322">
        <f t="shared" si="54"/>
        <v>0</v>
      </c>
      <c r="AF205" s="322">
        <f t="shared" si="54"/>
        <v>0</v>
      </c>
      <c r="AG205" s="322">
        <f t="shared" si="54"/>
        <v>-1.6873619870830352E-3</v>
      </c>
      <c r="AH205" s="322">
        <f t="shared" si="54"/>
        <v>-1.6873619870830352E-3</v>
      </c>
      <c r="AI205" s="322">
        <f t="shared" si="54"/>
        <v>0</v>
      </c>
      <c r="AJ205" s="322">
        <f t="shared" si="54"/>
        <v>0</v>
      </c>
      <c r="AK205" s="322">
        <f t="shared" si="54"/>
        <v>-1.6388385904229478E-3</v>
      </c>
      <c r="AL205" s="322">
        <f t="shared" si="54"/>
        <v>-1.6388385904229478E-3</v>
      </c>
      <c r="AM205" s="322">
        <f t="shared" si="54"/>
        <v>0</v>
      </c>
      <c r="AN205" s="322">
        <f t="shared" si="54"/>
        <v>0</v>
      </c>
      <c r="AO205" s="322">
        <f t="shared" si="54"/>
        <v>-1.621620610962917E-3</v>
      </c>
      <c r="AP205" s="322">
        <f t="shared" si="54"/>
        <v>-1.621620610962917E-3</v>
      </c>
      <c r="AQ205" s="304"/>
      <c r="AR205" s="304"/>
    </row>
    <row r="206" spans="4:44" x14ac:dyDescent="0.25">
      <c r="F206" t="s">
        <v>232</v>
      </c>
      <c r="G206" t="s">
        <v>328</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4.1277789626375074E-3</v>
      </c>
      <c r="T206" s="322">
        <f t="shared" si="55"/>
        <v>3.837881822684297E-3</v>
      </c>
      <c r="U206" s="322">
        <f t="shared" si="55"/>
        <v>3.2094886956584401E-3</v>
      </c>
      <c r="V206" s="322">
        <f t="shared" si="55"/>
        <v>3.0541214806452531E-3</v>
      </c>
      <c r="W206" s="322">
        <f t="shared" si="55"/>
        <v>0</v>
      </c>
      <c r="X206" s="322">
        <f t="shared" si="55"/>
        <v>0</v>
      </c>
      <c r="Y206" s="322">
        <f t="shared" si="55"/>
        <v>0</v>
      </c>
      <c r="Z206" s="322">
        <f t="shared" si="55"/>
        <v>0</v>
      </c>
      <c r="AA206" s="322">
        <f t="shared" si="55"/>
        <v>0</v>
      </c>
      <c r="AB206" s="322">
        <f t="shared" si="55"/>
        <v>3.2574252319693543E-3</v>
      </c>
      <c r="AC206" s="322">
        <f t="shared" si="55"/>
        <v>0</v>
      </c>
      <c r="AD206" s="322">
        <f t="shared" si="55"/>
        <v>0</v>
      </c>
      <c r="AE206" s="322">
        <f t="shared" si="55"/>
        <v>0</v>
      </c>
      <c r="AF206" s="322">
        <f t="shared" si="55"/>
        <v>0</v>
      </c>
      <c r="AG206" s="322">
        <f t="shared" si="55"/>
        <v>-2.71448349908982E-3</v>
      </c>
      <c r="AH206" s="322">
        <f t="shared" si="55"/>
        <v>-2.71448349908982E-3</v>
      </c>
      <c r="AI206" s="322">
        <f t="shared" si="55"/>
        <v>0</v>
      </c>
      <c r="AJ206" s="322">
        <f t="shared" si="55"/>
        <v>0</v>
      </c>
      <c r="AK206" s="322">
        <f t="shared" si="55"/>
        <v>-2.6364232129378862E-3</v>
      </c>
      <c r="AL206" s="322">
        <f t="shared" si="55"/>
        <v>-2.6364232129378862E-3</v>
      </c>
      <c r="AM206" s="322">
        <f t="shared" si="55"/>
        <v>0</v>
      </c>
      <c r="AN206" s="322">
        <f t="shared" si="55"/>
        <v>0</v>
      </c>
      <c r="AO206" s="322">
        <f t="shared" si="55"/>
        <v>-2.6087244017226848E-3</v>
      </c>
      <c r="AP206" s="322">
        <f t="shared" si="55"/>
        <v>-2.6087244017226848E-3</v>
      </c>
      <c r="AQ206" s="304"/>
      <c r="AR206" s="304"/>
    </row>
    <row r="207" spans="4:44" x14ac:dyDescent="0.25">
      <c r="F207" t="s">
        <v>233</v>
      </c>
      <c r="G207" t="s">
        <v>328</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1.2357755245910118E-4</v>
      </c>
      <c r="T207" s="322">
        <f t="shared" si="56"/>
        <v>1.1491380169219467E-4</v>
      </c>
      <c r="U207" s="322">
        <f t="shared" si="56"/>
        <v>9.6093012986866278E-5</v>
      </c>
      <c r="V207" s="322">
        <f t="shared" si="56"/>
        <v>9.1441273963703077E-5</v>
      </c>
      <c r="W207" s="322">
        <f t="shared" si="56"/>
        <v>0</v>
      </c>
      <c r="X207" s="322">
        <f t="shared" si="56"/>
        <v>0</v>
      </c>
      <c r="Y207" s="322">
        <f t="shared" si="56"/>
        <v>0</v>
      </c>
      <c r="Z207" s="322">
        <f t="shared" si="56"/>
        <v>0</v>
      </c>
      <c r="AA207" s="322">
        <f t="shared" si="56"/>
        <v>0</v>
      </c>
      <c r="AB207" s="322">
        <f t="shared" si="56"/>
        <v>9.7528246646514646E-5</v>
      </c>
      <c r="AC207" s="322">
        <f t="shared" si="56"/>
        <v>0</v>
      </c>
      <c r="AD207" s="322">
        <f t="shared" si="56"/>
        <v>0</v>
      </c>
      <c r="AE207" s="322">
        <f t="shared" si="56"/>
        <v>0</v>
      </c>
      <c r="AF207" s="322">
        <f t="shared" si="56"/>
        <v>0</v>
      </c>
      <c r="AG207" s="322">
        <f t="shared" si="56"/>
        <v>-8.127241528643529E-5</v>
      </c>
      <c r="AH207" s="322">
        <f t="shared" si="56"/>
        <v>-8.127241528643529E-5</v>
      </c>
      <c r="AI207" s="322">
        <f t="shared" si="56"/>
        <v>0</v>
      </c>
      <c r="AJ207" s="322">
        <f t="shared" si="56"/>
        <v>0</v>
      </c>
      <c r="AK207" s="322">
        <f t="shared" si="56"/>
        <v>-7.8935267908068386E-5</v>
      </c>
      <c r="AL207" s="322">
        <f t="shared" si="56"/>
        <v>-7.8935267908068386E-5</v>
      </c>
      <c r="AM207" s="322">
        <f t="shared" si="56"/>
        <v>0</v>
      </c>
      <c r="AN207" s="322">
        <f t="shared" si="56"/>
        <v>0</v>
      </c>
      <c r="AO207" s="322">
        <f t="shared" si="56"/>
        <v>-7.8105957548002734E-5</v>
      </c>
      <c r="AP207" s="322">
        <f t="shared" si="56"/>
        <v>-7.8105957548002734E-5</v>
      </c>
      <c r="AQ207" s="304"/>
      <c r="AR207" s="304"/>
    </row>
    <row r="208" spans="4:44" x14ac:dyDescent="0.25">
      <c r="F208" t="s">
        <v>234</v>
      </c>
      <c r="G208" t="s">
        <v>328</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9.509696013282741E-3</v>
      </c>
      <c r="T208" s="322">
        <f t="shared" si="57"/>
        <v>8.8418226360916369E-3</v>
      </c>
      <c r="U208" s="322">
        <f t="shared" si="57"/>
        <v>5.9152899668400982E-3</v>
      </c>
      <c r="V208" s="322">
        <f t="shared" si="57"/>
        <v>0</v>
      </c>
      <c r="W208" s="322">
        <f t="shared" si="57"/>
        <v>0</v>
      </c>
      <c r="X208" s="322">
        <f t="shared" si="57"/>
        <v>0</v>
      </c>
      <c r="Y208" s="322">
        <f t="shared" si="57"/>
        <v>0</v>
      </c>
      <c r="Z208" s="322">
        <f t="shared" si="57"/>
        <v>0</v>
      </c>
      <c r="AA208" s="322">
        <f t="shared" si="57"/>
        <v>0</v>
      </c>
      <c r="AB208" s="322">
        <f t="shared" si="57"/>
        <v>7.5045500310007554E-3</v>
      </c>
      <c r="AC208" s="322">
        <f t="shared" si="57"/>
        <v>0</v>
      </c>
      <c r="AD208" s="322">
        <f t="shared" si="57"/>
        <v>0</v>
      </c>
      <c r="AE208" s="322">
        <f t="shared" si="57"/>
        <v>0</v>
      </c>
      <c r="AF208" s="322">
        <f t="shared" si="57"/>
        <v>0</v>
      </c>
      <c r="AG208" s="322">
        <f t="shared" si="57"/>
        <v>-6.2537052354475044E-3</v>
      </c>
      <c r="AH208" s="322">
        <f t="shared" si="57"/>
        <v>-6.2537052354475044E-3</v>
      </c>
      <c r="AI208" s="322">
        <f t="shared" si="57"/>
        <v>0</v>
      </c>
      <c r="AJ208" s="322">
        <f t="shared" si="57"/>
        <v>0</v>
      </c>
      <c r="AK208" s="322">
        <f t="shared" si="57"/>
        <v>-6.0738677008474367E-3</v>
      </c>
      <c r="AL208" s="322">
        <f t="shared" si="57"/>
        <v>-6.0738677008474367E-3</v>
      </c>
      <c r="AM208" s="322">
        <f t="shared" si="57"/>
        <v>0</v>
      </c>
      <c r="AN208" s="322">
        <f t="shared" si="57"/>
        <v>0</v>
      </c>
      <c r="AO208" s="322">
        <f t="shared" si="57"/>
        <v>0</v>
      </c>
      <c r="AP208" s="322">
        <f t="shared" si="57"/>
        <v>0</v>
      </c>
      <c r="AQ208" s="304"/>
      <c r="AR208" s="304"/>
    </row>
    <row r="209" spans="2:44" x14ac:dyDescent="0.25">
      <c r="F209" t="s">
        <v>235</v>
      </c>
      <c r="G209" t="s">
        <v>328</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4.3530837156705608E-3</v>
      </c>
      <c r="T209" s="322">
        <f t="shared" si="58"/>
        <v>4.0473632469700165E-3</v>
      </c>
      <c r="U209" s="322">
        <f t="shared" si="58"/>
        <v>0</v>
      </c>
      <c r="V209" s="322">
        <f t="shared" si="58"/>
        <v>0</v>
      </c>
      <c r="W209" s="322">
        <f t="shared" si="58"/>
        <v>0</v>
      </c>
      <c r="X209" s="322">
        <f t="shared" si="58"/>
        <v>0</v>
      </c>
      <c r="Y209" s="322">
        <f t="shared" si="58"/>
        <v>0</v>
      </c>
      <c r="Z209" s="322">
        <f t="shared" si="58"/>
        <v>0</v>
      </c>
      <c r="AA209" s="322">
        <f t="shared" si="58"/>
        <v>0</v>
      </c>
      <c r="AB209" s="322">
        <f t="shared" si="58"/>
        <v>3.4352238481393312E-3</v>
      </c>
      <c r="AC209" s="322">
        <f t="shared" si="58"/>
        <v>0</v>
      </c>
      <c r="AD209" s="322">
        <f t="shared" si="58"/>
        <v>0</v>
      </c>
      <c r="AE209" s="322">
        <f t="shared" si="58"/>
        <v>0</v>
      </c>
      <c r="AF209" s="322">
        <f t="shared" si="58"/>
        <v>0</v>
      </c>
      <c r="AG209" s="322">
        <f t="shared" si="58"/>
        <v>-2.862646964214888E-3</v>
      </c>
      <c r="AH209" s="322">
        <f t="shared" si="58"/>
        <v>-2.862646964214888E-3</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236</v>
      </c>
      <c r="G210" t="s">
        <v>328</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6.847110817028765E-3</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437</v>
      </c>
      <c r="G211" s="23" t="s">
        <v>328</v>
      </c>
      <c r="H211" s="302"/>
      <c r="I211" s="302" t="s">
        <v>191</v>
      </c>
      <c r="J211" s="320"/>
      <c r="K211" s="320"/>
      <c r="L211" s="320"/>
      <c r="M211" s="320"/>
      <c r="N211" s="320"/>
      <c r="O211" s="320"/>
      <c r="P211" s="320"/>
      <c r="Q211" s="320"/>
      <c r="R211" s="320"/>
      <c r="S211" s="320"/>
      <c r="T211" s="320"/>
      <c r="U211" s="320"/>
      <c r="V211" s="320"/>
      <c r="W211" s="320"/>
      <c r="X211" s="320"/>
      <c r="Y211" s="320"/>
      <c r="Z211" s="320"/>
      <c r="AA211" s="320"/>
      <c r="AB211" s="321">
        <f>AB106</f>
        <v>0.70225428447889948</v>
      </c>
      <c r="AC211" s="320"/>
      <c r="AD211" s="320"/>
      <c r="AE211" s="320"/>
      <c r="AF211" s="320"/>
      <c r="AG211" s="320"/>
      <c r="AH211" s="320"/>
      <c r="AI211" s="320"/>
      <c r="AJ211" s="320"/>
      <c r="AK211" s="320"/>
      <c r="AL211" s="320"/>
      <c r="AM211" s="320"/>
      <c r="AN211" s="320"/>
      <c r="AO211" s="320"/>
      <c r="AP211" s="320"/>
      <c r="AQ211" s="304"/>
      <c r="AR211" s="304" t="s">
        <v>780</v>
      </c>
    </row>
    <row r="212" spans="2:44" x14ac:dyDescent="0.25">
      <c r="D212"/>
      <c r="F212" s="37" t="s">
        <v>438</v>
      </c>
      <c r="G212" s="37" t="s">
        <v>328</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783</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784</v>
      </c>
      <c r="G217" s="23" t="s">
        <v>328</v>
      </c>
      <c r="H217" s="302"/>
      <c r="I217" s="302"/>
      <c r="J217" s="311">
        <f t="shared" ref="J217:AP217" si="60">SUM(J127:J138,J141:J152)</f>
        <v>1.3032327686610812</v>
      </c>
      <c r="K217" s="311">
        <f t="shared" si="60"/>
        <v>1.5579828371812392</v>
      </c>
      <c r="L217" s="311">
        <f t="shared" si="60"/>
        <v>0.42136182700338609</v>
      </c>
      <c r="M217" s="311">
        <f t="shared" si="60"/>
        <v>1.1771518740821849</v>
      </c>
      <c r="N217" s="311">
        <f t="shared" si="60"/>
        <v>1.3349022703744908</v>
      </c>
      <c r="O217" s="311">
        <f t="shared" si="60"/>
        <v>0.20442076338205489</v>
      </c>
      <c r="P217" s="311">
        <f t="shared" si="60"/>
        <v>1.2665899217284431</v>
      </c>
      <c r="Q217" s="311">
        <f t="shared" si="60"/>
        <v>0.85515803754226605</v>
      </c>
      <c r="R217" s="311">
        <f t="shared" si="60"/>
        <v>0.51330336925082132</v>
      </c>
      <c r="S217" s="311">
        <f t="shared" si="60"/>
        <v>7.4441423354702021</v>
      </c>
      <c r="T217" s="311">
        <f t="shared" si="60"/>
        <v>6.9217403212033002</v>
      </c>
      <c r="U217" s="311">
        <f t="shared" si="60"/>
        <v>4.9371824361274381</v>
      </c>
      <c r="V217" s="311">
        <f t="shared" si="60"/>
        <v>3.5400563849451738</v>
      </c>
      <c r="W217" s="311">
        <f t="shared" si="60"/>
        <v>2.126352169552538</v>
      </c>
      <c r="X217" s="311">
        <f t="shared" si="60"/>
        <v>1.5719272073701078</v>
      </c>
      <c r="Y217" s="311">
        <f t="shared" si="60"/>
        <v>1.803799949967152</v>
      </c>
      <c r="Z217" s="311">
        <f t="shared" si="60"/>
        <v>2.7055413376607742</v>
      </c>
      <c r="AA217" s="311">
        <f t="shared" si="60"/>
        <v>1.3377219464304058</v>
      </c>
      <c r="AB217" s="311">
        <f t="shared" si="60"/>
        <v>20.418433286971208</v>
      </c>
      <c r="AC217" s="311">
        <f t="shared" si="60"/>
        <v>-0.62781802559045008</v>
      </c>
      <c r="AD217" s="311">
        <f t="shared" si="60"/>
        <v>-0.5479886425308339</v>
      </c>
      <c r="AE217" s="311">
        <f t="shared" si="60"/>
        <v>-0.62781802559045008</v>
      </c>
      <c r="AF217" s="311">
        <f t="shared" si="60"/>
        <v>-0.62781802559045008</v>
      </c>
      <c r="AG217" s="311">
        <f t="shared" si="60"/>
        <v>-4.8955152543509817</v>
      </c>
      <c r="AH217" s="311">
        <f t="shared" si="60"/>
        <v>-4.8955152543509817</v>
      </c>
      <c r="AI217" s="311">
        <f t="shared" si="60"/>
        <v>-0.5479886425308339</v>
      </c>
      <c r="AJ217" s="311">
        <f t="shared" si="60"/>
        <v>-0.5479886425308339</v>
      </c>
      <c r="AK217" s="311">
        <f t="shared" si="60"/>
        <v>-4.3055642034544519</v>
      </c>
      <c r="AL217" s="311">
        <f t="shared" si="60"/>
        <v>-4.3055642034544519</v>
      </c>
      <c r="AM217" s="311">
        <f t="shared" si="60"/>
        <v>-0.34305791107506395</v>
      </c>
      <c r="AN217" s="311">
        <f t="shared" si="60"/>
        <v>-0.34305791107506395</v>
      </c>
      <c r="AO217" s="311">
        <f t="shared" si="60"/>
        <v>-2.8093058530954993</v>
      </c>
      <c r="AP217" s="311">
        <f t="shared" si="60"/>
        <v>-2.8093058530954993</v>
      </c>
      <c r="AQ217" s="304"/>
      <c r="AR217" s="304"/>
    </row>
    <row r="218" spans="2:44" x14ac:dyDescent="0.25">
      <c r="D218"/>
      <c r="F218" t="s">
        <v>785</v>
      </c>
      <c r="G218" t="s">
        <v>328</v>
      </c>
      <c r="H218" s="304"/>
      <c r="I218" s="304"/>
      <c r="J218" s="312">
        <f t="shared" ref="J218:AP218" si="61">SUM(J157:J168,J171:J182)</f>
        <v>0</v>
      </c>
      <c r="K218" s="312">
        <f t="shared" si="61"/>
        <v>5.2784397319108771E-2</v>
      </c>
      <c r="L218" s="312">
        <f t="shared" si="61"/>
        <v>0</v>
      </c>
      <c r="M218" s="312">
        <f t="shared" si="61"/>
        <v>0</v>
      </c>
      <c r="N218" s="312">
        <f t="shared" si="61"/>
        <v>4.8132447030956323E-2</v>
      </c>
      <c r="O218" s="312">
        <f t="shared" si="61"/>
        <v>0</v>
      </c>
      <c r="P218" s="312">
        <f t="shared" si="61"/>
        <v>4.3702128995150843E-2</v>
      </c>
      <c r="Q218" s="312">
        <f t="shared" si="61"/>
        <v>2.8708496633440037E-2</v>
      </c>
      <c r="R218" s="312">
        <f t="shared" si="61"/>
        <v>1.0238293866576058E-2</v>
      </c>
      <c r="S218" s="312">
        <f t="shared" si="61"/>
        <v>0.82819658637537308</v>
      </c>
      <c r="T218" s="312">
        <f t="shared" si="61"/>
        <v>0.77005805261028304</v>
      </c>
      <c r="U218" s="312">
        <f t="shared" si="61"/>
        <v>0.52838253413366609</v>
      </c>
      <c r="V218" s="312">
        <f t="shared" si="61"/>
        <v>0.3455231787505984</v>
      </c>
      <c r="W218" s="312">
        <f t="shared" si="61"/>
        <v>0.17397660842324955</v>
      </c>
      <c r="X218" s="312">
        <f t="shared" si="61"/>
        <v>0</v>
      </c>
      <c r="Y218" s="312">
        <f t="shared" si="61"/>
        <v>0</v>
      </c>
      <c r="Z218" s="312">
        <f t="shared" si="61"/>
        <v>0</v>
      </c>
      <c r="AA218" s="312">
        <f t="shared" si="61"/>
        <v>0</v>
      </c>
      <c r="AB218" s="312">
        <f t="shared" si="61"/>
        <v>1.403399912189323</v>
      </c>
      <c r="AC218" s="312">
        <f t="shared" si="61"/>
        <v>0</v>
      </c>
      <c r="AD218" s="312">
        <f t="shared" si="61"/>
        <v>0</v>
      </c>
      <c r="AE218" s="312">
        <f t="shared" si="61"/>
        <v>0</v>
      </c>
      <c r="AF218" s="312">
        <f t="shared" si="61"/>
        <v>0</v>
      </c>
      <c r="AG218" s="312">
        <f t="shared" si="61"/>
        <v>-0.54464333583913571</v>
      </c>
      <c r="AH218" s="312">
        <f t="shared" si="61"/>
        <v>-0.54464333583913571</v>
      </c>
      <c r="AI218" s="312">
        <f t="shared" si="61"/>
        <v>0</v>
      </c>
      <c r="AJ218" s="312">
        <f t="shared" si="61"/>
        <v>0</v>
      </c>
      <c r="AK218" s="312">
        <f t="shared" si="61"/>
        <v>-0.46798058302197632</v>
      </c>
      <c r="AL218" s="312">
        <f t="shared" si="61"/>
        <v>-0.46798058302197632</v>
      </c>
      <c r="AM218" s="312">
        <f t="shared" si="61"/>
        <v>0</v>
      </c>
      <c r="AN218" s="312">
        <f t="shared" si="61"/>
        <v>0</v>
      </c>
      <c r="AO218" s="312">
        <f t="shared" si="61"/>
        <v>-0.26702176837636921</v>
      </c>
      <c r="AP218" s="312">
        <f t="shared" si="61"/>
        <v>-0.26702176837636921</v>
      </c>
      <c r="AQ218" s="304"/>
      <c r="AR218" s="304"/>
    </row>
    <row r="219" spans="2:44" x14ac:dyDescent="0.25">
      <c r="D219"/>
      <c r="F219" s="37" t="s">
        <v>786</v>
      </c>
      <c r="G219" s="37" t="s">
        <v>328</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5.0499783938780622E-2</v>
      </c>
      <c r="T219" s="313">
        <f t="shared" si="62"/>
        <v>4.6953934185280009E-2</v>
      </c>
      <c r="U219" s="313">
        <f t="shared" si="62"/>
        <v>3.1204536782119766E-2</v>
      </c>
      <c r="V219" s="313">
        <f t="shared" si="62"/>
        <v>1.8724412797241134E-2</v>
      </c>
      <c r="W219" s="313">
        <f t="shared" si="62"/>
        <v>7.6050911860762677E-3</v>
      </c>
      <c r="X219" s="313">
        <f t="shared" si="62"/>
        <v>0</v>
      </c>
      <c r="Y219" s="313">
        <f t="shared" si="62"/>
        <v>0</v>
      </c>
      <c r="Z219" s="313">
        <f t="shared" si="62"/>
        <v>0</v>
      </c>
      <c r="AA219" s="313">
        <f t="shared" si="62"/>
        <v>0</v>
      </c>
      <c r="AB219" s="313">
        <f t="shared" si="62"/>
        <v>0.74971791499948259</v>
      </c>
      <c r="AC219" s="313">
        <f t="shared" si="62"/>
        <v>0</v>
      </c>
      <c r="AD219" s="313">
        <f t="shared" si="62"/>
        <v>0</v>
      </c>
      <c r="AE219" s="313">
        <f t="shared" si="62"/>
        <v>0</v>
      </c>
      <c r="AF219" s="313">
        <f t="shared" si="62"/>
        <v>0</v>
      </c>
      <c r="AG219" s="313">
        <f t="shared" si="62"/>
        <v>-3.3209662589205137E-2</v>
      </c>
      <c r="AH219" s="313">
        <f t="shared" si="62"/>
        <v>-3.3209662589205137E-2</v>
      </c>
      <c r="AI219" s="313">
        <f t="shared" si="62"/>
        <v>0</v>
      </c>
      <c r="AJ219" s="313">
        <f t="shared" si="62"/>
        <v>0</v>
      </c>
      <c r="AK219" s="313">
        <f t="shared" si="62"/>
        <v>-2.8000181322170133E-2</v>
      </c>
      <c r="AL219" s="313">
        <f t="shared" si="62"/>
        <v>-2.8000181322170133E-2</v>
      </c>
      <c r="AM219" s="313">
        <f t="shared" si="62"/>
        <v>0</v>
      </c>
      <c r="AN219" s="313">
        <f t="shared" si="62"/>
        <v>0</v>
      </c>
      <c r="AO219" s="313">
        <f t="shared" si="62"/>
        <v>-1.4079568759351556E-2</v>
      </c>
      <c r="AP219" s="313">
        <f t="shared" si="62"/>
        <v>-1.4079568759351556E-2</v>
      </c>
      <c r="AQ219" s="304"/>
      <c r="AR219" s="304"/>
    </row>
    <row r="221" spans="2:44" x14ac:dyDescent="0.25">
      <c r="B221" s="30" t="s">
        <v>281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282</v>
      </c>
      <c r="G223" s="6" t="s">
        <v>57</v>
      </c>
      <c r="H223" s="26">
        <f t="array" ref="H223">SUM(IF(ISERROR(H22:AP219), 1))</f>
        <v>0</v>
      </c>
      <c r="AR223" s="3"/>
    </row>
    <row r="225" spans="2:44" x14ac:dyDescent="0.25">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787</v>
      </c>
      <c r="D9"/>
    </row>
    <row r="10" spans="1:44" x14ac:dyDescent="0.25">
      <c r="C10" s="29" t="s">
        <v>788</v>
      </c>
      <c r="D10"/>
      <c r="E10"/>
    </row>
    <row r="11" spans="1:44" x14ac:dyDescent="0.25">
      <c r="C11" s="94" t="s">
        <v>789</v>
      </c>
    </row>
    <row r="13" spans="1:44" x14ac:dyDescent="0.25">
      <c r="B13" s="30" t="s">
        <v>790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791</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345</v>
      </c>
    </row>
    <row r="20" spans="3:44" x14ac:dyDescent="0.25">
      <c r="D20" s="29" t="s">
        <v>792</v>
      </c>
      <c r="E20"/>
    </row>
    <row r="21" spans="3:44" x14ac:dyDescent="0.25">
      <c r="C21" s="91"/>
      <c r="E21" s="23" t="s">
        <v>226</v>
      </c>
      <c r="F21" s="23"/>
      <c r="G21" s="23" t="s">
        <v>793</v>
      </c>
      <c r="H21" s="83"/>
    </row>
    <row r="22" spans="3:44" x14ac:dyDescent="0.25">
      <c r="C22" s="91"/>
      <c r="E22" t="s">
        <v>228</v>
      </c>
      <c r="G22" t="s">
        <v>793</v>
      </c>
      <c r="H22" s="123">
        <f t="array" ref="H22:H30">TRANSPOSE('Inputs by network level'!K21:S21)</f>
        <v>0.20492776100044385</v>
      </c>
    </row>
    <row r="23" spans="3:44" x14ac:dyDescent="0.25">
      <c r="C23" s="91"/>
      <c r="E23" t="s">
        <v>229</v>
      </c>
      <c r="G23" t="s">
        <v>793</v>
      </c>
      <c r="H23" s="123">
        <v>0.20492776100044385</v>
      </c>
    </row>
    <row r="24" spans="3:44" x14ac:dyDescent="0.25">
      <c r="C24" s="91"/>
      <c r="E24" t="s">
        <v>230</v>
      </c>
      <c r="G24" t="s">
        <v>793</v>
      </c>
      <c r="H24" s="123">
        <v>0.20492776100044385</v>
      </c>
    </row>
    <row r="25" spans="3:44" x14ac:dyDescent="0.25">
      <c r="C25" s="91"/>
      <c r="E25" t="s">
        <v>231</v>
      </c>
      <c r="G25" t="s">
        <v>793</v>
      </c>
      <c r="H25" s="123">
        <v>0.20492776100044385</v>
      </c>
    </row>
    <row r="26" spans="3:44" x14ac:dyDescent="0.25">
      <c r="C26" s="91"/>
      <c r="E26" t="s">
        <v>232</v>
      </c>
      <c r="G26" t="s">
        <v>793</v>
      </c>
      <c r="H26" s="123">
        <v>0.20492776100044385</v>
      </c>
    </row>
    <row r="27" spans="3:44" x14ac:dyDescent="0.25">
      <c r="C27" s="91"/>
      <c r="E27" t="s">
        <v>233</v>
      </c>
      <c r="G27" t="s">
        <v>793</v>
      </c>
      <c r="H27" s="123">
        <v>0.20492776100044385</v>
      </c>
    </row>
    <row r="28" spans="3:44" x14ac:dyDescent="0.25">
      <c r="C28" s="91"/>
      <c r="E28" t="s">
        <v>234</v>
      </c>
      <c r="G28" t="s">
        <v>793</v>
      </c>
      <c r="H28" s="123">
        <v>0.20492776100044385</v>
      </c>
    </row>
    <row r="29" spans="3:44" x14ac:dyDescent="0.25">
      <c r="C29" s="91"/>
      <c r="E29" t="s">
        <v>235</v>
      </c>
      <c r="G29" t="s">
        <v>793</v>
      </c>
      <c r="H29" s="123">
        <v>0.20492776100044385</v>
      </c>
    </row>
    <row r="30" spans="3:44" x14ac:dyDescent="0.25">
      <c r="C30" s="91"/>
      <c r="E30" t="s">
        <v>236</v>
      </c>
      <c r="G30" t="s">
        <v>793</v>
      </c>
      <c r="H30" s="123">
        <v>0.20492776100044385</v>
      </c>
    </row>
    <row r="31" spans="3:44" x14ac:dyDescent="0.25">
      <c r="C31" s="91"/>
      <c r="E31" t="s">
        <v>437</v>
      </c>
      <c r="G31" t="s">
        <v>793</v>
      </c>
      <c r="H31" s="79"/>
    </row>
    <row r="32" spans="3:44" x14ac:dyDescent="0.25">
      <c r="C32" s="91"/>
      <c r="E32" s="37" t="s">
        <v>438</v>
      </c>
      <c r="F32" s="37"/>
      <c r="G32" s="37" t="s">
        <v>793</v>
      </c>
      <c r="H32" s="81"/>
    </row>
    <row r="33" spans="3:8" x14ac:dyDescent="0.25">
      <c r="C33" s="91"/>
      <c r="H33" s="92"/>
    </row>
    <row r="34" spans="3:8" x14ac:dyDescent="0.25">
      <c r="D34" s="91" t="s">
        <v>455</v>
      </c>
      <c r="H34" s="92"/>
    </row>
    <row r="35" spans="3:8" x14ac:dyDescent="0.25">
      <c r="C35" s="91"/>
      <c r="E35" s="23" t="s">
        <v>226</v>
      </c>
      <c r="F35" s="23"/>
      <c r="G35" s="64" t="s">
        <v>343</v>
      </c>
      <c r="H35" s="127">
        <f t="array" ref="H35:H44">TRANSPOSE('Load &amp; loss characteristics'!J29:S29)</f>
        <v>1</v>
      </c>
    </row>
    <row r="36" spans="3:8" x14ac:dyDescent="0.25">
      <c r="C36" s="91"/>
      <c r="E36" t="s">
        <v>228</v>
      </c>
      <c r="G36" s="28" t="s">
        <v>343</v>
      </c>
      <c r="H36" s="123">
        <v>1</v>
      </c>
    </row>
    <row r="37" spans="3:8" x14ac:dyDescent="0.25">
      <c r="C37" s="91"/>
      <c r="E37" t="s">
        <v>229</v>
      </c>
      <c r="G37" s="28" t="s">
        <v>343</v>
      </c>
      <c r="H37" s="123">
        <v>1.0029999999999999</v>
      </c>
    </row>
    <row r="38" spans="3:8" x14ac:dyDescent="0.25">
      <c r="C38" s="91"/>
      <c r="E38" t="s">
        <v>230</v>
      </c>
      <c r="G38" s="28" t="s">
        <v>343</v>
      </c>
      <c r="H38" s="123">
        <v>1.006</v>
      </c>
    </row>
    <row r="39" spans="3:8" x14ac:dyDescent="0.25">
      <c r="C39" s="91"/>
      <c r="E39" t="s">
        <v>231</v>
      </c>
      <c r="G39" s="28" t="s">
        <v>343</v>
      </c>
      <c r="H39" s="123">
        <v>1.014</v>
      </c>
    </row>
    <row r="40" spans="3:8" x14ac:dyDescent="0.25">
      <c r="C40" s="91"/>
      <c r="E40" t="s">
        <v>232</v>
      </c>
      <c r="G40" s="28" t="s">
        <v>343</v>
      </c>
      <c r="H40" s="123">
        <v>1.02</v>
      </c>
    </row>
    <row r="41" spans="3:8" x14ac:dyDescent="0.25">
      <c r="C41" s="91"/>
      <c r="E41" t="s">
        <v>233</v>
      </c>
      <c r="G41" s="28" t="s">
        <v>343</v>
      </c>
      <c r="H41" s="123">
        <v>1.02</v>
      </c>
    </row>
    <row r="42" spans="3:8" x14ac:dyDescent="0.25">
      <c r="C42" s="91"/>
      <c r="E42" t="s">
        <v>234</v>
      </c>
      <c r="G42" s="28" t="s">
        <v>343</v>
      </c>
      <c r="H42" s="123">
        <v>1.036</v>
      </c>
    </row>
    <row r="43" spans="3:8" x14ac:dyDescent="0.25">
      <c r="C43" s="91"/>
      <c r="E43" t="s">
        <v>235</v>
      </c>
      <c r="G43" s="28" t="s">
        <v>343</v>
      </c>
      <c r="H43" s="123">
        <v>1.0469999999999999</v>
      </c>
    </row>
    <row r="44" spans="3:8" x14ac:dyDescent="0.25">
      <c r="C44" s="91"/>
      <c r="E44" t="s">
        <v>236</v>
      </c>
      <c r="G44" s="28" t="s">
        <v>343</v>
      </c>
      <c r="H44" s="123">
        <v>1.0780000000000001</v>
      </c>
    </row>
    <row r="45" spans="3:8" x14ac:dyDescent="0.25">
      <c r="C45" s="91"/>
      <c r="E45" t="s">
        <v>437</v>
      </c>
      <c r="G45" s="28" t="s">
        <v>343</v>
      </c>
      <c r="H45" s="79"/>
    </row>
    <row r="46" spans="3:8" x14ac:dyDescent="0.25">
      <c r="C46" s="91"/>
      <c r="E46" s="37" t="s">
        <v>438</v>
      </c>
      <c r="F46" s="37"/>
      <c r="G46" s="67" t="s">
        <v>343</v>
      </c>
      <c r="H46" s="81"/>
    </row>
    <row r="47" spans="3:8" x14ac:dyDescent="0.25">
      <c r="C47" s="91"/>
      <c r="H47" s="92"/>
    </row>
    <row r="48" spans="3:8" x14ac:dyDescent="0.25">
      <c r="D48" s="32" t="s">
        <v>794</v>
      </c>
      <c r="H48" s="92"/>
    </row>
    <row r="49" spans="3:8" x14ac:dyDescent="0.25">
      <c r="C49" s="91"/>
      <c r="E49" s="23" t="s">
        <v>226</v>
      </c>
      <c r="F49" s="23"/>
      <c r="G49" s="23" t="s">
        <v>698</v>
      </c>
      <c r="H49" s="83"/>
    </row>
    <row r="50" spans="3:8" x14ac:dyDescent="0.25">
      <c r="C50" s="91"/>
      <c r="E50" t="s">
        <v>228</v>
      </c>
      <c r="G50" t="s">
        <v>698</v>
      </c>
      <c r="H50" s="79"/>
    </row>
    <row r="51" spans="3:8" x14ac:dyDescent="0.25">
      <c r="C51" s="91"/>
      <c r="E51" t="s">
        <v>229</v>
      </c>
      <c r="G51" t="s">
        <v>698</v>
      </c>
      <c r="H51" s="123">
        <f t="array" ref="H51:H58">TRANSPOSE('Unit costs'!L114:S114)</f>
        <v>5.635441156757909</v>
      </c>
    </row>
    <row r="52" spans="3:8" x14ac:dyDescent="0.25">
      <c r="C52" s="91"/>
      <c r="E52" t="s">
        <v>230</v>
      </c>
      <c r="G52" t="s">
        <v>698</v>
      </c>
      <c r="H52" s="123">
        <v>3.1928799746715937</v>
      </c>
    </row>
    <row r="53" spans="3:8" x14ac:dyDescent="0.25">
      <c r="C53" s="91"/>
      <c r="E53" t="s">
        <v>231</v>
      </c>
      <c r="G53" t="s">
        <v>698</v>
      </c>
      <c r="H53" s="123">
        <v>3.9757376741117225</v>
      </c>
    </row>
    <row r="54" spans="3:8" x14ac:dyDescent="0.25">
      <c r="C54" s="91"/>
      <c r="E54" t="s">
        <v>232</v>
      </c>
      <c r="G54" t="s">
        <v>698</v>
      </c>
      <c r="H54" s="123">
        <v>6.4336715085900966</v>
      </c>
    </row>
    <row r="55" spans="3:8" x14ac:dyDescent="0.25">
      <c r="C55" s="91"/>
      <c r="E55" t="s">
        <v>233</v>
      </c>
      <c r="G55" t="s">
        <v>698</v>
      </c>
      <c r="H55" s="123">
        <v>6.677441299770674</v>
      </c>
    </row>
    <row r="56" spans="3:8" x14ac:dyDescent="0.25">
      <c r="C56" s="91"/>
      <c r="E56" t="s">
        <v>234</v>
      </c>
      <c r="G56" t="s">
        <v>698</v>
      </c>
      <c r="H56" s="123">
        <v>13.92481970339955</v>
      </c>
    </row>
    <row r="57" spans="3:8" x14ac:dyDescent="0.25">
      <c r="C57" s="91"/>
      <c r="E57" t="s">
        <v>235</v>
      </c>
      <c r="G57" t="s">
        <v>698</v>
      </c>
      <c r="H57" s="123">
        <v>6.44179487833987</v>
      </c>
    </row>
    <row r="58" spans="3:8" x14ac:dyDescent="0.25">
      <c r="C58" s="91"/>
      <c r="E58" t="s">
        <v>236</v>
      </c>
      <c r="G58" t="s">
        <v>698</v>
      </c>
      <c r="H58" s="123">
        <v>13.219994839399977</v>
      </c>
    </row>
    <row r="59" spans="3:8" x14ac:dyDescent="0.25">
      <c r="C59" s="91"/>
      <c r="E59" t="s">
        <v>437</v>
      </c>
      <c r="G59" t="s">
        <v>698</v>
      </c>
      <c r="H59" s="79"/>
    </row>
    <row r="60" spans="3:8" x14ac:dyDescent="0.25">
      <c r="C60" s="91"/>
      <c r="E60" s="37" t="s">
        <v>438</v>
      </c>
      <c r="F60" s="37"/>
      <c r="G60" s="37" t="s">
        <v>698</v>
      </c>
      <c r="H60" s="81"/>
    </row>
    <row r="61" spans="3:8" x14ac:dyDescent="0.25">
      <c r="C61" s="91"/>
      <c r="H61" s="92"/>
    </row>
    <row r="62" spans="3:8" x14ac:dyDescent="0.25">
      <c r="C62" s="91"/>
      <c r="D62" s="32" t="s">
        <v>795</v>
      </c>
      <c r="E62"/>
      <c r="H62" s="92"/>
    </row>
    <row r="63" spans="3:8" x14ac:dyDescent="0.25">
      <c r="C63" s="91"/>
      <c r="E63" s="23" t="s">
        <v>226</v>
      </c>
      <c r="F63" s="23"/>
      <c r="G63" s="23" t="s">
        <v>698</v>
      </c>
      <c r="H63" s="127">
        <f t="array" ref="H63:H72">TRANSPOSE('Unit costs'!J115:S115)</f>
        <v>2.8030473549949311</v>
      </c>
    </row>
    <row r="64" spans="3:8" x14ac:dyDescent="0.25">
      <c r="C64" s="91"/>
      <c r="E64" t="s">
        <v>228</v>
      </c>
      <c r="G64" t="s">
        <v>698</v>
      </c>
      <c r="H64" s="123">
        <v>0</v>
      </c>
    </row>
    <row r="65" spans="3:59" x14ac:dyDescent="0.25">
      <c r="C65" s="91"/>
      <c r="E65" t="s">
        <v>229</v>
      </c>
      <c r="G65" t="s">
        <v>698</v>
      </c>
      <c r="H65" s="123">
        <v>3.0937813992322276</v>
      </c>
    </row>
    <row r="66" spans="3:59" x14ac:dyDescent="0.25">
      <c r="C66" s="91"/>
      <c r="E66" t="s">
        <v>230</v>
      </c>
      <c r="G66" t="s">
        <v>698</v>
      </c>
      <c r="H66" s="123">
        <v>1.7528481623438572</v>
      </c>
    </row>
    <row r="67" spans="3:59" x14ac:dyDescent="0.25">
      <c r="C67" s="91"/>
      <c r="E67" t="s">
        <v>231</v>
      </c>
      <c r="G67" t="s">
        <v>698</v>
      </c>
      <c r="H67" s="123">
        <v>2.182626510019301</v>
      </c>
    </row>
    <row r="68" spans="3:59" x14ac:dyDescent="0.25">
      <c r="C68" s="91"/>
      <c r="E68" t="s">
        <v>232</v>
      </c>
      <c r="G68" t="s">
        <v>698</v>
      </c>
      <c r="H68" s="123">
        <v>3.5319991263110713</v>
      </c>
    </row>
    <row r="69" spans="3:59" x14ac:dyDescent="0.25">
      <c r="C69" s="91"/>
      <c r="E69" t="s">
        <v>233</v>
      </c>
      <c r="G69" t="s">
        <v>698</v>
      </c>
      <c r="H69" s="123">
        <v>3.6658254630025309</v>
      </c>
    </row>
    <row r="70" spans="3:59" x14ac:dyDescent="0.25">
      <c r="C70" s="91"/>
      <c r="E70" t="s">
        <v>234</v>
      </c>
      <c r="G70" t="s">
        <v>698</v>
      </c>
      <c r="H70" s="123">
        <v>7.6445387304557082</v>
      </c>
    </row>
    <row r="71" spans="3:59" x14ac:dyDescent="0.25">
      <c r="C71" s="91"/>
      <c r="E71" t="s">
        <v>235</v>
      </c>
      <c r="G71" t="s">
        <v>698</v>
      </c>
      <c r="H71" s="123">
        <v>3.5364587470456068</v>
      </c>
    </row>
    <row r="72" spans="3:59" x14ac:dyDescent="0.25">
      <c r="C72" s="91"/>
      <c r="E72" t="s">
        <v>236</v>
      </c>
      <c r="G72" t="s">
        <v>698</v>
      </c>
      <c r="H72" s="123">
        <v>7.2575993599073412</v>
      </c>
    </row>
    <row r="73" spans="3:59" x14ac:dyDescent="0.25">
      <c r="C73" s="91"/>
      <c r="E73" t="s">
        <v>437</v>
      </c>
      <c r="G73" t="s">
        <v>698</v>
      </c>
      <c r="H73" s="79"/>
    </row>
    <row r="74" spans="3:59" x14ac:dyDescent="0.25">
      <c r="C74" s="91"/>
      <c r="E74" s="37" t="s">
        <v>438</v>
      </c>
      <c r="F74" s="37"/>
      <c r="G74" s="37" t="s">
        <v>698</v>
      </c>
      <c r="H74" s="81"/>
    </row>
    <row r="75" spans="3:59" x14ac:dyDescent="0.25">
      <c r="C75" s="91"/>
      <c r="H75" s="63"/>
    </row>
    <row r="76" spans="3:59" x14ac:dyDescent="0.25">
      <c r="D76" s="91" t="s">
        <v>796</v>
      </c>
    </row>
    <row r="77" spans="3:59" x14ac:dyDescent="0.25">
      <c r="D77" s="29" t="s">
        <v>797</v>
      </c>
      <c r="E77" s="228"/>
    </row>
    <row r="78" spans="3:59" x14ac:dyDescent="0.25">
      <c r="C78" s="91"/>
      <c r="E78" t="s">
        <v>798</v>
      </c>
      <c r="G78" t="s">
        <v>799</v>
      </c>
      <c r="I78" t="s">
        <v>191</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263</v>
      </c>
    </row>
    <row r="79" spans="3:59" x14ac:dyDescent="0.25">
      <c r="C79" s="91"/>
    </row>
    <row r="80" spans="3:59" x14ac:dyDescent="0.25">
      <c r="D80" s="32" t="s">
        <v>122</v>
      </c>
      <c r="E80"/>
      <c r="H80" s="14"/>
      <c r="J80" s="63"/>
      <c r="K80" s="63"/>
      <c r="L80" s="63"/>
      <c r="M80" s="63"/>
      <c r="N80" s="63"/>
      <c r="O80" s="63"/>
      <c r="P80" s="63"/>
      <c r="Q80" s="63"/>
      <c r="R80" s="63"/>
      <c r="S80" s="63"/>
      <c r="BG80" s="3"/>
    </row>
    <row r="81" spans="3:59" x14ac:dyDescent="0.25">
      <c r="C81" s="32"/>
      <c r="D81"/>
      <c r="E81" s="23" t="s">
        <v>228</v>
      </c>
      <c r="F81" s="23"/>
      <c r="G81" s="23" t="s">
        <v>204</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229</v>
      </c>
      <c r="G82" t="s">
        <v>204</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1.5008868542263909E-2</v>
      </c>
      <c r="S82" s="25">
        <f>'Standing charge factors'!S45</f>
        <v>0</v>
      </c>
      <c r="T82" s="25">
        <f>'Standing charge factors'!T45</f>
        <v>0</v>
      </c>
      <c r="U82" s="25">
        <f>'Standing charge factors'!U45</f>
        <v>0</v>
      </c>
      <c r="V82" s="25">
        <f>'Standing charge factors'!V45</f>
        <v>0</v>
      </c>
      <c r="W82" s="25">
        <f>'Standing charge factors'!W45</f>
        <v>1.5008868542263909E-2</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230</v>
      </c>
      <c r="G83" t="s">
        <v>204</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231</v>
      </c>
      <c r="G84" t="s">
        <v>204</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232</v>
      </c>
      <c r="G85" t="s">
        <v>204</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233</v>
      </c>
      <c r="G86" t="s">
        <v>204</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234</v>
      </c>
      <c r="G87" t="s">
        <v>204</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235</v>
      </c>
      <c r="G88" t="s">
        <v>204</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236</v>
      </c>
      <c r="F89" s="37"/>
      <c r="G89" s="37" t="s">
        <v>204</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465</v>
      </c>
      <c r="E91" s="32"/>
      <c r="I91" t="s">
        <v>191</v>
      </c>
      <c r="AR91" t="s">
        <v>800</v>
      </c>
    </row>
    <row r="92" spans="3:59" x14ac:dyDescent="0.25">
      <c r="D92" s="29" t="s">
        <v>462</v>
      </c>
      <c r="E92"/>
      <c r="AR92" s="229"/>
    </row>
    <row r="93" spans="3:59" x14ac:dyDescent="0.25">
      <c r="D93"/>
      <c r="E93" s="23" t="s">
        <v>226</v>
      </c>
      <c r="F93" s="23"/>
      <c r="G93" s="64" t="s">
        <v>343</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-1.0780000000000001</v>
      </c>
      <c r="AD93" s="127">
        <v>-1.0469999999999999</v>
      </c>
      <c r="AE93" s="127">
        <v>-1.0780000000000001</v>
      </c>
      <c r="AF93" s="127">
        <v>-1.0780000000000001</v>
      </c>
      <c r="AG93" s="127">
        <v>-1.0780000000000001</v>
      </c>
      <c r="AH93" s="127">
        <v>-1.0780000000000001</v>
      </c>
      <c r="AI93" s="127">
        <v>-1.0469999999999999</v>
      </c>
      <c r="AJ93" s="127">
        <v>-1.0469999999999999</v>
      </c>
      <c r="AK93" s="127">
        <v>-1.0469999999999999</v>
      </c>
      <c r="AL93" s="127">
        <v>-1.0469999999999999</v>
      </c>
      <c r="AM93" s="127">
        <v>-1.036</v>
      </c>
      <c r="AN93" s="127">
        <v>-1.036</v>
      </c>
      <c r="AO93" s="127">
        <v>-1.036</v>
      </c>
      <c r="AP93" s="127">
        <v>-1.036</v>
      </c>
    </row>
    <row r="94" spans="3:59" x14ac:dyDescent="0.25">
      <c r="D94"/>
      <c r="E94" t="s">
        <v>228</v>
      </c>
      <c r="G94" s="28" t="s">
        <v>343</v>
      </c>
      <c r="J94" s="79"/>
      <c r="K94" s="79"/>
      <c r="L94" s="79"/>
      <c r="M94" s="79"/>
      <c r="N94" s="79"/>
      <c r="O94" s="79"/>
      <c r="P94" s="79"/>
      <c r="Q94" s="79"/>
      <c r="R94" s="79"/>
      <c r="S94" s="79"/>
      <c r="T94" s="79"/>
      <c r="U94" s="79"/>
      <c r="V94" s="79"/>
      <c r="W94" s="79"/>
      <c r="X94" s="79"/>
      <c r="Y94" s="79"/>
      <c r="Z94" s="79"/>
      <c r="AA94" s="79"/>
      <c r="AB94" s="79"/>
      <c r="AC94" s="123">
        <v>-1.0780000000000001</v>
      </c>
      <c r="AD94" s="123">
        <v>-1.0469999999999999</v>
      </c>
      <c r="AE94" s="123">
        <v>-1.0780000000000001</v>
      </c>
      <c r="AF94" s="123">
        <v>-1.0780000000000001</v>
      </c>
      <c r="AG94" s="123">
        <v>-1.0780000000000001</v>
      </c>
      <c r="AH94" s="123">
        <v>-1.0780000000000001</v>
      </c>
      <c r="AI94" s="123">
        <v>-1.0469999999999999</v>
      </c>
      <c r="AJ94" s="123">
        <v>-1.0469999999999999</v>
      </c>
      <c r="AK94" s="123">
        <v>-1.0469999999999999</v>
      </c>
      <c r="AL94" s="123">
        <v>-1.0469999999999999</v>
      </c>
      <c r="AM94" s="123">
        <v>-1.036</v>
      </c>
      <c r="AN94" s="123">
        <v>-1.036</v>
      </c>
      <c r="AO94" s="123">
        <v>-1.036</v>
      </c>
      <c r="AP94" s="123">
        <v>-1.036</v>
      </c>
    </row>
    <row r="95" spans="3:59" x14ac:dyDescent="0.25">
      <c r="D95"/>
      <c r="E95" t="s">
        <v>229</v>
      </c>
      <c r="G95" s="28" t="s">
        <v>343</v>
      </c>
      <c r="J95" s="79"/>
      <c r="K95" s="79"/>
      <c r="L95" s="79"/>
      <c r="M95" s="79"/>
      <c r="N95" s="79"/>
      <c r="O95" s="79"/>
      <c r="P95" s="79"/>
      <c r="Q95" s="79"/>
      <c r="R95" s="79"/>
      <c r="S95" s="79"/>
      <c r="T95" s="79"/>
      <c r="U95" s="79"/>
      <c r="V95" s="79"/>
      <c r="W95" s="79"/>
      <c r="X95" s="79"/>
      <c r="Y95" s="79"/>
      <c r="Z95" s="79"/>
      <c r="AA95" s="79"/>
      <c r="AB95" s="79"/>
      <c r="AC95" s="123">
        <v>-1.0780000000000001</v>
      </c>
      <c r="AD95" s="123">
        <v>-1.0469999999999999</v>
      </c>
      <c r="AE95" s="123">
        <v>-1.0780000000000001</v>
      </c>
      <c r="AF95" s="123">
        <v>-1.0780000000000001</v>
      </c>
      <c r="AG95" s="123">
        <v>-1.0780000000000001</v>
      </c>
      <c r="AH95" s="123">
        <v>-1.0780000000000001</v>
      </c>
      <c r="AI95" s="123">
        <v>-1.0469999999999999</v>
      </c>
      <c r="AJ95" s="123">
        <v>-1.0469999999999999</v>
      </c>
      <c r="AK95" s="123">
        <v>-1.0469999999999999</v>
      </c>
      <c r="AL95" s="123">
        <v>-1.0469999999999999</v>
      </c>
      <c r="AM95" s="123">
        <v>-1.036</v>
      </c>
      <c r="AN95" s="123">
        <v>-1.036</v>
      </c>
      <c r="AO95" s="123">
        <v>-1.036</v>
      </c>
      <c r="AP95" s="123">
        <v>-1.036</v>
      </c>
    </row>
    <row r="96" spans="3:59" x14ac:dyDescent="0.25">
      <c r="D96"/>
      <c r="E96" t="s">
        <v>230</v>
      </c>
      <c r="G96" s="28" t="s">
        <v>343</v>
      </c>
      <c r="J96" s="79"/>
      <c r="K96" s="79"/>
      <c r="L96" s="79"/>
      <c r="M96" s="79"/>
      <c r="N96" s="79"/>
      <c r="O96" s="79"/>
      <c r="P96" s="79"/>
      <c r="Q96" s="79"/>
      <c r="R96" s="79"/>
      <c r="S96" s="79"/>
      <c r="T96" s="79"/>
      <c r="U96" s="79"/>
      <c r="V96" s="79"/>
      <c r="W96" s="79"/>
      <c r="X96" s="79"/>
      <c r="Y96" s="79"/>
      <c r="Z96" s="79"/>
      <c r="AA96" s="79"/>
      <c r="AB96" s="79"/>
      <c r="AC96" s="123">
        <v>-0.99710219855719762</v>
      </c>
      <c r="AD96" s="123">
        <v>-0.96842857318124842</v>
      </c>
      <c r="AE96" s="123">
        <v>-0.99710219855719762</v>
      </c>
      <c r="AF96" s="123">
        <v>-0.99710219855719762</v>
      </c>
      <c r="AG96" s="123">
        <v>-0.99710219855719762</v>
      </c>
      <c r="AH96" s="123">
        <v>-0.99710219855719762</v>
      </c>
      <c r="AI96" s="123">
        <v>-0.96842857318124842</v>
      </c>
      <c r="AJ96" s="123">
        <v>-0.96842857318124842</v>
      </c>
      <c r="AK96" s="123">
        <v>-0.96842857318124842</v>
      </c>
      <c r="AL96" s="123">
        <v>-0.96842857318124842</v>
      </c>
      <c r="AM96" s="123">
        <v>-0.95825406095107302</v>
      </c>
      <c r="AN96" s="123">
        <v>-0.95825406095107302</v>
      </c>
      <c r="AO96" s="123">
        <v>-0.95825406095107302</v>
      </c>
      <c r="AP96" s="123">
        <v>-0.95825406095107302</v>
      </c>
    </row>
    <row r="97" spans="3:42" x14ac:dyDescent="0.25">
      <c r="D97"/>
      <c r="E97" t="s">
        <v>231</v>
      </c>
      <c r="G97" s="28" t="s">
        <v>343</v>
      </c>
      <c r="J97" s="79"/>
      <c r="K97" s="79"/>
      <c r="L97" s="79"/>
      <c r="M97" s="79"/>
      <c r="N97" s="79"/>
      <c r="O97" s="79"/>
      <c r="P97" s="79"/>
      <c r="Q97" s="79"/>
      <c r="R97" s="79"/>
      <c r="S97" s="79"/>
      <c r="T97" s="79"/>
      <c r="U97" s="79"/>
      <c r="V97" s="79"/>
      <c r="W97" s="79"/>
      <c r="X97" s="79"/>
      <c r="Y97" s="79"/>
      <c r="Z97" s="79"/>
      <c r="AA97" s="79"/>
      <c r="AB97" s="79"/>
      <c r="AC97" s="123">
        <v>-0.99710219855719762</v>
      </c>
      <c r="AD97" s="123">
        <v>-0.96842857318124842</v>
      </c>
      <c r="AE97" s="123">
        <v>-0.99710219855719762</v>
      </c>
      <c r="AF97" s="123">
        <v>-0.99710219855719762</v>
      </c>
      <c r="AG97" s="123">
        <v>-0.99710219855719762</v>
      </c>
      <c r="AH97" s="123">
        <v>-0.99710219855719762</v>
      </c>
      <c r="AI97" s="123">
        <v>-0.96842857318124842</v>
      </c>
      <c r="AJ97" s="123">
        <v>-0.96842857318124842</v>
      </c>
      <c r="AK97" s="123">
        <v>-0.96842857318124842</v>
      </c>
      <c r="AL97" s="123">
        <v>-0.96842857318124842</v>
      </c>
      <c r="AM97" s="123">
        <v>-0.95825406095107302</v>
      </c>
      <c r="AN97" s="123">
        <v>-0.95825406095107302</v>
      </c>
      <c r="AO97" s="123">
        <v>-0.95825406095107302</v>
      </c>
      <c r="AP97" s="123">
        <v>-0.95825406095107302</v>
      </c>
    </row>
    <row r="98" spans="3:42" x14ac:dyDescent="0.25">
      <c r="D98"/>
      <c r="E98" t="s">
        <v>232</v>
      </c>
      <c r="G98" s="28" t="s">
        <v>343</v>
      </c>
      <c r="J98" s="79"/>
      <c r="K98" s="79"/>
      <c r="L98" s="79"/>
      <c r="M98" s="79"/>
      <c r="N98" s="79"/>
      <c r="O98" s="79"/>
      <c r="P98" s="79"/>
      <c r="Q98" s="79"/>
      <c r="R98" s="79"/>
      <c r="S98" s="79"/>
      <c r="T98" s="79"/>
      <c r="U98" s="79"/>
      <c r="V98" s="79"/>
      <c r="W98" s="79"/>
      <c r="X98" s="79"/>
      <c r="Y98" s="79"/>
      <c r="Z98" s="79"/>
      <c r="AA98" s="79"/>
      <c r="AB98" s="79"/>
      <c r="AC98" s="123">
        <v>-0.99710219855719762</v>
      </c>
      <c r="AD98" s="123">
        <v>-0.96842857318124842</v>
      </c>
      <c r="AE98" s="123">
        <v>-0.99710219855719762</v>
      </c>
      <c r="AF98" s="123">
        <v>-0.99710219855719762</v>
      </c>
      <c r="AG98" s="123">
        <v>-0.99710219855719762</v>
      </c>
      <c r="AH98" s="123">
        <v>-0.99710219855719762</v>
      </c>
      <c r="AI98" s="123">
        <v>-0.96842857318124842</v>
      </c>
      <c r="AJ98" s="123">
        <v>-0.96842857318124842</v>
      </c>
      <c r="AK98" s="123">
        <v>-0.96842857318124842</v>
      </c>
      <c r="AL98" s="123">
        <v>-0.96842857318124842</v>
      </c>
      <c r="AM98" s="123">
        <v>-0.95825406095107302</v>
      </c>
      <c r="AN98" s="123">
        <v>-0.95825406095107302</v>
      </c>
      <c r="AO98" s="123">
        <v>-0.95825406095107302</v>
      </c>
      <c r="AP98" s="123">
        <v>-0.95825406095107302</v>
      </c>
    </row>
    <row r="99" spans="3:42" x14ac:dyDescent="0.25">
      <c r="D99"/>
      <c r="E99" t="s">
        <v>233</v>
      </c>
      <c r="G99" s="28" t="s">
        <v>343</v>
      </c>
      <c r="J99" s="79"/>
      <c r="K99" s="79"/>
      <c r="L99" s="79"/>
      <c r="M99" s="79"/>
      <c r="N99" s="79"/>
      <c r="O99" s="79"/>
      <c r="P99" s="79"/>
      <c r="Q99" s="79"/>
      <c r="R99" s="79"/>
      <c r="S99" s="79"/>
      <c r="T99" s="79"/>
      <c r="U99" s="79"/>
      <c r="V99" s="79"/>
      <c r="W99" s="79"/>
      <c r="X99" s="79"/>
      <c r="Y99" s="79"/>
      <c r="Z99" s="79"/>
      <c r="AA99" s="79"/>
      <c r="AB99" s="79"/>
      <c r="AC99" s="123">
        <v>-8.0897801442802481E-2</v>
      </c>
      <c r="AD99" s="123">
        <v>-7.8571426818751552E-2</v>
      </c>
      <c r="AE99" s="123">
        <v>-8.0897801442802481E-2</v>
      </c>
      <c r="AF99" s="123">
        <v>-8.0897801442802481E-2</v>
      </c>
      <c r="AG99" s="123">
        <v>-8.0897801442802481E-2</v>
      </c>
      <c r="AH99" s="123">
        <v>-8.0897801442802481E-2</v>
      </c>
      <c r="AI99" s="123">
        <v>-7.8571426818751552E-2</v>
      </c>
      <c r="AJ99" s="123">
        <v>-7.8571426818751552E-2</v>
      </c>
      <c r="AK99" s="123">
        <v>-7.8571426818751552E-2</v>
      </c>
      <c r="AL99" s="123">
        <v>-7.8571426818751552E-2</v>
      </c>
      <c r="AM99" s="123">
        <v>-7.7745939048927057E-2</v>
      </c>
      <c r="AN99" s="123">
        <v>-7.7745939048927057E-2</v>
      </c>
      <c r="AO99" s="123">
        <v>-7.7745939048927057E-2</v>
      </c>
      <c r="AP99" s="123">
        <v>-7.7745939048927057E-2</v>
      </c>
    </row>
    <row r="100" spans="3:42" x14ac:dyDescent="0.25">
      <c r="D100"/>
      <c r="E100" t="s">
        <v>234</v>
      </c>
      <c r="G100" s="28" t="s">
        <v>343</v>
      </c>
      <c r="J100" s="79"/>
      <c r="K100" s="79"/>
      <c r="L100" s="79"/>
      <c r="M100" s="79"/>
      <c r="N100" s="79"/>
      <c r="O100" s="79"/>
      <c r="P100" s="79"/>
      <c r="Q100" s="79"/>
      <c r="R100" s="79"/>
      <c r="S100" s="79"/>
      <c r="T100" s="79"/>
      <c r="U100" s="79"/>
      <c r="V100" s="79"/>
      <c r="W100" s="79"/>
      <c r="X100" s="79"/>
      <c r="Y100" s="79"/>
      <c r="Z100" s="79"/>
      <c r="AA100" s="79"/>
      <c r="AB100" s="79"/>
      <c r="AC100" s="123">
        <v>-1.0780000000000001</v>
      </c>
      <c r="AD100" s="123">
        <v>-1.0469999999999999</v>
      </c>
      <c r="AE100" s="123">
        <v>-1.0780000000000001</v>
      </c>
      <c r="AF100" s="123">
        <v>-1.0780000000000001</v>
      </c>
      <c r="AG100" s="123">
        <v>-1.0780000000000001</v>
      </c>
      <c r="AH100" s="123">
        <v>-1.0780000000000001</v>
      </c>
      <c r="AI100" s="123">
        <v>-1.0469999999999999</v>
      </c>
      <c r="AJ100" s="123">
        <v>-1.0469999999999999</v>
      </c>
      <c r="AK100" s="123">
        <v>-1.0469999999999999</v>
      </c>
      <c r="AL100" s="123">
        <v>-1.0469999999999999</v>
      </c>
      <c r="AM100" s="123">
        <v>-1.036</v>
      </c>
      <c r="AN100" s="123">
        <v>-1.036</v>
      </c>
      <c r="AO100" s="123">
        <v>-1.036</v>
      </c>
      <c r="AP100" s="123">
        <v>-1.036</v>
      </c>
    </row>
    <row r="101" spans="3:42" x14ac:dyDescent="0.25">
      <c r="D101"/>
      <c r="E101" t="s">
        <v>235</v>
      </c>
      <c r="G101" s="28" t="s">
        <v>343</v>
      </c>
      <c r="J101" s="79"/>
      <c r="K101" s="79"/>
      <c r="L101" s="79"/>
      <c r="M101" s="79"/>
      <c r="N101" s="79"/>
      <c r="O101" s="79"/>
      <c r="P101" s="79"/>
      <c r="Q101" s="79"/>
      <c r="R101" s="79"/>
      <c r="S101" s="79"/>
      <c r="T101" s="79"/>
      <c r="U101" s="79"/>
      <c r="V101" s="79"/>
      <c r="W101" s="79"/>
      <c r="X101" s="79"/>
      <c r="Y101" s="79"/>
      <c r="Z101" s="79"/>
      <c r="AA101" s="79"/>
      <c r="AB101" s="79"/>
      <c r="AC101" s="123">
        <v>-1.0780000000000001</v>
      </c>
      <c r="AD101" s="123">
        <v>-1.0469999999999999</v>
      </c>
      <c r="AE101" s="123">
        <v>-1.0780000000000001</v>
      </c>
      <c r="AF101" s="123">
        <v>-1.0780000000000001</v>
      </c>
      <c r="AG101" s="123">
        <v>-1.0780000000000001</v>
      </c>
      <c r="AH101" s="123">
        <v>-1.0780000000000001</v>
      </c>
      <c r="AI101" s="123">
        <v>-1.0469999999999999</v>
      </c>
      <c r="AJ101" s="123">
        <v>-1.0469999999999999</v>
      </c>
      <c r="AK101" s="123">
        <v>-1.0469999999999999</v>
      </c>
      <c r="AL101" s="123">
        <v>-1.0469999999999999</v>
      </c>
      <c r="AM101" s="123">
        <v>0</v>
      </c>
      <c r="AN101" s="123">
        <v>0</v>
      </c>
      <c r="AO101" s="123">
        <v>0</v>
      </c>
      <c r="AP101" s="123">
        <v>0</v>
      </c>
    </row>
    <row r="102" spans="3:42" x14ac:dyDescent="0.25">
      <c r="D102"/>
      <c r="E102" t="s">
        <v>236</v>
      </c>
      <c r="G102" s="28" t="s">
        <v>343</v>
      </c>
      <c r="J102" s="79"/>
      <c r="K102" s="79"/>
      <c r="L102" s="79"/>
      <c r="M102" s="79"/>
      <c r="N102" s="79"/>
      <c r="O102" s="79"/>
      <c r="P102" s="79"/>
      <c r="Q102" s="79"/>
      <c r="R102" s="79"/>
      <c r="S102" s="79"/>
      <c r="T102" s="79"/>
      <c r="U102" s="79"/>
      <c r="V102" s="79"/>
      <c r="W102" s="79"/>
      <c r="X102" s="79"/>
      <c r="Y102" s="79"/>
      <c r="Z102" s="79"/>
      <c r="AA102" s="79"/>
      <c r="AB102" s="79"/>
      <c r="AC102" s="123">
        <v>-1.0780000000000001</v>
      </c>
      <c r="AD102" s="123">
        <v>0</v>
      </c>
      <c r="AE102" s="123">
        <v>-1.0780000000000001</v>
      </c>
      <c r="AF102" s="123">
        <v>-1.0780000000000001</v>
      </c>
      <c r="AG102" s="123">
        <v>-1.0780000000000001</v>
      </c>
      <c r="AH102" s="123">
        <v>-1.0780000000000001</v>
      </c>
      <c r="AI102" s="123">
        <v>0</v>
      </c>
      <c r="AJ102" s="123">
        <v>0</v>
      </c>
      <c r="AK102" s="123">
        <v>0</v>
      </c>
      <c r="AL102" s="123">
        <v>0</v>
      </c>
      <c r="AM102" s="123">
        <v>0</v>
      </c>
      <c r="AN102" s="123">
        <v>0</v>
      </c>
      <c r="AO102" s="123">
        <v>0</v>
      </c>
      <c r="AP102" s="123">
        <v>0</v>
      </c>
    </row>
    <row r="103" spans="3:42" x14ac:dyDescent="0.25">
      <c r="D103"/>
      <c r="E103" t="s">
        <v>437</v>
      </c>
      <c r="G103" s="28" t="s">
        <v>343</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438</v>
      </c>
      <c r="F104" s="37"/>
      <c r="G104" s="67" t="s">
        <v>343</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477</v>
      </c>
      <c r="E106"/>
    </row>
    <row r="107" spans="3:42" x14ac:dyDescent="0.25">
      <c r="C107" s="91"/>
      <c r="E107" s="23" t="s">
        <v>226</v>
      </c>
      <c r="F107" s="23"/>
      <c r="G107" s="23" t="s">
        <v>204</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228</v>
      </c>
      <c r="G108" t="s">
        <v>204</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229</v>
      </c>
      <c r="G109" t="s">
        <v>204</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230</v>
      </c>
      <c r="G110" t="s">
        <v>204</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row>
    <row r="111" spans="3:42" x14ac:dyDescent="0.25">
      <c r="C111" s="91"/>
      <c r="E111" t="s">
        <v>231</v>
      </c>
      <c r="G111" t="s">
        <v>204</v>
      </c>
      <c r="J111" s="25">
        <v>0</v>
      </c>
      <c r="K111" s="25">
        <v>0</v>
      </c>
      <c r="L111" s="25">
        <v>0</v>
      </c>
      <c r="M111" s="25">
        <v>0</v>
      </c>
      <c r="N111" s="25">
        <v>0</v>
      </c>
      <c r="O111" s="25">
        <v>0</v>
      </c>
      <c r="P111" s="25">
        <v>0</v>
      </c>
      <c r="Q111" s="25">
        <v>0</v>
      </c>
      <c r="R111" s="25">
        <v>6.5420049562801799E-2</v>
      </c>
      <c r="S111" s="25">
        <v>0</v>
      </c>
      <c r="T111" s="25">
        <v>0</v>
      </c>
      <c r="U111" s="25">
        <v>0</v>
      </c>
      <c r="V111" s="25">
        <v>0</v>
      </c>
      <c r="W111" s="25">
        <v>6.5420049562801799E-2</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6.5420049562801799E-2</v>
      </c>
      <c r="AN111" s="25">
        <v>6.5420049562801799E-2</v>
      </c>
      <c r="AO111" s="25">
        <v>6.5420049562801799E-2</v>
      </c>
      <c r="AP111" s="25">
        <v>6.5420049562801799E-2</v>
      </c>
    </row>
    <row r="112" spans="3:42" x14ac:dyDescent="0.25">
      <c r="C112" s="91"/>
      <c r="E112" t="s">
        <v>232</v>
      </c>
      <c r="G112" t="s">
        <v>204</v>
      </c>
      <c r="J112" s="25">
        <v>0</v>
      </c>
      <c r="K112" s="25">
        <v>0</v>
      </c>
      <c r="L112" s="25">
        <v>0</v>
      </c>
      <c r="M112" s="25">
        <v>0</v>
      </c>
      <c r="N112" s="25">
        <v>0</v>
      </c>
      <c r="O112" s="25">
        <v>0</v>
      </c>
      <c r="P112" s="25">
        <v>0</v>
      </c>
      <c r="Q112" s="25">
        <v>0</v>
      </c>
      <c r="R112" s="25">
        <v>0.35162962287700078</v>
      </c>
      <c r="S112" s="25">
        <v>0</v>
      </c>
      <c r="T112" s="25">
        <v>0</v>
      </c>
      <c r="U112" s="25">
        <v>0</v>
      </c>
      <c r="V112" s="25">
        <v>0</v>
      </c>
      <c r="W112" s="25">
        <v>0.35162962287700078</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0.35162962287700078</v>
      </c>
      <c r="AN112" s="25">
        <v>0.35162962287700078</v>
      </c>
      <c r="AO112" s="25">
        <v>0.35162962287700078</v>
      </c>
      <c r="AP112" s="25">
        <v>0.35162962287700078</v>
      </c>
    </row>
    <row r="113" spans="3:44" x14ac:dyDescent="0.25">
      <c r="C113" s="91"/>
      <c r="E113" t="s">
        <v>233</v>
      </c>
      <c r="G113" t="s">
        <v>204</v>
      </c>
      <c r="J113" s="25">
        <v>0</v>
      </c>
      <c r="K113" s="25">
        <v>0</v>
      </c>
      <c r="L113" s="25">
        <v>0</v>
      </c>
      <c r="M113" s="25">
        <v>0</v>
      </c>
      <c r="N113" s="25">
        <v>0</v>
      </c>
      <c r="O113" s="25">
        <v>0</v>
      </c>
      <c r="P113" s="25">
        <v>0</v>
      </c>
      <c r="Q113" s="25">
        <v>0</v>
      </c>
      <c r="R113" s="25">
        <v>0.35162962287700078</v>
      </c>
      <c r="S113" s="25">
        <v>0</v>
      </c>
      <c r="T113" s="25">
        <v>0</v>
      </c>
      <c r="U113" s="25">
        <v>0</v>
      </c>
      <c r="V113" s="25">
        <v>0</v>
      </c>
      <c r="W113" s="25">
        <v>0.35162962287700078</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0.35162962287700078</v>
      </c>
      <c r="AN113" s="25">
        <v>0.35162962287700078</v>
      </c>
      <c r="AO113" s="25">
        <v>0.35162962287700078</v>
      </c>
      <c r="AP113" s="25">
        <v>0.35162962287700078</v>
      </c>
    </row>
    <row r="114" spans="3:44" x14ac:dyDescent="0.25">
      <c r="C114" s="91"/>
      <c r="E114" t="s">
        <v>234</v>
      </c>
      <c r="G114" t="s">
        <v>204</v>
      </c>
      <c r="J114" s="25">
        <v>0.47913351897273304</v>
      </c>
      <c r="K114" s="25">
        <v>0.47913351897273304</v>
      </c>
      <c r="L114" s="25">
        <v>0.47913351897273304</v>
      </c>
      <c r="M114" s="25">
        <v>0.47913351897273304</v>
      </c>
      <c r="N114" s="25">
        <v>0.47913351897273304</v>
      </c>
      <c r="O114" s="25">
        <v>0.47913351897273304</v>
      </c>
      <c r="P114" s="25">
        <v>0.47913351897273304</v>
      </c>
      <c r="Q114" s="25">
        <v>0.47913351897273304</v>
      </c>
      <c r="R114" s="25">
        <v>0.63783919619119978</v>
      </c>
      <c r="S114" s="25">
        <v>0.47913351897273304</v>
      </c>
      <c r="T114" s="25">
        <v>0.47913351897273304</v>
      </c>
      <c r="U114" s="25">
        <v>0.47913351897273304</v>
      </c>
      <c r="V114" s="25">
        <v>0.47913351897273304</v>
      </c>
      <c r="W114" s="25">
        <v>0.63783919619119978</v>
      </c>
      <c r="X114" s="25">
        <v>0.47913351897273304</v>
      </c>
      <c r="Y114" s="25">
        <v>0.47913351897273304</v>
      </c>
      <c r="Z114" s="25">
        <v>0.47913351897273304</v>
      </c>
      <c r="AA114" s="25">
        <v>0.47913351897273304</v>
      </c>
      <c r="AB114" s="25">
        <v>0.47913351897273304</v>
      </c>
      <c r="AC114" s="25">
        <v>0.47913351897273304</v>
      </c>
      <c r="AD114" s="25">
        <v>0.47913351897273304</v>
      </c>
      <c r="AE114" s="25">
        <v>0.47913351897273304</v>
      </c>
      <c r="AF114" s="25">
        <v>0.47913351897273304</v>
      </c>
      <c r="AG114" s="25">
        <v>0.47913351897273304</v>
      </c>
      <c r="AH114" s="25">
        <v>0.47913351897273304</v>
      </c>
      <c r="AI114" s="25">
        <v>0.47913351897273304</v>
      </c>
      <c r="AJ114" s="25">
        <v>0.47913351897273304</v>
      </c>
      <c r="AK114" s="25">
        <v>0.47913351897273304</v>
      </c>
      <c r="AL114" s="25">
        <v>0.47913351897273304</v>
      </c>
      <c r="AM114" s="25">
        <v>0.63783919619119978</v>
      </c>
      <c r="AN114" s="25">
        <v>0.63783919619119978</v>
      </c>
      <c r="AO114" s="25">
        <v>0.63783919619119978</v>
      </c>
      <c r="AP114" s="25">
        <v>0.63783919619119978</v>
      </c>
    </row>
    <row r="115" spans="3:44" x14ac:dyDescent="0.25">
      <c r="C115" s="91"/>
      <c r="E115" t="s">
        <v>235</v>
      </c>
      <c r="G115" t="s">
        <v>204</v>
      </c>
      <c r="J115" s="25">
        <v>0.70892384564689981</v>
      </c>
      <c r="K115" s="25">
        <v>0.70892384564689981</v>
      </c>
      <c r="L115" s="25">
        <v>0.70892384564689981</v>
      </c>
      <c r="M115" s="25">
        <v>0.70892384564689981</v>
      </c>
      <c r="N115" s="25">
        <v>0.70892384564689981</v>
      </c>
      <c r="O115" s="25">
        <v>0.70892384564689981</v>
      </c>
      <c r="P115" s="25">
        <v>0.70892384564689981</v>
      </c>
      <c r="Q115" s="25">
        <v>0.70892384564689981</v>
      </c>
      <c r="R115" s="25">
        <v>0</v>
      </c>
      <c r="S115" s="25">
        <v>0.70892384564689981</v>
      </c>
      <c r="T115" s="25">
        <v>0.70892384564689981</v>
      </c>
      <c r="U115" s="25">
        <v>0.70892384564689981</v>
      </c>
      <c r="V115" s="25">
        <v>0.70892384564689981</v>
      </c>
      <c r="W115" s="25">
        <v>0</v>
      </c>
      <c r="X115" s="25">
        <v>0.70892384564689981</v>
      </c>
      <c r="Y115" s="25">
        <v>0.70892384564689981</v>
      </c>
      <c r="Z115" s="25">
        <v>0.70892384564689981</v>
      </c>
      <c r="AA115" s="25">
        <v>0.70892384564689981</v>
      </c>
      <c r="AB115" s="25">
        <v>0.70892384564689981</v>
      </c>
      <c r="AC115" s="25">
        <v>0.70892384564689981</v>
      </c>
      <c r="AD115" s="25">
        <v>0.70892384564689981</v>
      </c>
      <c r="AE115" s="25">
        <v>0.70892384564689981</v>
      </c>
      <c r="AF115" s="25">
        <v>0.70892384564689981</v>
      </c>
      <c r="AG115" s="25">
        <v>0.70892384564689981</v>
      </c>
      <c r="AH115" s="25">
        <v>0.70892384564689981</v>
      </c>
      <c r="AI115" s="25">
        <v>0.70892384564689981</v>
      </c>
      <c r="AJ115" s="25">
        <v>0.70892384564689981</v>
      </c>
      <c r="AK115" s="25">
        <v>0.70892384564689981</v>
      </c>
      <c r="AL115" s="25">
        <v>0.70892384564689981</v>
      </c>
      <c r="AM115" s="25">
        <v>0</v>
      </c>
      <c r="AN115" s="25">
        <v>0</v>
      </c>
      <c r="AO115" s="25">
        <v>0</v>
      </c>
      <c r="AP115" s="25">
        <v>0</v>
      </c>
    </row>
    <row r="116" spans="3:44" x14ac:dyDescent="0.25">
      <c r="C116" s="91"/>
      <c r="E116" t="s">
        <v>236</v>
      </c>
      <c r="G116" t="s">
        <v>204</v>
      </c>
      <c r="J116" s="25">
        <v>0.93871417232106646</v>
      </c>
      <c r="K116" s="25">
        <v>0.93871417232106646</v>
      </c>
      <c r="L116" s="25">
        <v>0.93871417232106646</v>
      </c>
      <c r="M116" s="25">
        <v>0.93871417232106646</v>
      </c>
      <c r="N116" s="25">
        <v>0.93871417232106646</v>
      </c>
      <c r="O116" s="25">
        <v>0.93871417232106646</v>
      </c>
      <c r="P116" s="25">
        <v>0.93871417232106646</v>
      </c>
      <c r="Q116" s="25">
        <v>0</v>
      </c>
      <c r="R116" s="25">
        <v>0</v>
      </c>
      <c r="S116" s="25">
        <v>0.93871417232106646</v>
      </c>
      <c r="T116" s="25">
        <v>0.93871417232106646</v>
      </c>
      <c r="U116" s="25">
        <v>0.93871417232106646</v>
      </c>
      <c r="V116" s="25">
        <v>0</v>
      </c>
      <c r="W116" s="25">
        <v>0</v>
      </c>
      <c r="X116" s="25">
        <v>0.93871417232106646</v>
      </c>
      <c r="Y116" s="25">
        <v>0.93871417232106646</v>
      </c>
      <c r="Z116" s="25">
        <v>0.93871417232106646</v>
      </c>
      <c r="AA116" s="25">
        <v>0.93871417232106646</v>
      </c>
      <c r="AB116" s="25">
        <v>0.93871417232106646</v>
      </c>
      <c r="AC116" s="25">
        <v>0.93871417232106646</v>
      </c>
      <c r="AD116" s="25">
        <v>0</v>
      </c>
      <c r="AE116" s="25">
        <v>0.93871417232106646</v>
      </c>
      <c r="AF116" s="25">
        <v>0.93871417232106646</v>
      </c>
      <c r="AG116" s="25">
        <v>0.93871417232106646</v>
      </c>
      <c r="AH116" s="25">
        <v>0.93871417232106646</v>
      </c>
      <c r="AI116" s="25">
        <v>0</v>
      </c>
      <c r="AJ116" s="25">
        <v>0</v>
      </c>
      <c r="AK116" s="25">
        <v>0</v>
      </c>
      <c r="AL116" s="25">
        <v>0</v>
      </c>
      <c r="AM116" s="25">
        <v>0</v>
      </c>
      <c r="AN116" s="25">
        <v>0</v>
      </c>
      <c r="AO116" s="25">
        <v>0</v>
      </c>
      <c r="AP116" s="25">
        <v>0</v>
      </c>
    </row>
    <row r="117" spans="3:44" x14ac:dyDescent="0.25">
      <c r="C117" s="91"/>
      <c r="E117" t="s">
        <v>437</v>
      </c>
      <c r="G117" t="s">
        <v>204</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438</v>
      </c>
      <c r="F118" s="37"/>
      <c r="G118" s="37" t="s">
        <v>204</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734</v>
      </c>
      <c r="E122"/>
    </row>
    <row r="123" spans="3:44" x14ac:dyDescent="0.25">
      <c r="E123" s="23" t="s">
        <v>226</v>
      </c>
      <c r="F123" s="23"/>
      <c r="G123" s="23" t="s">
        <v>328</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228</v>
      </c>
      <c r="G124" t="s">
        <v>328</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229</v>
      </c>
      <c r="G125" t="s">
        <v>328</v>
      </c>
      <c r="H125" s="304"/>
      <c r="I125" s="304"/>
      <c r="J125" s="319">
        <f>'Initial unit rates'!J125</f>
        <v>0.15423278194952716</v>
      </c>
      <c r="K125" s="319">
        <f>'Initial unit rates'!K125</f>
        <v>0.12741297696448736</v>
      </c>
      <c r="L125" s="319">
        <f>'Initial unit rates'!L125</f>
        <v>0</v>
      </c>
      <c r="M125" s="319">
        <f>'Initial unit rates'!M125</f>
        <v>0.12324840514943335</v>
      </c>
      <c r="N125" s="319">
        <f>'Initial unit rates'!N125</f>
        <v>0.11116016532627249</v>
      </c>
      <c r="O125" s="319">
        <f>'Initial unit rates'!O125</f>
        <v>0</v>
      </c>
      <c r="P125" s="319">
        <f>'Initial unit rates'!P125</f>
        <v>0.10661125052993639</v>
      </c>
      <c r="Q125" s="319">
        <f>'Initial unit rates'!Q125</f>
        <v>0.10354543534772115</v>
      </c>
      <c r="R125" s="319">
        <f>'Initial unit rates'!R125</f>
        <v>0.10450982446134266</v>
      </c>
      <c r="S125" s="319">
        <f>'Initial unit rates'!S125</f>
        <v>0.14465084246513399</v>
      </c>
      <c r="T125" s="319">
        <f>'Initial unit rates'!T125</f>
        <v>0.11496177185206501</v>
      </c>
      <c r="U125" s="319">
        <f>'Initial unit rates'!U125</f>
        <v>9.7949278408787241E-2</v>
      </c>
      <c r="V125" s="319">
        <f>'Initial unit rates'!V125</f>
        <v>9.2608689376484518E-2</v>
      </c>
      <c r="W125" s="319">
        <f>'Initial unit rates'!W125</f>
        <v>7.5114333230741931E-2</v>
      </c>
      <c r="X125" s="319">
        <f>'Initial unit rates'!X125</f>
        <v>6.9141952760277112E-2</v>
      </c>
      <c r="Y125" s="319">
        <f>'Initial unit rates'!Y125</f>
        <v>0.14605590142145713</v>
      </c>
      <c r="Z125" s="319">
        <f>'Initial unit rates'!Z125</f>
        <v>0.26485628281027013</v>
      </c>
      <c r="AA125" s="319">
        <f>'Initial unit rates'!AA125</f>
        <v>3.8285610194816188E-5</v>
      </c>
      <c r="AB125" s="319">
        <f>'Initial unit rates'!AB125</f>
        <v>0.14702985323788592</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230</v>
      </c>
      <c r="G126" t="s">
        <v>328</v>
      </c>
      <c r="H126" s="304"/>
      <c r="I126" s="304"/>
      <c r="J126" s="319">
        <f>'Initial unit rates'!J126</f>
        <v>8.0585189427378759E-2</v>
      </c>
      <c r="K126" s="319">
        <f>'Initial unit rates'!K126</f>
        <v>6.6572091577454265E-2</v>
      </c>
      <c r="L126" s="319">
        <f>'Initial unit rates'!L126</f>
        <v>0</v>
      </c>
      <c r="M126" s="319">
        <f>'Initial unit rates'!M126</f>
        <v>6.4396141663577489E-2</v>
      </c>
      <c r="N126" s="319">
        <f>'Initial unit rates'!N126</f>
        <v>5.8080149150962442E-2</v>
      </c>
      <c r="O126" s="319">
        <f>'Initial unit rates'!O126</f>
        <v>0</v>
      </c>
      <c r="P126" s="319">
        <f>'Initial unit rates'!P126</f>
        <v>5.5703383615658082E-2</v>
      </c>
      <c r="Q126" s="319">
        <f>'Initial unit rates'!Q126</f>
        <v>5.4101523789975882E-2</v>
      </c>
      <c r="R126" s="319">
        <f>'Initial unit rates'!R126</f>
        <v>5.4605408103158566E-2</v>
      </c>
      <c r="S126" s="319">
        <f>'Initial unit rates'!S126</f>
        <v>7.5578715455559997E-2</v>
      </c>
      <c r="T126" s="319">
        <f>'Initial unit rates'!T126</f>
        <v>6.0066453088017835E-2</v>
      </c>
      <c r="U126" s="319">
        <f>'Initial unit rates'!U126</f>
        <v>5.1177584006947732E-2</v>
      </c>
      <c r="V126" s="319">
        <f>'Initial unit rates'!V126</f>
        <v>4.8387176070438249E-2</v>
      </c>
      <c r="W126" s="319">
        <f>'Initial unit rates'!W126</f>
        <v>3.9246538223576058E-2</v>
      </c>
      <c r="X126" s="319">
        <f>'Initial unit rates'!X126</f>
        <v>3.6126025155852969E-2</v>
      </c>
      <c r="Y126" s="319">
        <f>'Initial unit rates'!Y126</f>
        <v>7.6312845649677802E-2</v>
      </c>
      <c r="Z126" s="319">
        <f>'Initial unit rates'!Z126</f>
        <v>0.1383849364027013</v>
      </c>
      <c r="AA126" s="319">
        <f>'Initial unit rates'!AA126</f>
        <v>2.000387408496397E-5</v>
      </c>
      <c r="AB126" s="319">
        <f>'Initial unit rates'!AB126</f>
        <v>7.6821726385847999E-2</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231</v>
      </c>
      <c r="G127" t="s">
        <v>328</v>
      </c>
      <c r="H127" s="304"/>
      <c r="I127" s="304"/>
      <c r="J127" s="319">
        <f>'Initial unit rates'!J127</f>
        <v>9.9552090673737242E-2</v>
      </c>
      <c r="K127" s="319">
        <f>'Initial unit rates'!K127</f>
        <v>8.2240805589115076E-2</v>
      </c>
      <c r="L127" s="319">
        <f>'Initial unit rates'!L127</f>
        <v>0</v>
      </c>
      <c r="M127" s="319">
        <f>'Initial unit rates'!M127</f>
        <v>7.9552714084124745E-2</v>
      </c>
      <c r="N127" s="319">
        <f>'Initial unit rates'!N127</f>
        <v>7.1750160491108397E-2</v>
      </c>
      <c r="O127" s="319">
        <f>'Initial unit rates'!O127</f>
        <v>0</v>
      </c>
      <c r="P127" s="319">
        <f>'Initial unit rates'!P127</f>
        <v>6.8813988475355262E-2</v>
      </c>
      <c r="Q127" s="319">
        <f>'Initial unit rates'!Q127</f>
        <v>6.6835107545173425E-2</v>
      </c>
      <c r="R127" s="319">
        <f>'Initial unit rates'!R127</f>
        <v>6.3044509614600369E-2</v>
      </c>
      <c r="S127" s="319">
        <f>'Initial unit rates'!S127</f>
        <v>9.3367269935090785E-2</v>
      </c>
      <c r="T127" s="319">
        <f>'Initial unit rates'!T127</f>
        <v>7.4203970068928385E-2</v>
      </c>
      <c r="U127" s="319">
        <f>'Initial unit rates'!U127</f>
        <v>6.3222975831232583E-2</v>
      </c>
      <c r="V127" s="319">
        <f>'Initial unit rates'!V127</f>
        <v>5.977580463406805E-2</v>
      </c>
      <c r="W127" s="319">
        <f>'Initial unit rates'!W127</f>
        <v>4.5311972610875904E-2</v>
      </c>
      <c r="X127" s="319">
        <f>'Initial unit rates'!X127</f>
        <v>4.4628812782504995E-2</v>
      </c>
      <c r="Y127" s="319">
        <f>'Initial unit rates'!Y127</f>
        <v>9.4274188392073563E-2</v>
      </c>
      <c r="Z127" s="319">
        <f>'Initial unit rates'!Z127</f>
        <v>0.17095585224200671</v>
      </c>
      <c r="AA127" s="319">
        <f>'Initial unit rates'!AA127</f>
        <v>2.4712077999481257E-5</v>
      </c>
      <c r="AB127" s="319">
        <f>'Initial unit rates'!AB127</f>
        <v>9.4902841641502089E-2</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232</v>
      </c>
      <c r="G128" t="s">
        <v>328</v>
      </c>
      <c r="H128" s="304"/>
      <c r="I128" s="304"/>
      <c r="J128" s="319">
        <f>'Initial unit rates'!J128</f>
        <v>0.16015088019193074</v>
      </c>
      <c r="K128" s="319">
        <f>'Initial unit rates'!K128</f>
        <v>0.13230196687637069</v>
      </c>
      <c r="L128" s="319">
        <f>'Initial unit rates'!L128</f>
        <v>0</v>
      </c>
      <c r="M128" s="319">
        <f>'Initial unit rates'!M128</f>
        <v>0.12797759540765355</v>
      </c>
      <c r="N128" s="319">
        <f>'Initial unit rates'!N128</f>
        <v>0.11542551521315961</v>
      </c>
      <c r="O128" s="319">
        <f>'Initial unit rates'!O128</f>
        <v>0</v>
      </c>
      <c r="P128" s="319">
        <f>'Initial unit rates'!P128</f>
        <v>0.11070205305846847</v>
      </c>
      <c r="Q128" s="319">
        <f>'Initial unit rates'!Q128</f>
        <v>0.10751859884250137</v>
      </c>
      <c r="R128" s="319">
        <f>'Initial unit rates'!R128</f>
        <v>7.0361148612987284E-2</v>
      </c>
      <c r="S128" s="319">
        <f>'Initial unit rates'!S128</f>
        <v>0.15020127010920806</v>
      </c>
      <c r="T128" s="319">
        <f>'Initial unit rates'!T128</f>
        <v>0.11937299397580232</v>
      </c>
      <c r="U128" s="319">
        <f>'Initial unit rates'!U128</f>
        <v>0.10170771059854984</v>
      </c>
      <c r="V128" s="319">
        <f>'Initial unit rates'!V128</f>
        <v>9.6162196710675149E-2</v>
      </c>
      <c r="W128" s="319">
        <f>'Initial unit rates'!W128</f>
        <v>5.0570659654763948E-2</v>
      </c>
      <c r="X128" s="319">
        <f>'Initial unit rates'!X128</f>
        <v>7.1795013049631512E-2</v>
      </c>
      <c r="Y128" s="319">
        <f>'Initial unit rates'!Y128</f>
        <v>0.15166024287577817</v>
      </c>
      <c r="Z128" s="319">
        <f>'Initial unit rates'!Z128</f>
        <v>0.27501913847542919</v>
      </c>
      <c r="AA128" s="319">
        <f>'Initial unit rates'!AA128</f>
        <v>3.9754675328306663E-5</v>
      </c>
      <c r="AB128" s="319">
        <f>'Initial unit rates'!AB128</f>
        <v>0.15267156640047894</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233</v>
      </c>
      <c r="G129" t="s">
        <v>328</v>
      </c>
      <c r="H129" s="304"/>
      <c r="I129" s="304"/>
      <c r="J129" s="319">
        <f>'Initial unit rates'!J129</f>
        <v>1.3485826594138692E-2</v>
      </c>
      <c r="K129" s="319">
        <f>'Initial unit rates'!K129</f>
        <v>1.1140752902637583E-2</v>
      </c>
      <c r="L129" s="319">
        <f>'Initial unit rates'!L129</f>
        <v>0</v>
      </c>
      <c r="M129" s="319">
        <f>'Initial unit rates'!M129</f>
        <v>1.0776610515871613E-2</v>
      </c>
      <c r="N129" s="319">
        <f>'Initial unit rates'!N129</f>
        <v>9.7196373871832036E-3</v>
      </c>
      <c r="O129" s="319">
        <f>'Initial unit rates'!O129</f>
        <v>0</v>
      </c>
      <c r="P129" s="319">
        <f>'Initial unit rates'!P129</f>
        <v>9.3218887674703359E-3</v>
      </c>
      <c r="Q129" s="319">
        <f>'Initial unit rates'!Q129</f>
        <v>9.0538196099642313E-3</v>
      </c>
      <c r="R129" s="319">
        <f>'Initial unit rates'!R129</f>
        <v>5.9249018676762692E-3</v>
      </c>
      <c r="S129" s="319">
        <f>'Initial unit rates'!S129</f>
        <v>1.264799968932189E-2</v>
      </c>
      <c r="T129" s="319">
        <f>'Initial unit rates'!T129</f>
        <v>1.0052042766493302E-2</v>
      </c>
      <c r="U129" s="319">
        <f>'Initial unit rates'!U129</f>
        <v>8.5645020918717046E-3</v>
      </c>
      <c r="V129" s="319">
        <f>'Initial unit rates'!V129</f>
        <v>8.0975309545439529E-3</v>
      </c>
      <c r="W129" s="319">
        <f>'Initial unit rates'!W129</f>
        <v>4.2584039877772359E-3</v>
      </c>
      <c r="X129" s="319">
        <f>'Initial unit rates'!X129</f>
        <v>6.0456433030584055E-3</v>
      </c>
      <c r="Y129" s="319">
        <f>'Initial unit rates'!Y129</f>
        <v>1.2770855422065635E-2</v>
      </c>
      <c r="Z129" s="319">
        <f>'Initial unit rates'!Z129</f>
        <v>2.3158539042084689E-2</v>
      </c>
      <c r="AA129" s="319">
        <f>'Initial unit rates'!AA129</f>
        <v>3.3476222993049789E-6</v>
      </c>
      <c r="AB129" s="319">
        <f>'Initial unit rates'!AB129</f>
        <v>1.2856015951113882E-2</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234</v>
      </c>
      <c r="G130" t="s">
        <v>328</v>
      </c>
      <c r="H130" s="304"/>
      <c r="I130" s="304"/>
      <c r="J130" s="319">
        <f>'Initial unit rates'!J130</f>
        <v>0.19217900546423955</v>
      </c>
      <c r="K130" s="319">
        <f>'Initial unit rates'!K130</f>
        <v>0.15876066609682465</v>
      </c>
      <c r="L130" s="319">
        <f>'Initial unit rates'!L130</f>
        <v>0</v>
      </c>
      <c r="M130" s="319">
        <f>'Initial unit rates'!M130</f>
        <v>0.15357147570886032</v>
      </c>
      <c r="N130" s="319">
        <f>'Initial unit rates'!N130</f>
        <v>0.1385091402075237</v>
      </c>
      <c r="O130" s="319">
        <f>'Initial unit rates'!O130</f>
        <v>0</v>
      </c>
      <c r="P130" s="319">
        <f>'Initial unit rates'!P130</f>
        <v>0.1328410461068317</v>
      </c>
      <c r="Q130" s="319">
        <f>'Initial unit rates'!Q130</f>
        <v>0.12902094181247939</v>
      </c>
      <c r="R130" s="319">
        <f>'Initial unit rates'!R130</f>
        <v>9.0544359846428418E-2</v>
      </c>
      <c r="S130" s="319">
        <f>'Initial unit rates'!S130</f>
        <v>0.18023960077184523</v>
      </c>
      <c r="T130" s="319">
        <f>'Initial unit rates'!T130</f>
        <v>0.14324606417438995</v>
      </c>
      <c r="U130" s="319">
        <f>'Initial unit rates'!U130</f>
        <v>0.12204795032939723</v>
      </c>
      <c r="V130" s="319">
        <f>'Initial unit rates'!V130</f>
        <v>0.11539340467543217</v>
      </c>
      <c r="W130" s="319">
        <f>'Initial unit rates'!W130</f>
        <v>6.5076936572451477E-2</v>
      </c>
      <c r="X130" s="319">
        <f>'Initial unit rates'!X130</f>
        <v>8.615309630914833E-2</v>
      </c>
      <c r="Y130" s="319">
        <f>'Initial unit rates'!Y130</f>
        <v>0.18199034940927286</v>
      </c>
      <c r="Z130" s="319">
        <f>'Initial unit rates'!Z130</f>
        <v>0.33001944449196347</v>
      </c>
      <c r="AA130" s="319">
        <f>'Initial unit rates'!AA130</f>
        <v>4.770510132689649E-5</v>
      </c>
      <c r="AB130" s="319">
        <f>'Initial unit rates'!AB130</f>
        <v>0.183203924688701</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235</v>
      </c>
      <c r="G131" t="s">
        <v>328</v>
      </c>
      <c r="H131" s="304"/>
      <c r="I131" s="304"/>
      <c r="J131" s="319">
        <f>'Initial unit rates'!J131</f>
        <v>4.9160528639009847E-2</v>
      </c>
      <c r="K131" s="319">
        <f>'Initial unit rates'!K131</f>
        <v>4.0611919358972473E-2</v>
      </c>
      <c r="L131" s="319">
        <f>'Initial unit rates'!L131</f>
        <v>0</v>
      </c>
      <c r="M131" s="319">
        <f>'Initial unit rates'!M131</f>
        <v>3.928449370149989E-2</v>
      </c>
      <c r="N131" s="319">
        <f>'Initial unit rates'!N131</f>
        <v>3.5431459006086102E-2</v>
      </c>
      <c r="O131" s="319">
        <f>'Initial unit rates'!O131</f>
        <v>0</v>
      </c>
      <c r="P131" s="319">
        <f>'Initial unit rates'!P131</f>
        <v>3.3981526940444713E-2</v>
      </c>
      <c r="Q131" s="319">
        <f>'Initial unit rates'!Q131</f>
        <v>3.300432162026494E-2</v>
      </c>
      <c r="R131" s="319">
        <f>'Initial unit rates'!R131</f>
        <v>0</v>
      </c>
      <c r="S131" s="319">
        <f>'Initial unit rates'!S131</f>
        <v>4.6106358154074142E-2</v>
      </c>
      <c r="T131" s="319">
        <f>'Initial unit rates'!T131</f>
        <v>3.6643192232467446E-2</v>
      </c>
      <c r="U131" s="319">
        <f>'Initial unit rates'!U131</f>
        <v>3.1220589070106549E-2</v>
      </c>
      <c r="V131" s="319">
        <f>'Initial unit rates'!V131</f>
        <v>2.9518316850458595E-2</v>
      </c>
      <c r="W131" s="319">
        <f>'Initial unit rates'!W131</f>
        <v>0</v>
      </c>
      <c r="X131" s="319">
        <f>'Initial unit rates'!X131</f>
        <v>2.2038472663619676E-2</v>
      </c>
      <c r="Y131" s="319">
        <f>'Initial unit rates'!Y131</f>
        <v>4.655421003218152E-2</v>
      </c>
      <c r="Z131" s="319">
        <f>'Initial unit rates'!Z131</f>
        <v>8.4420929919924156E-2</v>
      </c>
      <c r="AA131" s="319">
        <f>'Initial unit rates'!AA131</f>
        <v>1.2203247666635235E-5</v>
      </c>
      <c r="AB131" s="319">
        <f>'Initial unit rates'!AB131</f>
        <v>4.6864649781496501E-2</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236</v>
      </c>
      <c r="G132" t="s">
        <v>328</v>
      </c>
      <c r="H132" s="304"/>
      <c r="I132" s="304"/>
      <c r="J132" s="319">
        <f>'Initial unit rates'!J132</f>
        <v>2.0631095352590438E-2</v>
      </c>
      <c r="K132" s="319">
        <f>'Initial unit rates'!K132</f>
        <v>1.7043518528842862E-2</v>
      </c>
      <c r="L132" s="319">
        <f>'Initial unit rates'!L132</f>
        <v>0</v>
      </c>
      <c r="M132" s="319">
        <f>'Initial unit rates'!M132</f>
        <v>1.648644060330037E-2</v>
      </c>
      <c r="N132" s="319">
        <f>'Initial unit rates'!N132</f>
        <v>1.4869445660433901E-2</v>
      </c>
      <c r="O132" s="319">
        <f>'Initial unit rates'!O132</f>
        <v>0</v>
      </c>
      <c r="P132" s="319">
        <f>'Initial unit rates'!P132</f>
        <v>1.4260955728995514E-2</v>
      </c>
      <c r="Q132" s="319">
        <f>'Initial unit rates'!Q132</f>
        <v>0</v>
      </c>
      <c r="R132" s="319">
        <f>'Initial unit rates'!R132</f>
        <v>0</v>
      </c>
      <c r="S132" s="319">
        <f>'Initial unit rates'!S132</f>
        <v>1.9349358067776629E-2</v>
      </c>
      <c r="T132" s="319">
        <f>'Initial unit rates'!T132</f>
        <v>1.5377971187466945E-2</v>
      </c>
      <c r="U132" s="319">
        <f>'Initial unit rates'!U132</f>
        <v>1.3102278756992311E-2</v>
      </c>
      <c r="V132" s="319">
        <f>'Initial unit rates'!V132</f>
        <v>0</v>
      </c>
      <c r="W132" s="319">
        <f>'Initial unit rates'!W132</f>
        <v>0</v>
      </c>
      <c r="X132" s="319">
        <f>'Initial unit rates'!X132</f>
        <v>9.2488393338349788E-3</v>
      </c>
      <c r="Y132" s="319">
        <f>'Initial unit rates'!Y132</f>
        <v>1.9537307120743853E-2</v>
      </c>
      <c r="Z132" s="319">
        <f>'Initial unit rates'!Z132</f>
        <v>3.5428753578338044E-2</v>
      </c>
      <c r="AA132" s="319">
        <f>'Initial unit rates'!AA132</f>
        <v>5.1213112061990059E-6</v>
      </c>
      <c r="AB132" s="319">
        <f>'Initial unit rates'!AB132</f>
        <v>1.9667588715483849E-2</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437</v>
      </c>
      <c r="G133" t="s">
        <v>328</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438</v>
      </c>
      <c r="F134" s="37"/>
      <c r="G134" s="37" t="s">
        <v>328</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735</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226</v>
      </c>
      <c r="F137" s="23"/>
      <c r="G137" s="23" t="s">
        <v>328</v>
      </c>
      <c r="H137" s="302"/>
      <c r="I137" s="302"/>
      <c r="J137" s="318">
        <f>'Initial unit rates'!J135</f>
        <v>7.694495334258554E-2</v>
      </c>
      <c r="K137" s="318">
        <f>'Initial unit rates'!K135</f>
        <v>6.3564862436188849E-2</v>
      </c>
      <c r="L137" s="318">
        <f>'Initial unit rates'!L135</f>
        <v>0</v>
      </c>
      <c r="M137" s="318">
        <f>'Initial unit rates'!M135</f>
        <v>6.1487205663415062E-2</v>
      </c>
      <c r="N137" s="318">
        <f>'Initial unit rates'!N135</f>
        <v>5.5456522449184496E-2</v>
      </c>
      <c r="O137" s="318">
        <f>'Initial unit rates'!O135</f>
        <v>0</v>
      </c>
      <c r="P137" s="318">
        <f>'Initial unit rates'!P135</f>
        <v>5.3187121402667549E-2</v>
      </c>
      <c r="Q137" s="318">
        <f>'Initial unit rates'!Q135</f>
        <v>5.165762162207134E-2</v>
      </c>
      <c r="R137" s="318">
        <f>'Initial unit rates'!R135</f>
        <v>5.213874421101608E-2</v>
      </c>
      <c r="S137" s="318">
        <f>'Initial unit rates'!S135</f>
        <v>7.2164634416616941E-2</v>
      </c>
      <c r="T137" s="318">
        <f>'Initial unit rates'!T135</f>
        <v>5.7353100031826428E-2</v>
      </c>
      <c r="U137" s="318">
        <f>'Initial unit rates'!U135</f>
        <v>4.8865763567504397E-2</v>
      </c>
      <c r="V137" s="318">
        <f>'Initial unit rates'!V135</f>
        <v>4.6201405389442521E-2</v>
      </c>
      <c r="W137" s="318">
        <f>'Initial unit rates'!W135</f>
        <v>3.7473673188948009E-2</v>
      </c>
      <c r="X137" s="318">
        <f>'Initial unit rates'!X135</f>
        <v>3.4494121560329445E-2</v>
      </c>
      <c r="Y137" s="318">
        <f>'Initial unit rates'!Y135</f>
        <v>7.286560209982483E-2</v>
      </c>
      <c r="Z137" s="318">
        <f>'Initial unit rates'!Z135</f>
        <v>0.13213374008903009</v>
      </c>
      <c r="AA137" s="318">
        <f>'Initial unit rates'!AA135</f>
        <v>1.9100248681869669E-5</v>
      </c>
      <c r="AB137" s="318">
        <f>'Initial unit rates'!AB135</f>
        <v>7.3351495410739515E-2</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228</v>
      </c>
      <c r="G138" t="s">
        <v>328</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229</v>
      </c>
      <c r="G139" t="s">
        <v>328</v>
      </c>
      <c r="H139" s="304"/>
      <c r="I139" s="304"/>
      <c r="J139" s="319">
        <f>'Initial unit rates'!J137</f>
        <v>8.4671722882792164E-2</v>
      </c>
      <c r="K139" s="319">
        <f>'Initial unit rates'!K137</f>
        <v>6.9948010668309982E-2</v>
      </c>
      <c r="L139" s="319">
        <f>'Initial unit rates'!L137</f>
        <v>0</v>
      </c>
      <c r="M139" s="319">
        <f>'Initial unit rates'!M137</f>
        <v>6.7661716754703879E-2</v>
      </c>
      <c r="N139" s="319">
        <f>'Initial unit rates'!N137</f>
        <v>6.1025435676778692E-2</v>
      </c>
      <c r="O139" s="319">
        <f>'Initial unit rates'!O137</f>
        <v>0</v>
      </c>
      <c r="P139" s="319">
        <f>'Initial unit rates'!P137</f>
        <v>5.8528142635803478E-2</v>
      </c>
      <c r="Q139" s="319">
        <f>'Initial unit rates'!Q137</f>
        <v>5.6845051335515991E-2</v>
      </c>
      <c r="R139" s="319">
        <f>'Initial unit rates'!R137</f>
        <v>5.7374487988007053E-2</v>
      </c>
      <c r="S139" s="319">
        <f>'Initial unit rates'!S137</f>
        <v>7.9411366981491413E-2</v>
      </c>
      <c r="T139" s="319">
        <f>'Initial unit rates'!T137</f>
        <v>6.3112466528408268E-2</v>
      </c>
      <c r="U139" s="319">
        <f>'Initial unit rates'!U137</f>
        <v>5.3772836443502378E-2</v>
      </c>
      <c r="V139" s="319">
        <f>'Initial unit rates'!V137</f>
        <v>5.0840924894879749E-2</v>
      </c>
      <c r="W139" s="319">
        <f>'Initial unit rates'!W137</f>
        <v>4.1236758667300852E-2</v>
      </c>
      <c r="X139" s="319">
        <f>'Initial unit rates'!X137</f>
        <v>3.7958002116626137E-2</v>
      </c>
      <c r="Y139" s="319">
        <f>'Initial unit rates'!Y137</f>
        <v>8.0182725450683209E-2</v>
      </c>
      <c r="Z139" s="319">
        <f>'Initial unit rates'!Z137</f>
        <v>0.14540253698605071</v>
      </c>
      <c r="AA139" s="319">
        <f>'Initial unit rates'!AA137</f>
        <v>2.1018285061310316E-5</v>
      </c>
      <c r="AB139" s="319">
        <f>'Initial unit rates'!AB137</f>
        <v>8.0717411898398581E-2</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230</v>
      </c>
      <c r="G140" t="s">
        <v>328</v>
      </c>
      <c r="H140" s="304"/>
      <c r="I140" s="304"/>
      <c r="J140" s="319">
        <f>'Initial unit rates'!J138</f>
        <v>4.4240185137069316E-2</v>
      </c>
      <c r="K140" s="319">
        <f>'Initial unit rates'!K138</f>
        <v>3.6547182891499087E-2</v>
      </c>
      <c r="L140" s="319">
        <f>'Initial unit rates'!L138</f>
        <v>0</v>
      </c>
      <c r="M140" s="319">
        <f>'Initial unit rates'!M138</f>
        <v>3.5352615654976674E-2</v>
      </c>
      <c r="N140" s="319">
        <f>'Initial unit rates'!N138</f>
        <v>3.1885220714691284E-2</v>
      </c>
      <c r="O140" s="319">
        <f>'Initial unit rates'!O138</f>
        <v>0</v>
      </c>
      <c r="P140" s="319">
        <f>'Initial unit rates'!P138</f>
        <v>3.058040840294474E-2</v>
      </c>
      <c r="Q140" s="319">
        <f>'Initial unit rates'!Q138</f>
        <v>2.9701008903416638E-2</v>
      </c>
      <c r="R140" s="319">
        <f>'Initial unit rates'!R138</f>
        <v>2.9977634614186427E-2</v>
      </c>
      <c r="S140" s="319">
        <f>'Initial unit rates'!S138</f>
        <v>4.1491698262855543E-2</v>
      </c>
      <c r="T140" s="319">
        <f>'Initial unit rates'!T138</f>
        <v>3.2975674860648341E-2</v>
      </c>
      <c r="U140" s="319">
        <f>'Initial unit rates'!U138</f>
        <v>2.8095805289080296E-2</v>
      </c>
      <c r="V140" s="319">
        <f>'Initial unit rates'!V138</f>
        <v>2.6563908862499635E-2</v>
      </c>
      <c r="W140" s="319">
        <f>'Initial unit rates'!W138</f>
        <v>2.1545821624763397E-2</v>
      </c>
      <c r="X140" s="319">
        <f>'Initial unit rates'!X138</f>
        <v>1.9832701921010363E-2</v>
      </c>
      <c r="Y140" s="319">
        <f>'Initial unit rates'!Y138</f>
        <v>4.1894725865486586E-2</v>
      </c>
      <c r="Z140" s="319">
        <f>'Initial unit rates'!Z138</f>
        <v>7.5971468828700983E-2</v>
      </c>
      <c r="AA140" s="319">
        <f>'Initial unit rates'!AA138</f>
        <v>1.0981857823576196E-5</v>
      </c>
      <c r="AB140" s="319">
        <f>'Initial unit rates'!AB138</f>
        <v>4.217409454527539E-2</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231</v>
      </c>
      <c r="G141" t="s">
        <v>328</v>
      </c>
      <c r="H141" s="304"/>
      <c r="I141" s="304"/>
      <c r="J141" s="319">
        <f>'Initial unit rates'!J139</f>
        <v>5.4652758819378332E-2</v>
      </c>
      <c r="K141" s="319">
        <f>'Initial unit rates'!K139</f>
        <v>4.5149096142076572E-2</v>
      </c>
      <c r="L141" s="319">
        <f>'Initial unit rates'!L139</f>
        <v>0</v>
      </c>
      <c r="M141" s="319">
        <f>'Initial unit rates'!M139</f>
        <v>4.367337006025946E-2</v>
      </c>
      <c r="N141" s="319">
        <f>'Initial unit rates'!N139</f>
        <v>3.9389873080854558E-2</v>
      </c>
      <c r="O141" s="319">
        <f>'Initial unit rates'!O139</f>
        <v>0</v>
      </c>
      <c r="P141" s="319">
        <f>'Initial unit rates'!P139</f>
        <v>3.7777954135273871E-2</v>
      </c>
      <c r="Q141" s="319">
        <f>'Initial unit rates'!Q139</f>
        <v>3.6691575120252083E-2</v>
      </c>
      <c r="R141" s="319">
        <f>'Initial unit rates'!R139</f>
        <v>3.7033308732059969E-2</v>
      </c>
      <c r="S141" s="319">
        <f>'Initial unit rates'!S139</f>
        <v>5.1257375418761235E-2</v>
      </c>
      <c r="T141" s="319">
        <f>'Initial unit rates'!T139</f>
        <v>4.0736981535711494E-2</v>
      </c>
      <c r="U141" s="319">
        <f>'Initial unit rates'!U139</f>
        <v>3.4708563391921632E-2</v>
      </c>
      <c r="V141" s="319">
        <f>'Initial unit rates'!V139</f>
        <v>3.2816112768607478E-2</v>
      </c>
      <c r="W141" s="319">
        <f>'Initial unit rates'!W139</f>
        <v>2.661694541230273E-2</v>
      </c>
      <c r="X141" s="319">
        <f>'Initial unit rates'!X139</f>
        <v>2.4500617966839826E-2</v>
      </c>
      <c r="Y141" s="319">
        <f>'Initial unit rates'!Y139</f>
        <v>5.1755261453729245E-2</v>
      </c>
      <c r="Z141" s="319">
        <f>'Initial unit rates'!Z139</f>
        <v>9.3852463550607224E-2</v>
      </c>
      <c r="AA141" s="319">
        <f>'Initial unit rates'!AA139</f>
        <v>1.3566598448018436E-5</v>
      </c>
      <c r="AB141" s="319">
        <f>'Initial unit rates'!AB139</f>
        <v>5.2100383632374757E-2</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232</v>
      </c>
      <c r="G142" t="s">
        <v>328</v>
      </c>
      <c r="H142" s="304"/>
      <c r="I142" s="304"/>
      <c r="J142" s="319">
        <f>'Initial unit rates'!J140</f>
        <v>8.7920679220348935E-2</v>
      </c>
      <c r="K142" s="319">
        <f>'Initial unit rates'!K140</f>
        <v>7.263200037376194E-2</v>
      </c>
      <c r="L142" s="319">
        <f>'Initial unit rates'!L140</f>
        <v>0</v>
      </c>
      <c r="M142" s="319">
        <f>'Initial unit rates'!M140</f>
        <v>7.025797859957586E-2</v>
      </c>
      <c r="N142" s="319">
        <f>'Initial unit rates'!N140</f>
        <v>6.3367055396371386E-2</v>
      </c>
      <c r="O142" s="319">
        <f>'Initial unit rates'!O140</f>
        <v>0</v>
      </c>
      <c r="P142" s="319">
        <f>'Initial unit rates'!P140</f>
        <v>6.0773938203294721E-2</v>
      </c>
      <c r="Q142" s="319">
        <f>'Initial unit rates'!Q140</f>
        <v>5.9026264655704611E-2</v>
      </c>
      <c r="R142" s="319">
        <f>'Initial unit rates'!R140</f>
        <v>5.957601643240576E-2</v>
      </c>
      <c r="S142" s="319">
        <f>'Initial unit rates'!S140</f>
        <v>8.2458477105679037E-2</v>
      </c>
      <c r="T142" s="319">
        <f>'Initial unit rates'!T140</f>
        <v>6.5534168144072272E-2</v>
      </c>
      <c r="U142" s="319">
        <f>'Initial unit rates'!U140</f>
        <v>5.5836165165339763E-2</v>
      </c>
      <c r="V142" s="319">
        <f>'Initial unit rates'!V140</f>
        <v>5.2791752627216311E-2</v>
      </c>
      <c r="W142" s="319">
        <f>'Initial unit rates'!W140</f>
        <v>4.2819062934309635E-2</v>
      </c>
      <c r="X142" s="319">
        <f>'Initial unit rates'!X140</f>
        <v>3.941449653222364E-2</v>
      </c>
      <c r="Y142" s="319">
        <f>'Initial unit rates'!Y140</f>
        <v>8.3259433531563856E-2</v>
      </c>
      <c r="Z142" s="319">
        <f>'Initial unit rates'!Z140</f>
        <v>0.15098180805735748</v>
      </c>
      <c r="AA142" s="319">
        <f>'Initial unit rates'!AA140</f>
        <v>2.1824782060893601E-5</v>
      </c>
      <c r="AB142" s="319">
        <f>'Initial unit rates'!AB140</f>
        <v>8.3814636544476726E-2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233</v>
      </c>
      <c r="G143" t="s">
        <v>328</v>
      </c>
      <c r="H143" s="304"/>
      <c r="I143" s="304"/>
      <c r="J143" s="319">
        <f>'Initial unit rates'!J141</f>
        <v>7.4035374178621606E-3</v>
      </c>
      <c r="K143" s="319">
        <f>'Initial unit rates'!K141</f>
        <v>6.1161235021131221E-3</v>
      </c>
      <c r="L143" s="319">
        <f>'Initial unit rates'!L141</f>
        <v>0</v>
      </c>
      <c r="M143" s="319">
        <f>'Initial unit rates'!M141</f>
        <v>5.9162142294384157E-3</v>
      </c>
      <c r="N143" s="319">
        <f>'Initial unit rates'!N141</f>
        <v>5.3359501979165676E-3</v>
      </c>
      <c r="O143" s="319">
        <f>'Initial unit rates'!O141</f>
        <v>0</v>
      </c>
      <c r="P143" s="319">
        <f>'Initial unit rates'!P141</f>
        <v>5.1175915553527424E-3</v>
      </c>
      <c r="Q143" s="319">
        <f>'Initial unit rates'!Q141</f>
        <v>4.9704251933713542E-3</v>
      </c>
      <c r="R143" s="319">
        <f>'Initial unit rates'!R141</f>
        <v>5.0167181461264468E-3</v>
      </c>
      <c r="S143" s="319">
        <f>'Initial unit rates'!S141</f>
        <v>6.9435817157623893E-3</v>
      </c>
      <c r="T143" s="319">
        <f>'Initial unit rates'!T141</f>
        <v>5.5184362803559319E-3</v>
      </c>
      <c r="U143" s="319">
        <f>'Initial unit rates'!U141</f>
        <v>4.701796457184877E-3</v>
      </c>
      <c r="V143" s="319">
        <f>'Initial unit rates'!V141</f>
        <v>4.4454355834828334E-3</v>
      </c>
      <c r="W143" s="319">
        <f>'Initial unit rates'!W141</f>
        <v>3.6056652137257902E-3</v>
      </c>
      <c r="X143" s="319">
        <f>'Initial unit rates'!X141</f>
        <v>3.3189768603946188E-3</v>
      </c>
      <c r="Y143" s="319">
        <f>'Initial unit rates'!Y141</f>
        <v>7.011027860647754E-3</v>
      </c>
      <c r="Z143" s="319">
        <f>'Initial unit rates'!Z141</f>
        <v>1.2713726455270809E-2</v>
      </c>
      <c r="AA143" s="319">
        <f>'Initial unit rates'!AA141</f>
        <v>1.8377996173068163E-6</v>
      </c>
      <c r="AB143" s="319">
        <f>'Initial unit rates'!AB141</f>
        <v>7.0577798456990578E-3</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234</v>
      </c>
      <c r="G144" t="s">
        <v>328</v>
      </c>
      <c r="H144" s="304"/>
      <c r="I144" s="304"/>
      <c r="J144" s="319">
        <f>'Initial unit rates'!J142</f>
        <v>0.20255419203275962</v>
      </c>
      <c r="K144" s="319">
        <f>'Initial unit rates'!K142</f>
        <v>0.16733169354343913</v>
      </c>
      <c r="L144" s="319">
        <f>'Initial unit rates'!L142</f>
        <v>0</v>
      </c>
      <c r="M144" s="319">
        <f>'Initial unit rates'!M142</f>
        <v>0.1618623538317511</v>
      </c>
      <c r="N144" s="319">
        <f>'Initial unit rates'!N142</f>
        <v>0.14598684656585831</v>
      </c>
      <c r="O144" s="319">
        <f>'Initial unit rates'!O142</f>
        <v>0</v>
      </c>
      <c r="P144" s="319">
        <f>'Initial unit rates'!P142</f>
        <v>0.14001274852035167</v>
      </c>
      <c r="Q144" s="319">
        <f>'Initial unit rates'!Q142</f>
        <v>0.13598640788572189</v>
      </c>
      <c r="R144" s="319">
        <f>'Initial unit rates'!R142</f>
        <v>0.13725294185629319</v>
      </c>
      <c r="S144" s="319">
        <f>'Initial unit rates'!S142</f>
        <v>0.18997021354365209</v>
      </c>
      <c r="T144" s="319">
        <f>'Initial unit rates'!T142</f>
        <v>0.15097950330539872</v>
      </c>
      <c r="U144" s="319">
        <f>'Initial unit rates'!U142</f>
        <v>0.12863696483654427</v>
      </c>
      <c r="V144" s="319">
        <f>'Initial unit rates'!V142</f>
        <v>0.12162315958228191</v>
      </c>
      <c r="W144" s="319">
        <f>'Initial unit rates'!W142</f>
        <v>9.8647789953055731E-2</v>
      </c>
      <c r="X144" s="319">
        <f>'Initial unit rates'!X142</f>
        <v>9.0804251858131638E-2</v>
      </c>
      <c r="Y144" s="319">
        <f>'Initial unit rates'!Y142</f>
        <v>0.19181548001721907</v>
      </c>
      <c r="Z144" s="319">
        <f>'Initial unit rates'!Z142</f>
        <v>0.34783623618350235</v>
      </c>
      <c r="AA144" s="319">
        <f>'Initial unit rates'!AA142</f>
        <v>5.0280561249488318E-5</v>
      </c>
      <c r="AB144" s="319">
        <f>'Initial unit rates'!AB142</f>
        <v>0.19309457270271657</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235</v>
      </c>
      <c r="G145" t="s">
        <v>328</v>
      </c>
      <c r="H145" s="304"/>
      <c r="I145" s="304"/>
      <c r="J145" s="319">
        <f>'Initial unit rates'!J143</f>
        <v>9.27196151850746E-2</v>
      </c>
      <c r="K145" s="319">
        <f>'Initial unit rates'!K143</f>
        <v>7.6596441070472809E-2</v>
      </c>
      <c r="L145" s="319">
        <f>'Initial unit rates'!L143</f>
        <v>0</v>
      </c>
      <c r="M145" s="319">
        <f>'Initial unit rates'!M143</f>
        <v>7.4092839104525118E-2</v>
      </c>
      <c r="N145" s="319">
        <f>'Initial unit rates'!N143</f>
        <v>6.6825791655201694E-2</v>
      </c>
      <c r="O145" s="319">
        <f>'Initial unit rates'!O143</f>
        <v>0</v>
      </c>
      <c r="P145" s="319">
        <f>'Initial unit rates'!P143</f>
        <v>6.4091135480977987E-2</v>
      </c>
      <c r="Q145" s="319">
        <f>'Initial unit rates'!Q143</f>
        <v>6.224806943282369E-2</v>
      </c>
      <c r="R145" s="319">
        <f>'Initial unit rates'!R143</f>
        <v>0</v>
      </c>
      <c r="S145" s="319">
        <f>'Initial unit rates'!S143</f>
        <v>8.6959272082332992E-2</v>
      </c>
      <c r="T145" s="319">
        <f>'Initial unit rates'!T143</f>
        <v>6.9111190969803324E-2</v>
      </c>
      <c r="U145" s="319">
        <f>'Initial unit rates'!U143</f>
        <v>5.8883846137784912E-2</v>
      </c>
      <c r="V145" s="319">
        <f>'Initial unit rates'!V143</f>
        <v>5.5673261762157263E-2</v>
      </c>
      <c r="W145" s="319">
        <f>'Initial unit rates'!W143</f>
        <v>0</v>
      </c>
      <c r="X145" s="319">
        <f>'Initial unit rates'!X143</f>
        <v>4.1565840750868679E-2</v>
      </c>
      <c r="Y145" s="319">
        <f>'Initial unit rates'!Y143</f>
        <v>8.7803946762358254E-2</v>
      </c>
      <c r="Z145" s="319">
        <f>'Initial unit rates'!Z143</f>
        <v>0.15922278202538004</v>
      </c>
      <c r="AA145" s="319">
        <f>'Initial unit rates'!AA143</f>
        <v>2.3016034590822656E-5</v>
      </c>
      <c r="AB145" s="319">
        <f>'Initial unit rates'!AB143</f>
        <v>8.838945417839926E-2</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236</v>
      </c>
      <c r="G146" t="s">
        <v>328</v>
      </c>
      <c r="H146" s="304"/>
      <c r="I146" s="304"/>
      <c r="J146" s="319">
        <f>'Initial unit rates'!J144</f>
        <v>0.18480934813850272</v>
      </c>
      <c r="K146" s="319">
        <f>'Initial unit rates'!K144</f>
        <v>0.15267253121906851</v>
      </c>
      <c r="L146" s="319">
        <f>'Initial unit rates'!L144</f>
        <v>0</v>
      </c>
      <c r="M146" s="319">
        <f>'Initial unit rates'!M144</f>
        <v>0.14768233527831198</v>
      </c>
      <c r="N146" s="319">
        <f>'Initial unit rates'!N144</f>
        <v>0.13319760840233999</v>
      </c>
      <c r="O146" s="319">
        <f>'Initial unit rates'!O144</f>
        <v>0</v>
      </c>
      <c r="P146" s="319">
        <f>'Initial unit rates'!P144</f>
        <v>0.12774687369067811</v>
      </c>
      <c r="Q146" s="319">
        <f>'Initial unit rates'!Q144</f>
        <v>0</v>
      </c>
      <c r="R146" s="319">
        <f>'Initial unit rates'!R144</f>
        <v>0</v>
      </c>
      <c r="S146" s="319">
        <f>'Initial unit rates'!S144</f>
        <v>0.17332779429742118</v>
      </c>
      <c r="T146" s="319">
        <f>'Initial unit rates'!T144</f>
        <v>0.13775288138017366</v>
      </c>
      <c r="U146" s="319">
        <f>'Initial unit rates'!U144</f>
        <v>0.11736767024852451</v>
      </c>
      <c r="V146" s="319">
        <f>'Initial unit rates'!V144</f>
        <v>0</v>
      </c>
      <c r="W146" s="319">
        <f>'Initial unit rates'!W144</f>
        <v>0</v>
      </c>
      <c r="X146" s="319">
        <f>'Initial unit rates'!X144</f>
        <v>8.2849307761508187E-2</v>
      </c>
      <c r="Y146" s="319">
        <f>'Initial unit rates'!Y144</f>
        <v>0.17501140543723204</v>
      </c>
      <c r="Z146" s="319">
        <f>'Initial unit rates'!Z144</f>
        <v>0.31736389863324388</v>
      </c>
      <c r="AA146" s="319">
        <f>'Initial unit rates'!AA144</f>
        <v>4.5875711854204059E-5</v>
      </c>
      <c r="AB146" s="319">
        <f>'Initial unit rates'!AB144</f>
        <v>0.17617844267819566</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437</v>
      </c>
      <c r="G147" t="s">
        <v>328</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438</v>
      </c>
      <c r="F148" s="37"/>
      <c r="G148" s="37" t="s">
        <v>328</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801</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802</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803</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191</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804</v>
      </c>
    </row>
    <row r="157" spans="2:44" x14ac:dyDescent="0.25">
      <c r="D157"/>
      <c r="E157" s="32" t="s">
        <v>734</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226</v>
      </c>
      <c r="G158" s="23" t="s">
        <v>328</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228</v>
      </c>
      <c r="G159" t="s">
        <v>328</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229</v>
      </c>
      <c r="G160" t="s">
        <v>328</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-6.9141952760269715E-2</v>
      </c>
      <c r="AD160" s="322">
        <f t="shared" si="0"/>
        <v>-6.7153640575141366E-2</v>
      </c>
      <c r="AE160" s="322">
        <f t="shared" si="0"/>
        <v>-6.9141952760269715E-2</v>
      </c>
      <c r="AF160" s="322">
        <f t="shared" si="0"/>
        <v>-6.9141952760269715E-2</v>
      </c>
      <c r="AG160" s="322">
        <f t="shared" si="0"/>
        <v>-6.9141952760269715E-2</v>
      </c>
      <c r="AH160" s="322">
        <f t="shared" si="0"/>
        <v>-6.9141952760269715E-2</v>
      </c>
      <c r="AI160" s="322">
        <f t="shared" si="0"/>
        <v>-6.7153640575141366E-2</v>
      </c>
      <c r="AJ160" s="322">
        <f t="shared" si="0"/>
        <v>-6.7153640575141366E-2</v>
      </c>
      <c r="AK160" s="322">
        <f t="shared" si="0"/>
        <v>-6.7153640575141366E-2</v>
      </c>
      <c r="AL160" s="322">
        <f t="shared" si="0"/>
        <v>-6.7153640575141366E-2</v>
      </c>
      <c r="AM160" s="322">
        <f t="shared" si="0"/>
        <v>-6.6448110444934524E-2</v>
      </c>
      <c r="AN160" s="322">
        <f t="shared" si="0"/>
        <v>-6.6448110444934524E-2</v>
      </c>
      <c r="AO160" s="322">
        <f t="shared" si="0"/>
        <v>-6.6448110444934524E-2</v>
      </c>
      <c r="AP160" s="322">
        <f t="shared" si="0"/>
        <v>-6.6448110444934524E-2</v>
      </c>
      <c r="AQ160" s="304"/>
      <c r="AR160" s="304"/>
    </row>
    <row r="161" spans="5:44" customFormat="1" x14ac:dyDescent="0.25">
      <c r="E161" s="2"/>
      <c r="F161" t="s">
        <v>230</v>
      </c>
      <c r="G161" t="s">
        <v>328</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-3.6126025155849097E-2</v>
      </c>
      <c r="AD161" s="322">
        <f t="shared" si="1"/>
        <v>-3.5087150591998142E-2</v>
      </c>
      <c r="AE161" s="322">
        <f t="shared" si="1"/>
        <v>-3.6126025155849097E-2</v>
      </c>
      <c r="AF161" s="322">
        <f t="shared" si="1"/>
        <v>-3.6126025155849097E-2</v>
      </c>
      <c r="AG161" s="322">
        <f t="shared" si="1"/>
        <v>-3.6126025155849097E-2</v>
      </c>
      <c r="AH161" s="322">
        <f t="shared" si="1"/>
        <v>-3.6126025155849097E-2</v>
      </c>
      <c r="AI161" s="322">
        <f t="shared" si="1"/>
        <v>-3.5087150591998142E-2</v>
      </c>
      <c r="AJ161" s="322">
        <f t="shared" si="1"/>
        <v>-3.5087150591998142E-2</v>
      </c>
      <c r="AK161" s="322">
        <f t="shared" si="1"/>
        <v>-3.5087150591998142E-2</v>
      </c>
      <c r="AL161" s="322">
        <f t="shared" si="1"/>
        <v>-3.5087150591998142E-2</v>
      </c>
      <c r="AM161" s="322">
        <f t="shared" si="1"/>
        <v>-3.4718517682244592E-2</v>
      </c>
      <c r="AN161" s="322">
        <f t="shared" si="1"/>
        <v>-3.4718517682244592E-2</v>
      </c>
      <c r="AO161" s="322">
        <f t="shared" si="1"/>
        <v>-3.4718517682244592E-2</v>
      </c>
      <c r="AP161" s="322">
        <f t="shared" si="1"/>
        <v>-3.4718517682244592E-2</v>
      </c>
      <c r="AQ161" s="304"/>
      <c r="AR161" s="304"/>
    </row>
    <row r="162" spans="5:44" customFormat="1" x14ac:dyDescent="0.25">
      <c r="E162" s="2"/>
      <c r="F162" t="s">
        <v>231</v>
      </c>
      <c r="G162" t="s">
        <v>328</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-4.4628812782500221E-2</v>
      </c>
      <c r="AD162" s="322">
        <f t="shared" si="2"/>
        <v>-4.3345423917697329E-2</v>
      </c>
      <c r="AE162" s="322">
        <f t="shared" si="2"/>
        <v>-4.4628812782500221E-2</v>
      </c>
      <c r="AF162" s="322">
        <f t="shared" si="2"/>
        <v>-4.4628812782500221E-2</v>
      </c>
      <c r="AG162" s="322">
        <f t="shared" si="2"/>
        <v>-4.4628812782500221E-2</v>
      </c>
      <c r="AH162" s="322">
        <f t="shared" si="2"/>
        <v>-4.4628812782500221E-2</v>
      </c>
      <c r="AI162" s="322">
        <f t="shared" si="2"/>
        <v>-4.3345423917697329E-2</v>
      </c>
      <c r="AJ162" s="322">
        <f t="shared" si="2"/>
        <v>-4.3345423917697329E-2</v>
      </c>
      <c r="AK162" s="322">
        <f t="shared" si="2"/>
        <v>-4.3345423917697329E-2</v>
      </c>
      <c r="AL162" s="322">
        <f t="shared" si="2"/>
        <v>-4.3345423917697329E-2</v>
      </c>
      <c r="AM162" s="322">
        <f t="shared" si="2"/>
        <v>-4.0084160119963165E-2</v>
      </c>
      <c r="AN162" s="322">
        <f t="shared" si="2"/>
        <v>-4.0084160119963165E-2</v>
      </c>
      <c r="AO162" s="322">
        <f t="shared" si="2"/>
        <v>-4.0084160119963165E-2</v>
      </c>
      <c r="AP162" s="322">
        <f t="shared" si="2"/>
        <v>-4.0084160119963165E-2</v>
      </c>
      <c r="AQ162" s="304"/>
      <c r="AR162" s="304"/>
    </row>
    <row r="163" spans="5:44" customFormat="1" x14ac:dyDescent="0.25">
      <c r="E163" s="2"/>
      <c r="F163" t="s">
        <v>232</v>
      </c>
      <c r="G163" t="s">
        <v>328</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-7.1795013049623824E-2</v>
      </c>
      <c r="AD163" s="322">
        <f t="shared" si="3"/>
        <v>-6.973040692296488E-2</v>
      </c>
      <c r="AE163" s="322">
        <f t="shared" si="3"/>
        <v>-7.1795013049623824E-2</v>
      </c>
      <c r="AF163" s="322">
        <f t="shared" si="3"/>
        <v>-7.1795013049623824E-2</v>
      </c>
      <c r="AG163" s="322">
        <f t="shared" si="3"/>
        <v>-7.1795013049623824E-2</v>
      </c>
      <c r="AH163" s="322">
        <f t="shared" si="3"/>
        <v>-7.1795013049623824E-2</v>
      </c>
      <c r="AI163" s="322">
        <f t="shared" si="3"/>
        <v>-6.973040692296488E-2</v>
      </c>
      <c r="AJ163" s="322">
        <f t="shared" si="3"/>
        <v>-6.973040692296488E-2</v>
      </c>
      <c r="AK163" s="322">
        <f t="shared" si="3"/>
        <v>-6.973040692296488E-2</v>
      </c>
      <c r="AL163" s="322">
        <f t="shared" si="3"/>
        <v>-6.973040692296488E-2</v>
      </c>
      <c r="AM163" s="322">
        <f t="shared" si="3"/>
        <v>-4.4736132685761147E-2</v>
      </c>
      <c r="AN163" s="322">
        <f t="shared" si="3"/>
        <v>-4.4736132685761147E-2</v>
      </c>
      <c r="AO163" s="322">
        <f t="shared" si="3"/>
        <v>-4.4736132685761147E-2</v>
      </c>
      <c r="AP163" s="322">
        <f t="shared" si="3"/>
        <v>-4.4736132685761147E-2</v>
      </c>
      <c r="AQ163" s="304"/>
      <c r="AR163" s="304"/>
    </row>
    <row r="164" spans="5:44" customFormat="1" x14ac:dyDescent="0.25">
      <c r="E164" s="2"/>
      <c r="F164" t="s">
        <v>233</v>
      </c>
      <c r="G164" t="s">
        <v>328</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-6.0456433030577584E-3</v>
      </c>
      <c r="AD164" s="322">
        <f t="shared" si="4"/>
        <v>-5.8717889965690835E-3</v>
      </c>
      <c r="AE164" s="322">
        <f t="shared" si="4"/>
        <v>-6.0456433030577584E-3</v>
      </c>
      <c r="AF164" s="322">
        <f t="shared" si="4"/>
        <v>-6.0456433030577584E-3</v>
      </c>
      <c r="AG164" s="322">
        <f t="shared" si="4"/>
        <v>-6.0456433030577584E-3</v>
      </c>
      <c r="AH164" s="322">
        <f t="shared" si="4"/>
        <v>-6.0456433030577584E-3</v>
      </c>
      <c r="AI164" s="322">
        <f t="shared" si="4"/>
        <v>-5.8717889965690835E-3</v>
      </c>
      <c r="AJ164" s="322">
        <f t="shared" si="4"/>
        <v>-5.8717889965690835E-3</v>
      </c>
      <c r="AK164" s="322">
        <f t="shared" si="4"/>
        <v>-5.8717889965690835E-3</v>
      </c>
      <c r="AL164" s="322">
        <f t="shared" si="4"/>
        <v>-5.8717889965690835E-3</v>
      </c>
      <c r="AM164" s="322">
        <f t="shared" si="4"/>
        <v>-3.7670959233538611E-3</v>
      </c>
      <c r="AN164" s="322">
        <f t="shared" si="4"/>
        <v>-3.7670959233538611E-3</v>
      </c>
      <c r="AO164" s="322">
        <f t="shared" si="4"/>
        <v>-3.7670959233538611E-3</v>
      </c>
      <c r="AP164" s="322">
        <f t="shared" si="4"/>
        <v>-3.7670959233538611E-3</v>
      </c>
      <c r="AQ164" s="304"/>
      <c r="AR164" s="304"/>
    </row>
    <row r="165" spans="5:44" customFormat="1" x14ac:dyDescent="0.25">
      <c r="E165" s="2"/>
      <c r="F165" t="s">
        <v>234</v>
      </c>
      <c r="G165" t="s">
        <v>328</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-8.6153096309139102E-2</v>
      </c>
      <c r="AD165" s="322">
        <f t="shared" si="5"/>
        <v>-8.3675595394868851E-2</v>
      </c>
      <c r="AE165" s="322">
        <f t="shared" si="5"/>
        <v>-8.6153096309139102E-2</v>
      </c>
      <c r="AF165" s="322">
        <f t="shared" si="5"/>
        <v>-8.6153096309139102E-2</v>
      </c>
      <c r="AG165" s="322">
        <f t="shared" si="5"/>
        <v>-8.6153096309139102E-2</v>
      </c>
      <c r="AH165" s="322">
        <f t="shared" si="5"/>
        <v>-8.6153096309139102E-2</v>
      </c>
      <c r="AI165" s="322">
        <f t="shared" si="5"/>
        <v>-8.3675595394868851E-2</v>
      </c>
      <c r="AJ165" s="322">
        <f t="shared" si="5"/>
        <v>-8.3675595394868851E-2</v>
      </c>
      <c r="AK165" s="322">
        <f t="shared" si="5"/>
        <v>-8.3675595394868851E-2</v>
      </c>
      <c r="AL165" s="322">
        <f t="shared" si="5"/>
        <v>-8.3675595394868851E-2</v>
      </c>
      <c r="AM165" s="322">
        <f t="shared" si="5"/>
        <v>-5.7568765943787667E-2</v>
      </c>
      <c r="AN165" s="322">
        <f t="shared" si="5"/>
        <v>-5.7568765943787667E-2</v>
      </c>
      <c r="AO165" s="322">
        <f t="shared" si="5"/>
        <v>-5.7568765943787667E-2</v>
      </c>
      <c r="AP165" s="322">
        <f t="shared" si="5"/>
        <v>-5.7568765943787667E-2</v>
      </c>
      <c r="AQ165" s="304"/>
      <c r="AR165" s="304"/>
    </row>
    <row r="166" spans="5:44" customFormat="1" x14ac:dyDescent="0.25">
      <c r="E166" s="2"/>
      <c r="F166" t="s">
        <v>235</v>
      </c>
      <c r="G166" t="s">
        <v>328</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-2.2038472663617321E-2</v>
      </c>
      <c r="AD166" s="322">
        <f t="shared" si="6"/>
        <v>-2.1404713245646877E-2</v>
      </c>
      <c r="AE166" s="322">
        <f t="shared" si="6"/>
        <v>-2.2038472663617321E-2</v>
      </c>
      <c r="AF166" s="322">
        <f t="shared" si="6"/>
        <v>-2.2038472663617321E-2</v>
      </c>
      <c r="AG166" s="322">
        <f t="shared" si="6"/>
        <v>-2.2038472663617321E-2</v>
      </c>
      <c r="AH166" s="322">
        <f t="shared" si="6"/>
        <v>-2.2038472663617321E-2</v>
      </c>
      <c r="AI166" s="322">
        <f t="shared" si="6"/>
        <v>-2.1404713245646877E-2</v>
      </c>
      <c r="AJ166" s="322">
        <f t="shared" si="6"/>
        <v>-2.1404713245646877E-2</v>
      </c>
      <c r="AK166" s="322">
        <f t="shared" si="6"/>
        <v>-2.1404713245646877E-2</v>
      </c>
      <c r="AL166" s="322">
        <f t="shared" si="6"/>
        <v>-2.1404713245646877E-2</v>
      </c>
      <c r="AM166" s="322">
        <f t="shared" si="6"/>
        <v>0</v>
      </c>
      <c r="AN166" s="322">
        <f t="shared" si="6"/>
        <v>0</v>
      </c>
      <c r="AO166" s="322">
        <f t="shared" si="6"/>
        <v>0</v>
      </c>
      <c r="AP166" s="322">
        <f t="shared" si="6"/>
        <v>0</v>
      </c>
      <c r="AQ166" s="304"/>
      <c r="AR166" s="304"/>
    </row>
    <row r="167" spans="5:44" customFormat="1" x14ac:dyDescent="0.25">
      <c r="E167" s="2"/>
      <c r="F167" t="s">
        <v>236</v>
      </c>
      <c r="G167" t="s">
        <v>328</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-9.24883933383399E-3</v>
      </c>
      <c r="AD167" s="322">
        <f t="shared" si="7"/>
        <v>0</v>
      </c>
      <c r="AE167" s="322">
        <f t="shared" si="7"/>
        <v>-9.24883933383399E-3</v>
      </c>
      <c r="AF167" s="322">
        <f t="shared" si="7"/>
        <v>-9.24883933383399E-3</v>
      </c>
      <c r="AG167" s="322">
        <f t="shared" si="7"/>
        <v>-9.24883933383399E-3</v>
      </c>
      <c r="AH167" s="322">
        <f t="shared" si="7"/>
        <v>-9.24883933383399E-3</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437</v>
      </c>
      <c r="G168" t="s">
        <v>328</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438</v>
      </c>
      <c r="G169" s="37" t="s">
        <v>328</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735</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226</v>
      </c>
      <c r="G172" s="23" t="s">
        <v>328</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-3.4494121560325754E-2</v>
      </c>
      <c r="AD172" s="321">
        <f t="shared" si="8"/>
        <v>-3.3502175578535305E-2</v>
      </c>
      <c r="AE172" s="321">
        <f t="shared" si="8"/>
        <v>-3.4494121560325754E-2</v>
      </c>
      <c r="AF172" s="321">
        <f t="shared" si="8"/>
        <v>-3.4494121560325754E-2</v>
      </c>
      <c r="AG172" s="321">
        <f t="shared" si="8"/>
        <v>-3.4494121560325754E-2</v>
      </c>
      <c r="AH172" s="321">
        <f t="shared" si="8"/>
        <v>-3.4494121560325754E-2</v>
      </c>
      <c r="AI172" s="321">
        <f t="shared" si="8"/>
        <v>-3.3502175578535305E-2</v>
      </c>
      <c r="AJ172" s="321">
        <f t="shared" si="8"/>
        <v>-3.3502175578535305E-2</v>
      </c>
      <c r="AK172" s="321">
        <f t="shared" si="8"/>
        <v>-3.3502175578535305E-2</v>
      </c>
      <c r="AL172" s="321">
        <f t="shared" si="8"/>
        <v>-3.3502175578535305E-2</v>
      </c>
      <c r="AM172" s="321">
        <f t="shared" si="8"/>
        <v>-3.3150194746287089E-2</v>
      </c>
      <c r="AN172" s="321">
        <f t="shared" si="8"/>
        <v>-3.3150194746287089E-2</v>
      </c>
      <c r="AO172" s="321">
        <f t="shared" si="8"/>
        <v>-3.3150194746287089E-2</v>
      </c>
      <c r="AP172" s="321">
        <f t="shared" si="8"/>
        <v>-3.3150194746287089E-2</v>
      </c>
      <c r="AQ172" s="304"/>
      <c r="AR172" s="304"/>
    </row>
    <row r="173" spans="5:44" customFormat="1" x14ac:dyDescent="0.25">
      <c r="E173" s="2"/>
      <c r="F173" t="s">
        <v>228</v>
      </c>
      <c r="G173" t="s">
        <v>328</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229</v>
      </c>
      <c r="G174" t="s">
        <v>328</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-3.7958002116622071E-2</v>
      </c>
      <c r="AD174" s="322">
        <f t="shared" si="10"/>
        <v>-3.6866445469483589E-2</v>
      </c>
      <c r="AE174" s="322">
        <f t="shared" si="10"/>
        <v>-3.7958002116622071E-2</v>
      </c>
      <c r="AF174" s="322">
        <f t="shared" si="10"/>
        <v>-3.7958002116622071E-2</v>
      </c>
      <c r="AG174" s="322">
        <f t="shared" si="10"/>
        <v>-3.7958002116622071E-2</v>
      </c>
      <c r="AH174" s="322">
        <f t="shared" si="10"/>
        <v>-3.7958002116622071E-2</v>
      </c>
      <c r="AI174" s="322">
        <f t="shared" si="10"/>
        <v>-3.6866445469483589E-2</v>
      </c>
      <c r="AJ174" s="322">
        <f t="shared" si="10"/>
        <v>-3.6866445469483589E-2</v>
      </c>
      <c r="AK174" s="322">
        <f t="shared" si="10"/>
        <v>-3.6866445469483589E-2</v>
      </c>
      <c r="AL174" s="322">
        <f t="shared" si="10"/>
        <v>-3.6866445469483589E-2</v>
      </c>
      <c r="AM174" s="322">
        <f t="shared" si="10"/>
        <v>-3.6479118917273158E-2</v>
      </c>
      <c r="AN174" s="322">
        <f t="shared" si="10"/>
        <v>-3.6479118917273158E-2</v>
      </c>
      <c r="AO174" s="322">
        <f t="shared" si="10"/>
        <v>-3.6479118917273158E-2</v>
      </c>
      <c r="AP174" s="322">
        <f t="shared" si="10"/>
        <v>-3.6479118917273158E-2</v>
      </c>
      <c r="AQ174" s="304"/>
      <c r="AR174" s="304"/>
    </row>
    <row r="175" spans="5:44" customFormat="1" x14ac:dyDescent="0.25">
      <c r="E175" s="2"/>
      <c r="F175" t="s">
        <v>230</v>
      </c>
      <c r="G175" t="s">
        <v>328</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-1.983270192100824E-2</v>
      </c>
      <c r="AD175" s="322">
        <f t="shared" si="11"/>
        <v>-1.9262373758159205E-2</v>
      </c>
      <c r="AE175" s="322">
        <f t="shared" si="11"/>
        <v>-1.983270192100824E-2</v>
      </c>
      <c r="AF175" s="322">
        <f t="shared" si="11"/>
        <v>-1.983270192100824E-2</v>
      </c>
      <c r="AG175" s="322">
        <f t="shared" si="11"/>
        <v>-1.983270192100824E-2</v>
      </c>
      <c r="AH175" s="322">
        <f t="shared" si="11"/>
        <v>-1.983270192100824E-2</v>
      </c>
      <c r="AI175" s="322">
        <f t="shared" si="11"/>
        <v>-1.9262373758159205E-2</v>
      </c>
      <c r="AJ175" s="322">
        <f t="shared" si="11"/>
        <v>-1.9262373758159205E-2</v>
      </c>
      <c r="AK175" s="322">
        <f t="shared" si="11"/>
        <v>-1.9262373758159205E-2</v>
      </c>
      <c r="AL175" s="322">
        <f t="shared" si="11"/>
        <v>-1.9262373758159205E-2</v>
      </c>
      <c r="AM175" s="322">
        <f t="shared" si="11"/>
        <v>-1.9059999248761162E-2</v>
      </c>
      <c r="AN175" s="322">
        <f t="shared" si="11"/>
        <v>-1.9059999248761162E-2</v>
      </c>
      <c r="AO175" s="322">
        <f t="shared" si="11"/>
        <v>-1.9059999248761162E-2</v>
      </c>
      <c r="AP175" s="322">
        <f t="shared" si="11"/>
        <v>-1.9059999248761162E-2</v>
      </c>
      <c r="AQ175" s="304"/>
      <c r="AR175" s="304"/>
    </row>
    <row r="176" spans="5:44" customFormat="1" x14ac:dyDescent="0.25">
      <c r="E176" s="2"/>
      <c r="F176" t="s">
        <v>231</v>
      </c>
      <c r="G176" t="s">
        <v>328</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-2.4500617966837203E-2</v>
      </c>
      <c r="AD176" s="322">
        <f t="shared" si="12"/>
        <v>-2.379605474144578E-2</v>
      </c>
      <c r="AE176" s="322">
        <f t="shared" si="12"/>
        <v>-2.4500617966837203E-2</v>
      </c>
      <c r="AF176" s="322">
        <f t="shared" si="12"/>
        <v>-2.4500617966837203E-2</v>
      </c>
      <c r="AG176" s="322">
        <f t="shared" si="12"/>
        <v>-2.4500617966837203E-2</v>
      </c>
      <c r="AH176" s="322">
        <f t="shared" si="12"/>
        <v>-2.4500617966837203E-2</v>
      </c>
      <c r="AI176" s="322">
        <f t="shared" si="12"/>
        <v>-2.379605474144578E-2</v>
      </c>
      <c r="AJ176" s="322">
        <f t="shared" si="12"/>
        <v>-2.379605474144578E-2</v>
      </c>
      <c r="AK176" s="322">
        <f t="shared" si="12"/>
        <v>-2.379605474144578E-2</v>
      </c>
      <c r="AL176" s="322">
        <f t="shared" si="12"/>
        <v>-2.379605474144578E-2</v>
      </c>
      <c r="AM176" s="322">
        <f t="shared" si="12"/>
        <v>-2.3546048435661732E-2</v>
      </c>
      <c r="AN176" s="322">
        <f t="shared" si="12"/>
        <v>-2.3546048435661732E-2</v>
      </c>
      <c r="AO176" s="322">
        <f t="shared" si="12"/>
        <v>-2.3546048435661732E-2</v>
      </c>
      <c r="AP176" s="322">
        <f t="shared" si="12"/>
        <v>-2.3546048435661732E-2</v>
      </c>
      <c r="AQ176" s="304"/>
      <c r="AR176" s="304"/>
    </row>
    <row r="177" spans="2:44" x14ac:dyDescent="0.25">
      <c r="D177"/>
      <c r="F177" t="s">
        <v>232</v>
      </c>
      <c r="G177" t="s">
        <v>328</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-3.9414496532219422E-2</v>
      </c>
      <c r="AD177" s="322">
        <f t="shared" si="13"/>
        <v>-3.828105553732257E-2</v>
      </c>
      <c r="AE177" s="322">
        <f t="shared" si="13"/>
        <v>-3.9414496532219422E-2</v>
      </c>
      <c r="AF177" s="322">
        <f t="shared" si="13"/>
        <v>-3.9414496532219422E-2</v>
      </c>
      <c r="AG177" s="322">
        <f t="shared" si="13"/>
        <v>-3.9414496532219422E-2</v>
      </c>
      <c r="AH177" s="322">
        <f t="shared" si="13"/>
        <v>-3.9414496532219422E-2</v>
      </c>
      <c r="AI177" s="322">
        <f t="shared" si="13"/>
        <v>-3.828105553732257E-2</v>
      </c>
      <c r="AJ177" s="322">
        <f t="shared" si="13"/>
        <v>-3.828105553732257E-2</v>
      </c>
      <c r="AK177" s="322">
        <f t="shared" si="13"/>
        <v>-3.828105553732257E-2</v>
      </c>
      <c r="AL177" s="322">
        <f t="shared" si="13"/>
        <v>-3.828105553732257E-2</v>
      </c>
      <c r="AM177" s="322">
        <f t="shared" si="13"/>
        <v>-3.7878866797197888E-2</v>
      </c>
      <c r="AN177" s="322">
        <f t="shared" si="13"/>
        <v>-3.7878866797197888E-2</v>
      </c>
      <c r="AO177" s="322">
        <f t="shared" si="13"/>
        <v>-3.7878866797197888E-2</v>
      </c>
      <c r="AP177" s="322">
        <f t="shared" si="13"/>
        <v>-3.7878866797197888E-2</v>
      </c>
      <c r="AQ177" s="304"/>
      <c r="AR177" s="304"/>
    </row>
    <row r="178" spans="2:44" x14ac:dyDescent="0.25">
      <c r="D178"/>
      <c r="F178" t="s">
        <v>233</v>
      </c>
      <c r="G178" t="s">
        <v>328</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-3.3189768603942636E-3</v>
      </c>
      <c r="AD178" s="322">
        <f t="shared" si="14"/>
        <v>-3.2235331844460043E-3</v>
      </c>
      <c r="AE178" s="322">
        <f t="shared" si="14"/>
        <v>-3.3189768603942636E-3</v>
      </c>
      <c r="AF178" s="322">
        <f t="shared" si="14"/>
        <v>-3.3189768603942636E-3</v>
      </c>
      <c r="AG178" s="322">
        <f t="shared" si="14"/>
        <v>-3.3189768603942636E-3</v>
      </c>
      <c r="AH178" s="322">
        <f t="shared" si="14"/>
        <v>-3.3189768603942636E-3</v>
      </c>
      <c r="AI178" s="322">
        <f t="shared" si="14"/>
        <v>-3.2235331844460043E-3</v>
      </c>
      <c r="AJ178" s="322">
        <f t="shared" si="14"/>
        <v>-3.2235331844460043E-3</v>
      </c>
      <c r="AK178" s="322">
        <f t="shared" si="14"/>
        <v>-3.2235331844460043E-3</v>
      </c>
      <c r="AL178" s="322">
        <f t="shared" si="14"/>
        <v>-3.2235331844460043E-3</v>
      </c>
      <c r="AM178" s="322">
        <f t="shared" si="14"/>
        <v>-3.1896660736256558E-3</v>
      </c>
      <c r="AN178" s="322">
        <f t="shared" si="14"/>
        <v>-3.1896660736256558E-3</v>
      </c>
      <c r="AO178" s="322">
        <f t="shared" si="14"/>
        <v>-3.1896660736256558E-3</v>
      </c>
      <c r="AP178" s="322">
        <f t="shared" si="14"/>
        <v>-3.1896660736256558E-3</v>
      </c>
      <c r="AQ178" s="304"/>
      <c r="AR178" s="304"/>
    </row>
    <row r="179" spans="2:44" x14ac:dyDescent="0.25">
      <c r="D179"/>
      <c r="F179" t="s">
        <v>234</v>
      </c>
      <c r="G179" t="s">
        <v>328</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-9.0804251858121923E-2</v>
      </c>
      <c r="AD179" s="322">
        <f t="shared" si="15"/>
        <v>-8.8192997862201902E-2</v>
      </c>
      <c r="AE179" s="322">
        <f t="shared" si="15"/>
        <v>-9.0804251858121923E-2</v>
      </c>
      <c r="AF179" s="322">
        <f t="shared" si="15"/>
        <v>-9.0804251858121923E-2</v>
      </c>
      <c r="AG179" s="322">
        <f t="shared" si="15"/>
        <v>-9.0804251858121923E-2</v>
      </c>
      <c r="AH179" s="322">
        <f t="shared" si="15"/>
        <v>-9.0804251858121923E-2</v>
      </c>
      <c r="AI179" s="322">
        <f t="shared" si="15"/>
        <v>-8.8192997862201902E-2</v>
      </c>
      <c r="AJ179" s="322">
        <f t="shared" si="15"/>
        <v>-8.8192997862201902E-2</v>
      </c>
      <c r="AK179" s="322">
        <f t="shared" si="15"/>
        <v>-8.8192997862201902E-2</v>
      </c>
      <c r="AL179" s="322">
        <f t="shared" si="15"/>
        <v>-8.8192997862201902E-2</v>
      </c>
      <c r="AM179" s="322">
        <f t="shared" si="15"/>
        <v>-8.7266423863649634E-2</v>
      </c>
      <c r="AN179" s="322">
        <f t="shared" si="15"/>
        <v>-8.7266423863649634E-2</v>
      </c>
      <c r="AO179" s="322">
        <f t="shared" si="15"/>
        <v>-8.7266423863649634E-2</v>
      </c>
      <c r="AP179" s="322">
        <f t="shared" si="15"/>
        <v>-8.7266423863649634E-2</v>
      </c>
      <c r="AQ179" s="304"/>
      <c r="AR179" s="304"/>
    </row>
    <row r="180" spans="2:44" x14ac:dyDescent="0.25">
      <c r="D180"/>
      <c r="F180" t="s">
        <v>235</v>
      </c>
      <c r="G180" t="s">
        <v>328</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-4.1565840750864232E-2</v>
      </c>
      <c r="AD180" s="322">
        <f t="shared" si="16"/>
        <v>-4.0370533642073138E-2</v>
      </c>
      <c r="AE180" s="322">
        <f t="shared" si="16"/>
        <v>-4.1565840750864232E-2</v>
      </c>
      <c r="AF180" s="322">
        <f t="shared" si="16"/>
        <v>-4.1565840750864232E-2</v>
      </c>
      <c r="AG180" s="322">
        <f t="shared" si="16"/>
        <v>-4.1565840750864232E-2</v>
      </c>
      <c r="AH180" s="322">
        <f t="shared" si="16"/>
        <v>-4.1565840750864232E-2</v>
      </c>
      <c r="AI180" s="322">
        <f t="shared" si="16"/>
        <v>-4.0370533642073138E-2</v>
      </c>
      <c r="AJ180" s="322">
        <f t="shared" si="16"/>
        <v>-4.0370533642073138E-2</v>
      </c>
      <c r="AK180" s="322">
        <f t="shared" si="16"/>
        <v>-4.0370533642073138E-2</v>
      </c>
      <c r="AL180" s="322">
        <f t="shared" si="16"/>
        <v>-4.0370533642073138E-2</v>
      </c>
      <c r="AM180" s="322">
        <f t="shared" si="16"/>
        <v>0</v>
      </c>
      <c r="AN180" s="322">
        <f t="shared" si="16"/>
        <v>0</v>
      </c>
      <c r="AO180" s="322">
        <f t="shared" si="16"/>
        <v>0</v>
      </c>
      <c r="AP180" s="322">
        <f t="shared" si="16"/>
        <v>0</v>
      </c>
      <c r="AQ180" s="304"/>
      <c r="AR180" s="304"/>
    </row>
    <row r="181" spans="2:44" x14ac:dyDescent="0.25">
      <c r="D181"/>
      <c r="F181" t="s">
        <v>236</v>
      </c>
      <c r="G181" t="s">
        <v>328</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-8.2849307761499333E-2</v>
      </c>
      <c r="AD181" s="322">
        <f t="shared" si="17"/>
        <v>0</v>
      </c>
      <c r="AE181" s="322">
        <f t="shared" si="17"/>
        <v>-8.2849307761499333E-2</v>
      </c>
      <c r="AF181" s="322">
        <f t="shared" si="17"/>
        <v>-8.2849307761499333E-2</v>
      </c>
      <c r="AG181" s="322">
        <f t="shared" si="17"/>
        <v>-8.2849307761499333E-2</v>
      </c>
      <c r="AH181" s="322">
        <f t="shared" si="17"/>
        <v>-8.2849307761499333E-2</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437</v>
      </c>
      <c r="G182" t="s">
        <v>328</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438</v>
      </c>
      <c r="G183" s="37" t="s">
        <v>328</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805</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806</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807</v>
      </c>
      <c r="I188" t="s">
        <v>191</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808</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191</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809</v>
      </c>
    </row>
    <row r="192" spans="2:44" x14ac:dyDescent="0.25">
      <c r="E192" s="32" t="s">
        <v>734</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226</v>
      </c>
      <c r="G193" s="23" t="s">
        <v>331</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228</v>
      </c>
      <c r="G194" t="s">
        <v>331</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229</v>
      </c>
      <c r="G195" t="s">
        <v>331</v>
      </c>
      <c r="H195" s="304"/>
      <c r="I195" s="304"/>
      <c r="J195" s="322">
        <f t="shared" ref="J195:AP195" si="18">ABS(J125 + J160)*(1-J82)*PowerFactor*$H23</f>
        <v>3.0026249743896959E-2</v>
      </c>
      <c r="K195" s="322">
        <f t="shared" si="18"/>
        <v>2.4804933287146846E-2</v>
      </c>
      <c r="L195" s="322">
        <f t="shared" si="18"/>
        <v>0</v>
      </c>
      <c r="M195" s="322">
        <f t="shared" si="18"/>
        <v>2.3994168728441501E-2</v>
      </c>
      <c r="N195" s="322">
        <f t="shared" si="18"/>
        <v>2.1640813603114584E-2</v>
      </c>
      <c r="O195" s="322">
        <f t="shared" si="18"/>
        <v>0</v>
      </c>
      <c r="P195" s="322">
        <f t="shared" si="18"/>
        <v>2.0755224625129385E-2</v>
      </c>
      <c r="Q195" s="322">
        <f t="shared" si="18"/>
        <v>2.0158367516243472E-2</v>
      </c>
      <c r="R195" s="322">
        <f t="shared" si="18"/>
        <v>2.0040743930856971E-2</v>
      </c>
      <c r="S195" s="322">
        <f t="shared" si="18"/>
        <v>2.8160824609547438E-2</v>
      </c>
      <c r="T195" s="322">
        <f t="shared" si="18"/>
        <v>2.2380915580973153E-2</v>
      </c>
      <c r="U195" s="322">
        <f t="shared" si="18"/>
        <v>1.9068900000125791E-2</v>
      </c>
      <c r="V195" s="322">
        <f t="shared" si="18"/>
        <v>1.8029186794953134E-2</v>
      </c>
      <c r="W195" s="322">
        <f t="shared" si="18"/>
        <v>1.4403881410892379E-2</v>
      </c>
      <c r="X195" s="322">
        <f t="shared" si="18"/>
        <v>1.3460650291843944E-2</v>
      </c>
      <c r="Y195" s="322">
        <f t="shared" si="18"/>
        <v>2.8434363416240716E-2</v>
      </c>
      <c r="Z195" s="322">
        <f t="shared" si="18"/>
        <v>5.1562584772048545E-2</v>
      </c>
      <c r="AA195" s="322">
        <f t="shared" si="18"/>
        <v>7.4534951569714753E-6</v>
      </c>
      <c r="AB195" s="322">
        <f t="shared" si="18"/>
        <v>2.8623973693050628E-2</v>
      </c>
      <c r="AC195" s="322">
        <f t="shared" si="18"/>
        <v>1.3460650291842503E-2</v>
      </c>
      <c r="AD195" s="322">
        <f t="shared" si="18"/>
        <v>1.3073562945787666E-2</v>
      </c>
      <c r="AE195" s="322">
        <f t="shared" si="18"/>
        <v>1.3460650291842503E-2</v>
      </c>
      <c r="AF195" s="322">
        <f t="shared" si="18"/>
        <v>1.3460650291842503E-2</v>
      </c>
      <c r="AG195" s="322">
        <f t="shared" si="18"/>
        <v>1.3460650291842503E-2</v>
      </c>
      <c r="AH195" s="322">
        <f t="shared" si="18"/>
        <v>1.3460650291842503E-2</v>
      </c>
      <c r="AI195" s="322">
        <f t="shared" si="18"/>
        <v>1.3073562945787666E-2</v>
      </c>
      <c r="AJ195" s="322">
        <f t="shared" si="18"/>
        <v>1.3073562945787666E-2</v>
      </c>
      <c r="AK195" s="322">
        <f t="shared" si="18"/>
        <v>1.3073562945787666E-2</v>
      </c>
      <c r="AL195" s="322">
        <f t="shared" si="18"/>
        <v>1.3073562945787666E-2</v>
      </c>
      <c r="AM195" s="322">
        <f t="shared" si="18"/>
        <v>1.2936209371381105E-2</v>
      </c>
      <c r="AN195" s="322">
        <f t="shared" si="18"/>
        <v>1.2936209371381105E-2</v>
      </c>
      <c r="AO195" s="322">
        <f t="shared" si="18"/>
        <v>1.2936209371381105E-2</v>
      </c>
      <c r="AP195" s="322">
        <f t="shared" si="18"/>
        <v>1.2936209371381105E-2</v>
      </c>
      <c r="AQ195" s="304"/>
      <c r="AR195" s="304"/>
    </row>
    <row r="196" spans="4:44" x14ac:dyDescent="0.25">
      <c r="F196" t="s">
        <v>230</v>
      </c>
      <c r="G196" t="s">
        <v>331</v>
      </c>
      <c r="H196" s="304"/>
      <c r="I196" s="304"/>
      <c r="J196" s="322">
        <f t="shared" ref="J196:AP196" si="19">ABS(J126 + J161)*(1-J83)*PowerFactor*$H24</f>
        <v>1.5688435317191902E-2</v>
      </c>
      <c r="K196" s="322">
        <f t="shared" si="19"/>
        <v>1.2960346188479998E-2</v>
      </c>
      <c r="L196" s="322">
        <f t="shared" si="19"/>
        <v>0</v>
      </c>
      <c r="M196" s="322">
        <f t="shared" si="19"/>
        <v>1.2536729271775114E-2</v>
      </c>
      <c r="N196" s="322">
        <f t="shared" si="19"/>
        <v>1.1307123177874634E-2</v>
      </c>
      <c r="O196" s="322">
        <f t="shared" si="19"/>
        <v>0</v>
      </c>
      <c r="P196" s="322">
        <f t="shared" si="19"/>
        <v>1.0844411200280337E-2</v>
      </c>
      <c r="Q196" s="322">
        <f t="shared" si="19"/>
        <v>1.0532558930142403E-2</v>
      </c>
      <c r="R196" s="322">
        <f t="shared" si="19"/>
        <v>1.0630655820040989E-2</v>
      </c>
      <c r="S196" s="322">
        <f t="shared" si="19"/>
        <v>1.4713768090717672E-2</v>
      </c>
      <c r="T196" s="322">
        <f t="shared" si="19"/>
        <v>1.1693819555437406E-2</v>
      </c>
      <c r="U196" s="322">
        <f t="shared" si="19"/>
        <v>9.9633223187581259E-3</v>
      </c>
      <c r="V196" s="322">
        <f t="shared" si="19"/>
        <v>9.4200818705867072E-3</v>
      </c>
      <c r="W196" s="322">
        <f t="shared" si="19"/>
        <v>7.6405699449169891E-3</v>
      </c>
      <c r="X196" s="322">
        <f t="shared" si="19"/>
        <v>7.0330641765829257E-3</v>
      </c>
      <c r="Y196" s="322">
        <f t="shared" si="19"/>
        <v>1.4856689564832886E-2</v>
      </c>
      <c r="Z196" s="322">
        <f t="shared" si="19"/>
        <v>2.6940969414534676E-2</v>
      </c>
      <c r="AA196" s="322">
        <f t="shared" si="19"/>
        <v>3.8943816711881451E-6</v>
      </c>
      <c r="AB196" s="322">
        <f t="shared" si="19"/>
        <v>1.4955759165218522E-2</v>
      </c>
      <c r="AC196" s="322">
        <f t="shared" si="19"/>
        <v>7.033064176582172E-3</v>
      </c>
      <c r="AD196" s="322">
        <f t="shared" si="19"/>
        <v>6.8308146501683976E-3</v>
      </c>
      <c r="AE196" s="322">
        <f t="shared" si="19"/>
        <v>7.033064176582172E-3</v>
      </c>
      <c r="AF196" s="322">
        <f t="shared" si="19"/>
        <v>7.033064176582172E-3</v>
      </c>
      <c r="AG196" s="322">
        <f t="shared" si="19"/>
        <v>7.033064176582172E-3</v>
      </c>
      <c r="AH196" s="322">
        <f t="shared" si="19"/>
        <v>7.033064176582172E-3</v>
      </c>
      <c r="AI196" s="322">
        <f t="shared" si="19"/>
        <v>6.8308146501683976E-3</v>
      </c>
      <c r="AJ196" s="322">
        <f t="shared" si="19"/>
        <v>6.8308146501683976E-3</v>
      </c>
      <c r="AK196" s="322">
        <f t="shared" si="19"/>
        <v>6.8308146501683976E-3</v>
      </c>
      <c r="AL196" s="322">
        <f t="shared" si="19"/>
        <v>6.8308146501683976E-3</v>
      </c>
      <c r="AM196" s="322">
        <f t="shared" si="19"/>
        <v>6.7590486891828672E-3</v>
      </c>
      <c r="AN196" s="322">
        <f t="shared" si="19"/>
        <v>6.7590486891828672E-3</v>
      </c>
      <c r="AO196" s="322">
        <f t="shared" si="19"/>
        <v>6.7590486891828672E-3</v>
      </c>
      <c r="AP196" s="322">
        <f t="shared" si="19"/>
        <v>6.7590486891828672E-3</v>
      </c>
      <c r="AQ196" s="304"/>
      <c r="AR196" s="304"/>
    </row>
    <row r="197" spans="4:44" x14ac:dyDescent="0.25">
      <c r="F197" t="s">
        <v>231</v>
      </c>
      <c r="G197" t="s">
        <v>331</v>
      </c>
      <c r="H197" s="304"/>
      <c r="I197" s="304"/>
      <c r="J197" s="322">
        <f t="shared" ref="J197:AP197" si="20">ABS(J127 + J162)*(1-J84)*PowerFactor*$H25</f>
        <v>1.9380937692448034E-2</v>
      </c>
      <c r="K197" s="322">
        <f t="shared" si="20"/>
        <v>1.6010752944637632E-2</v>
      </c>
      <c r="L197" s="322">
        <f t="shared" si="20"/>
        <v>0</v>
      </c>
      <c r="M197" s="322">
        <f t="shared" si="20"/>
        <v>1.5487431599829751E-2</v>
      </c>
      <c r="N197" s="322">
        <f t="shared" si="20"/>
        <v>1.3968419753822084E-2</v>
      </c>
      <c r="O197" s="322">
        <f t="shared" si="20"/>
        <v>0</v>
      </c>
      <c r="P197" s="322">
        <f t="shared" si="20"/>
        <v>1.3396801754576656E-2</v>
      </c>
      <c r="Q197" s="322">
        <f t="shared" si="20"/>
        <v>1.3011550498183448E-2</v>
      </c>
      <c r="R197" s="322">
        <f t="shared" si="20"/>
        <v>9.8188733510051664E-3</v>
      </c>
      <c r="S197" s="322">
        <f t="shared" si="20"/>
        <v>1.81768682995961E-2</v>
      </c>
      <c r="T197" s="322">
        <f t="shared" si="20"/>
        <v>1.4446130771390973E-2</v>
      </c>
      <c r="U197" s="322">
        <f t="shared" si="20"/>
        <v>1.2308335736835685E-2</v>
      </c>
      <c r="V197" s="322">
        <f t="shared" si="20"/>
        <v>1.1637235715376545E-2</v>
      </c>
      <c r="W197" s="322">
        <f t="shared" si="20"/>
        <v>7.0571176311817786E-3</v>
      </c>
      <c r="X197" s="322">
        <f t="shared" si="20"/>
        <v>8.6883985456454003E-3</v>
      </c>
      <c r="Y197" s="322">
        <f t="shared" si="20"/>
        <v>1.8353428429955587E-2</v>
      </c>
      <c r="Z197" s="322">
        <f t="shared" si="20"/>
        <v>3.3281920028383288E-2</v>
      </c>
      <c r="AA197" s="322">
        <f t="shared" si="20"/>
        <v>4.81098127339692E-6</v>
      </c>
      <c r="AB197" s="322">
        <f t="shared" si="20"/>
        <v>1.8475815507664074E-2</v>
      </c>
      <c r="AC197" s="322">
        <f t="shared" si="20"/>
        <v>8.6883985456444705E-3</v>
      </c>
      <c r="AD197" s="322">
        <f t="shared" si="20"/>
        <v>8.4385466394153608E-3</v>
      </c>
      <c r="AE197" s="322">
        <f t="shared" si="20"/>
        <v>8.6883985456444705E-3</v>
      </c>
      <c r="AF197" s="322">
        <f t="shared" si="20"/>
        <v>8.6883985456444705E-3</v>
      </c>
      <c r="AG197" s="322">
        <f t="shared" si="20"/>
        <v>8.6883985456444705E-3</v>
      </c>
      <c r="AH197" s="322">
        <f t="shared" si="20"/>
        <v>8.6883985456444705E-3</v>
      </c>
      <c r="AI197" s="322">
        <f t="shared" si="20"/>
        <v>8.4385466394153608E-3</v>
      </c>
      <c r="AJ197" s="322">
        <f t="shared" si="20"/>
        <v>8.4385466394153608E-3</v>
      </c>
      <c r="AK197" s="322">
        <f t="shared" si="20"/>
        <v>8.4385466394153608E-3</v>
      </c>
      <c r="AL197" s="322">
        <f t="shared" si="20"/>
        <v>8.4385466394153608E-3</v>
      </c>
      <c r="AM197" s="322">
        <f t="shared" si="20"/>
        <v>7.8036393257189668E-3</v>
      </c>
      <c r="AN197" s="322">
        <f t="shared" si="20"/>
        <v>7.8036393257189668E-3</v>
      </c>
      <c r="AO197" s="322">
        <f t="shared" si="20"/>
        <v>7.8036393257189668E-3</v>
      </c>
      <c r="AP197" s="322">
        <f t="shared" si="20"/>
        <v>7.8036393257189668E-3</v>
      </c>
      <c r="AQ197" s="304"/>
      <c r="AR197" s="304"/>
    </row>
    <row r="198" spans="4:44" x14ac:dyDescent="0.25">
      <c r="F198" t="s">
        <v>232</v>
      </c>
      <c r="G198" t="s">
        <v>331</v>
      </c>
      <c r="H198" s="304"/>
      <c r="I198" s="304"/>
      <c r="J198" s="322">
        <f t="shared" ref="J198:AP198" si="21">ABS(J128 + J163)*(1-J85)*PowerFactor*$H26</f>
        <v>3.1178393234983563E-2</v>
      </c>
      <c r="K198" s="322">
        <f t="shared" si="21"/>
        <v>2.5756728555533053E-2</v>
      </c>
      <c r="L198" s="322">
        <f t="shared" si="21"/>
        <v>0</v>
      </c>
      <c r="M198" s="322">
        <f t="shared" si="21"/>
        <v>2.4914853980855571E-2</v>
      </c>
      <c r="N198" s="322">
        <f t="shared" si="21"/>
        <v>2.2471197775207695E-2</v>
      </c>
      <c r="O198" s="322">
        <f t="shared" si="21"/>
        <v>0</v>
      </c>
      <c r="P198" s="322">
        <f t="shared" si="21"/>
        <v>2.1551627677853069E-2</v>
      </c>
      <c r="Q198" s="322">
        <f t="shared" si="21"/>
        <v>2.0931868440363783E-2</v>
      </c>
      <c r="R198" s="322">
        <f t="shared" si="21"/>
        <v>0</v>
      </c>
      <c r="S198" s="322">
        <f t="shared" si="21"/>
        <v>2.9241389483757756E-2</v>
      </c>
      <c r="T198" s="322">
        <f t="shared" si="21"/>
        <v>2.323969836041161E-2</v>
      </c>
      <c r="U198" s="322">
        <f t="shared" si="21"/>
        <v>1.9800596738969833E-2</v>
      </c>
      <c r="V198" s="322">
        <f t="shared" si="21"/>
        <v>1.8720988481562759E-2</v>
      </c>
      <c r="W198" s="322">
        <f t="shared" si="21"/>
        <v>0</v>
      </c>
      <c r="X198" s="322">
        <f t="shared" si="21"/>
        <v>1.3977151711495701E-2</v>
      </c>
      <c r="Y198" s="322">
        <f t="shared" si="21"/>
        <v>2.9525424305050896E-2</v>
      </c>
      <c r="Z198" s="322">
        <f t="shared" si="21"/>
        <v>5.3541103466038686E-2</v>
      </c>
      <c r="AA198" s="322">
        <f t="shared" si="21"/>
        <v>7.7394947741129951E-6</v>
      </c>
      <c r="AB198" s="322">
        <f t="shared" si="21"/>
        <v>2.9722310157336704E-2</v>
      </c>
      <c r="AC198" s="322">
        <f t="shared" si="21"/>
        <v>1.3977151711494204E-2</v>
      </c>
      <c r="AD198" s="322">
        <f t="shared" si="21"/>
        <v>1.3575211356154391E-2</v>
      </c>
      <c r="AE198" s="322">
        <f t="shared" si="21"/>
        <v>1.3977151711494204E-2</v>
      </c>
      <c r="AF198" s="322">
        <f t="shared" si="21"/>
        <v>1.3977151711494204E-2</v>
      </c>
      <c r="AG198" s="322">
        <f t="shared" si="21"/>
        <v>1.3977151711494204E-2</v>
      </c>
      <c r="AH198" s="322">
        <f t="shared" si="21"/>
        <v>1.3977151711494204E-2</v>
      </c>
      <c r="AI198" s="322">
        <f t="shared" si="21"/>
        <v>1.3575211356154391E-2</v>
      </c>
      <c r="AJ198" s="322">
        <f t="shared" si="21"/>
        <v>1.3575211356154391E-2</v>
      </c>
      <c r="AK198" s="322">
        <f t="shared" si="21"/>
        <v>1.3575211356154391E-2</v>
      </c>
      <c r="AL198" s="322">
        <f t="shared" si="21"/>
        <v>1.3575211356154391E-2</v>
      </c>
      <c r="AM198" s="322">
        <f t="shared" si="21"/>
        <v>8.7092917317562139E-3</v>
      </c>
      <c r="AN198" s="322">
        <f t="shared" si="21"/>
        <v>8.7092917317562139E-3</v>
      </c>
      <c r="AO198" s="322">
        <f t="shared" si="21"/>
        <v>8.7092917317562139E-3</v>
      </c>
      <c r="AP198" s="322">
        <f t="shared" si="21"/>
        <v>8.7092917317562139E-3</v>
      </c>
      <c r="AQ198" s="304"/>
      <c r="AR198" s="304"/>
    </row>
    <row r="199" spans="4:44" x14ac:dyDescent="0.25">
      <c r="F199" t="s">
        <v>233</v>
      </c>
      <c r="G199" t="s">
        <v>331</v>
      </c>
      <c r="H199" s="304"/>
      <c r="I199" s="304"/>
      <c r="J199" s="322">
        <f t="shared" ref="J199:AP199" si="22">ABS(J129 + J164)*(1-J86)*PowerFactor*$H27</f>
        <v>2.6254392367182295E-3</v>
      </c>
      <c r="K199" s="322">
        <f t="shared" si="22"/>
        <v>2.1688970707868798E-3</v>
      </c>
      <c r="L199" s="322">
        <f t="shared" si="22"/>
        <v>0</v>
      </c>
      <c r="M199" s="322">
        <f t="shared" si="22"/>
        <v>2.0980053309818374E-3</v>
      </c>
      <c r="N199" s="322">
        <f t="shared" si="22"/>
        <v>1.8922323511170751E-3</v>
      </c>
      <c r="O199" s="322">
        <f t="shared" si="22"/>
        <v>0</v>
      </c>
      <c r="P199" s="322">
        <f t="shared" si="22"/>
        <v>1.814798103742239E-3</v>
      </c>
      <c r="Q199" s="322">
        <f t="shared" si="22"/>
        <v>1.7626100321132875E-3</v>
      </c>
      <c r="R199" s="322">
        <f t="shared" si="22"/>
        <v>0</v>
      </c>
      <c r="S199" s="322">
        <f t="shared" si="22"/>
        <v>2.462329944593692E-3</v>
      </c>
      <c r="T199" s="322">
        <f t="shared" si="22"/>
        <v>1.9569454867372706E-3</v>
      </c>
      <c r="U199" s="322">
        <f t="shared" si="22"/>
        <v>1.6673490258823417E-3</v>
      </c>
      <c r="V199" s="322">
        <f t="shared" si="22"/>
        <v>1.5764384437391551E-3</v>
      </c>
      <c r="W199" s="322">
        <f t="shared" si="22"/>
        <v>0</v>
      </c>
      <c r="X199" s="322">
        <f t="shared" si="22"/>
        <v>1.1769741386079323E-3</v>
      </c>
      <c r="Y199" s="322">
        <f t="shared" si="22"/>
        <v>2.4862476673190746E-3</v>
      </c>
      <c r="Z199" s="322">
        <f t="shared" si="22"/>
        <v>4.50853617623899E-3</v>
      </c>
      <c r="AA199" s="322">
        <f t="shared" si="22"/>
        <v>6.5171970534814066E-7</v>
      </c>
      <c r="AB199" s="322">
        <f t="shared" si="22"/>
        <v>2.5028268360353717E-3</v>
      </c>
      <c r="AC199" s="322">
        <f t="shared" si="22"/>
        <v>1.1769741386078066E-3</v>
      </c>
      <c r="AD199" s="322">
        <f t="shared" si="22"/>
        <v>1.1431279435272479E-3</v>
      </c>
      <c r="AE199" s="322">
        <f t="shared" si="22"/>
        <v>1.1769741386078066E-3</v>
      </c>
      <c r="AF199" s="322">
        <f t="shared" si="22"/>
        <v>1.1769741386078066E-3</v>
      </c>
      <c r="AG199" s="322">
        <f t="shared" si="22"/>
        <v>1.1769741386078066E-3</v>
      </c>
      <c r="AH199" s="322">
        <f t="shared" si="22"/>
        <v>1.1769741386078066E-3</v>
      </c>
      <c r="AI199" s="322">
        <f t="shared" si="22"/>
        <v>1.1431279435272479E-3</v>
      </c>
      <c r="AJ199" s="322">
        <f t="shared" si="22"/>
        <v>1.1431279435272479E-3</v>
      </c>
      <c r="AK199" s="322">
        <f t="shared" si="22"/>
        <v>1.1431279435272479E-3</v>
      </c>
      <c r="AL199" s="322">
        <f t="shared" si="22"/>
        <v>1.1431279435272479E-3</v>
      </c>
      <c r="AM199" s="322">
        <f t="shared" si="22"/>
        <v>7.3338340639446603E-4</v>
      </c>
      <c r="AN199" s="322">
        <f t="shared" si="22"/>
        <v>7.3338340639446603E-4</v>
      </c>
      <c r="AO199" s="322">
        <f t="shared" si="22"/>
        <v>7.3338340639446603E-4</v>
      </c>
      <c r="AP199" s="322">
        <f t="shared" si="22"/>
        <v>7.3338340639446603E-4</v>
      </c>
      <c r="AQ199" s="304"/>
      <c r="AR199" s="304"/>
    </row>
    <row r="200" spans="4:44" x14ac:dyDescent="0.25">
      <c r="F200" t="s">
        <v>234</v>
      </c>
      <c r="G200" t="s">
        <v>331</v>
      </c>
      <c r="H200" s="304"/>
      <c r="I200" s="304"/>
      <c r="J200" s="322">
        <f t="shared" ref="J200:AP200" si="23">ABS(J130 + J165)*(1-J87)*PowerFactor*$H28</f>
        <v>3.7413672636024742E-2</v>
      </c>
      <c r="K200" s="322">
        <f t="shared" si="23"/>
        <v>3.0907744446253282E-2</v>
      </c>
      <c r="L200" s="322">
        <f t="shared" si="23"/>
        <v>0</v>
      </c>
      <c r="M200" s="322">
        <f t="shared" si="23"/>
        <v>2.9897505737023256E-2</v>
      </c>
      <c r="N200" s="322">
        <f t="shared" si="23"/>
        <v>2.6965149581783164E-2</v>
      </c>
      <c r="O200" s="322">
        <f t="shared" si="23"/>
        <v>0</v>
      </c>
      <c r="P200" s="322">
        <f t="shared" si="23"/>
        <v>2.5861677240248258E-2</v>
      </c>
      <c r="Q200" s="322">
        <f t="shared" si="23"/>
        <v>2.511797409140995E-2</v>
      </c>
      <c r="R200" s="322">
        <f t="shared" si="23"/>
        <v>0</v>
      </c>
      <c r="S200" s="322">
        <f t="shared" si="23"/>
        <v>3.5089292938298704E-2</v>
      </c>
      <c r="T200" s="322">
        <f t="shared" si="23"/>
        <v>2.7887340443214448E-2</v>
      </c>
      <c r="U200" s="322">
        <f t="shared" si="23"/>
        <v>1.900837002872954E-2</v>
      </c>
      <c r="V200" s="322">
        <f t="shared" si="23"/>
        <v>0</v>
      </c>
      <c r="W200" s="322">
        <f t="shared" si="23"/>
        <v>0</v>
      </c>
      <c r="X200" s="322">
        <f t="shared" si="23"/>
        <v>1.6772403073394903E-2</v>
      </c>
      <c r="Y200" s="322">
        <f t="shared" si="23"/>
        <v>3.5430131086724201E-2</v>
      </c>
      <c r="Z200" s="322">
        <f t="shared" si="23"/>
        <v>6.4248638554030915E-2</v>
      </c>
      <c r="AA200" s="322">
        <f t="shared" si="23"/>
        <v>9.2872946230591895E-6</v>
      </c>
      <c r="AB200" s="322">
        <f t="shared" si="23"/>
        <v>3.5666391588301961E-2</v>
      </c>
      <c r="AC200" s="322">
        <f t="shared" si="23"/>
        <v>1.6772403073393106E-2</v>
      </c>
      <c r="AD200" s="322">
        <f t="shared" si="23"/>
        <v>1.6290079793917046E-2</v>
      </c>
      <c r="AE200" s="322">
        <f t="shared" si="23"/>
        <v>1.6772403073393106E-2</v>
      </c>
      <c r="AF200" s="322">
        <f t="shared" si="23"/>
        <v>1.6772403073393106E-2</v>
      </c>
      <c r="AG200" s="322">
        <f t="shared" si="23"/>
        <v>1.6772403073393106E-2</v>
      </c>
      <c r="AH200" s="322">
        <f t="shared" si="23"/>
        <v>1.6772403073393106E-2</v>
      </c>
      <c r="AI200" s="322">
        <f t="shared" si="23"/>
        <v>1.6290079793917046E-2</v>
      </c>
      <c r="AJ200" s="322">
        <f t="shared" si="23"/>
        <v>1.6290079793917046E-2</v>
      </c>
      <c r="AK200" s="322">
        <f t="shared" si="23"/>
        <v>1.6290079793917046E-2</v>
      </c>
      <c r="AL200" s="322">
        <f t="shared" si="23"/>
        <v>1.6290079793917046E-2</v>
      </c>
      <c r="AM200" s="322">
        <f t="shared" si="23"/>
        <v>1.120756639299806E-2</v>
      </c>
      <c r="AN200" s="322">
        <f t="shared" si="23"/>
        <v>1.120756639299806E-2</v>
      </c>
      <c r="AO200" s="322">
        <f t="shared" si="23"/>
        <v>1.120756639299806E-2</v>
      </c>
      <c r="AP200" s="322">
        <f t="shared" si="23"/>
        <v>1.120756639299806E-2</v>
      </c>
      <c r="AQ200" s="304"/>
      <c r="AR200" s="304"/>
    </row>
    <row r="201" spans="4:44" x14ac:dyDescent="0.25">
      <c r="F201" t="s">
        <v>235</v>
      </c>
      <c r="G201" t="s">
        <v>331</v>
      </c>
      <c r="H201" s="304"/>
      <c r="I201" s="304"/>
      <c r="J201" s="322">
        <f t="shared" ref="J201:AP201" si="24">ABS(J131 + J166)*(1-J88)*PowerFactor*$H29</f>
        <v>9.5706392104109618E-3</v>
      </c>
      <c r="K201" s="322">
        <f t="shared" si="24"/>
        <v>7.9063842189565688E-3</v>
      </c>
      <c r="L201" s="322">
        <f t="shared" si="24"/>
        <v>0</v>
      </c>
      <c r="M201" s="322">
        <f t="shared" si="24"/>
        <v>7.6479591694701898E-3</v>
      </c>
      <c r="N201" s="322">
        <f t="shared" si="24"/>
        <v>6.8978450849414242E-3</v>
      </c>
      <c r="O201" s="322">
        <f t="shared" si="24"/>
        <v>0</v>
      </c>
      <c r="P201" s="322">
        <f t="shared" si="24"/>
        <v>6.6155703197175175E-3</v>
      </c>
      <c r="Q201" s="322">
        <f t="shared" si="24"/>
        <v>0</v>
      </c>
      <c r="R201" s="322">
        <f t="shared" si="24"/>
        <v>0</v>
      </c>
      <c r="S201" s="322">
        <f t="shared" si="24"/>
        <v>8.9760491071790224E-3</v>
      </c>
      <c r="T201" s="322">
        <f t="shared" si="24"/>
        <v>7.1337469731029878E-3</v>
      </c>
      <c r="U201" s="322">
        <f t="shared" si="24"/>
        <v>0</v>
      </c>
      <c r="V201" s="322">
        <f t="shared" si="24"/>
        <v>0</v>
      </c>
      <c r="W201" s="322">
        <f t="shared" si="24"/>
        <v>0</v>
      </c>
      <c r="X201" s="322">
        <f t="shared" si="24"/>
        <v>4.2904801158838149E-3</v>
      </c>
      <c r="Y201" s="322">
        <f t="shared" si="24"/>
        <v>9.0632375256873912E-3</v>
      </c>
      <c r="Z201" s="322">
        <f t="shared" si="24"/>
        <v>1.6435182542562165E-2</v>
      </c>
      <c r="AA201" s="322">
        <f t="shared" si="24"/>
        <v>2.375745010194577E-6</v>
      </c>
      <c r="AB201" s="322">
        <f t="shared" si="24"/>
        <v>9.1236743623024155E-3</v>
      </c>
      <c r="AC201" s="322">
        <f t="shared" si="24"/>
        <v>4.290480115883356E-3</v>
      </c>
      <c r="AD201" s="322">
        <f t="shared" si="24"/>
        <v>4.1670989622726098E-3</v>
      </c>
      <c r="AE201" s="322">
        <f t="shared" si="24"/>
        <v>4.290480115883356E-3</v>
      </c>
      <c r="AF201" s="322">
        <f t="shared" si="24"/>
        <v>4.290480115883356E-3</v>
      </c>
      <c r="AG201" s="322">
        <f t="shared" si="24"/>
        <v>4.290480115883356E-3</v>
      </c>
      <c r="AH201" s="322">
        <f t="shared" si="24"/>
        <v>4.290480115883356E-3</v>
      </c>
      <c r="AI201" s="322">
        <f t="shared" si="24"/>
        <v>4.1670989622726098E-3</v>
      </c>
      <c r="AJ201" s="322">
        <f t="shared" si="24"/>
        <v>4.1670989622726098E-3</v>
      </c>
      <c r="AK201" s="322">
        <f t="shared" si="24"/>
        <v>4.1670989622726098E-3</v>
      </c>
      <c r="AL201" s="322">
        <f t="shared" si="24"/>
        <v>4.1670989622726098E-3</v>
      </c>
      <c r="AM201" s="322">
        <f t="shared" si="24"/>
        <v>0</v>
      </c>
      <c r="AN201" s="322">
        <f t="shared" si="24"/>
        <v>0</v>
      </c>
      <c r="AO201" s="322">
        <f t="shared" si="24"/>
        <v>0</v>
      </c>
      <c r="AP201" s="322">
        <f t="shared" si="24"/>
        <v>0</v>
      </c>
      <c r="AQ201" s="304"/>
      <c r="AR201" s="304"/>
    </row>
    <row r="202" spans="4:44" x14ac:dyDescent="0.25">
      <c r="F202" t="s">
        <v>236</v>
      </c>
      <c r="G202" t="s">
        <v>331</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1.8005767397088566E-3</v>
      </c>
      <c r="Y202" s="322">
        <f t="shared" si="25"/>
        <v>3.8035497740204626E-3</v>
      </c>
      <c r="Z202" s="322">
        <f t="shared" si="25"/>
        <v>6.8973183885530148E-3</v>
      </c>
      <c r="AA202" s="322">
        <f t="shared" si="25"/>
        <v>9.9702389692920236E-7</v>
      </c>
      <c r="AB202" s="322">
        <f t="shared" si="25"/>
        <v>3.8289131737546155E-3</v>
      </c>
      <c r="AC202" s="322">
        <f t="shared" si="25"/>
        <v>1.8005767397086645E-3</v>
      </c>
      <c r="AD202" s="322">
        <f t="shared" si="25"/>
        <v>0</v>
      </c>
      <c r="AE202" s="322">
        <f t="shared" si="25"/>
        <v>1.8005767397086645E-3</v>
      </c>
      <c r="AF202" s="322">
        <f t="shared" si="25"/>
        <v>1.8005767397086645E-3</v>
      </c>
      <c r="AG202" s="322">
        <f t="shared" si="25"/>
        <v>1.8005767397086645E-3</v>
      </c>
      <c r="AH202" s="322">
        <f t="shared" si="25"/>
        <v>1.8005767397086645E-3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437</v>
      </c>
      <c r="G203" t="s">
        <v>331</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438</v>
      </c>
      <c r="G204" s="37" t="s">
        <v>331</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735</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226</v>
      </c>
      <c r="G207" s="23" t="s">
        <v>331</v>
      </c>
      <c r="H207" s="302"/>
      <c r="I207" s="302"/>
      <c r="J207" s="321">
        <f t="shared" ref="J207:AP207" si="26">ABS(J137 + J172)*(1-J81)*PowerFactor*$H22</f>
        <v>1.4979749158340688E-2</v>
      </c>
      <c r="K207" s="321">
        <f t="shared" si="26"/>
        <v>1.2374894690481928E-2</v>
      </c>
      <c r="L207" s="321">
        <f t="shared" si="26"/>
        <v>0</v>
      </c>
      <c r="M207" s="321">
        <f t="shared" si="26"/>
        <v>1.1970413617438586E-2</v>
      </c>
      <c r="N207" s="321">
        <f t="shared" si="26"/>
        <v>1.0796351929463117E-2</v>
      </c>
      <c r="O207" s="321">
        <f t="shared" si="26"/>
        <v>0</v>
      </c>
      <c r="P207" s="321">
        <f t="shared" si="26"/>
        <v>1.0354541817952074E-2</v>
      </c>
      <c r="Q207" s="321">
        <f t="shared" si="26"/>
        <v>1.0056776700738236E-2</v>
      </c>
      <c r="R207" s="321">
        <f t="shared" si="26"/>
        <v>1.0150442306911459E-2</v>
      </c>
      <c r="S207" s="321">
        <f t="shared" si="26"/>
        <v>1.4049110106692235E-2</v>
      </c>
      <c r="T207" s="321">
        <f t="shared" si="26"/>
        <v>1.1165580257158841E-2</v>
      </c>
      <c r="U207" s="321">
        <f t="shared" si="26"/>
        <v>9.5132539415924509E-3</v>
      </c>
      <c r="V207" s="321">
        <f t="shared" si="26"/>
        <v>8.9945530334556798E-3</v>
      </c>
      <c r="W207" s="321">
        <f t="shared" si="26"/>
        <v>7.2954261459198047E-3</v>
      </c>
      <c r="X207" s="321">
        <f t="shared" si="26"/>
        <v>6.7153629440836766E-3</v>
      </c>
      <c r="Y207" s="321">
        <f t="shared" si="26"/>
        <v>1.4185575457653024E-2</v>
      </c>
      <c r="Z207" s="321">
        <f t="shared" si="26"/>
        <v>2.5723977933606545E-2</v>
      </c>
      <c r="AA207" s="321">
        <f t="shared" si="26"/>
        <v>3.7184626370808683E-6</v>
      </c>
      <c r="AB207" s="321">
        <f t="shared" si="26"/>
        <v>1.4280169834529323E-2</v>
      </c>
      <c r="AC207" s="321">
        <f t="shared" si="26"/>
        <v>6.7153629440829593E-3</v>
      </c>
      <c r="AD207" s="321">
        <f t="shared" si="26"/>
        <v>6.5222495384553401E-3</v>
      </c>
      <c r="AE207" s="321">
        <f t="shared" si="26"/>
        <v>6.7153629440829593E-3</v>
      </c>
      <c r="AF207" s="321">
        <f t="shared" si="26"/>
        <v>6.7153629440829593E-3</v>
      </c>
      <c r="AG207" s="321">
        <f t="shared" si="26"/>
        <v>6.7153629440829593E-3</v>
      </c>
      <c r="AH207" s="321">
        <f t="shared" si="26"/>
        <v>6.7153629440829593E-3</v>
      </c>
      <c r="AI207" s="321">
        <f t="shared" si="26"/>
        <v>6.5222495384553401E-3</v>
      </c>
      <c r="AJ207" s="321">
        <f t="shared" si="26"/>
        <v>6.5222495384553401E-3</v>
      </c>
      <c r="AK207" s="321">
        <f t="shared" si="26"/>
        <v>6.5222495384553401E-3</v>
      </c>
      <c r="AL207" s="321">
        <f t="shared" si="26"/>
        <v>6.5222495384553401E-3</v>
      </c>
      <c r="AM207" s="321">
        <f t="shared" si="26"/>
        <v>6.453725426781025E-3</v>
      </c>
      <c r="AN207" s="321">
        <f t="shared" si="26"/>
        <v>6.453725426781025E-3</v>
      </c>
      <c r="AO207" s="321">
        <f t="shared" si="26"/>
        <v>6.453725426781025E-3</v>
      </c>
      <c r="AP207" s="321">
        <f t="shared" si="26"/>
        <v>6.453725426781025E-3</v>
      </c>
      <c r="AQ207" s="304"/>
      <c r="AR207" s="304"/>
    </row>
    <row r="208" spans="4:44" x14ac:dyDescent="0.25">
      <c r="F208" t="s">
        <v>228</v>
      </c>
      <c r="G208" t="s">
        <v>331</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229</v>
      </c>
      <c r="G209" t="s">
        <v>331</v>
      </c>
      <c r="H209" s="304"/>
      <c r="I209" s="304"/>
      <c r="J209" s="322">
        <f t="shared" ref="J209:AP209" si="28">ABS(J139 + J174)*(1-J82)*PowerFactor*$H23</f>
        <v>1.6484007260899613E-2</v>
      </c>
      <c r="K209" s="322">
        <f t="shared" si="28"/>
        <v>1.3617574752057328E-2</v>
      </c>
      <c r="L209" s="322">
        <f t="shared" si="28"/>
        <v>0</v>
      </c>
      <c r="M209" s="322">
        <f t="shared" si="28"/>
        <v>1.3172475913988299E-2</v>
      </c>
      <c r="N209" s="322">
        <f t="shared" si="28"/>
        <v>1.1880515602452919E-2</v>
      </c>
      <c r="O209" s="322">
        <f t="shared" si="28"/>
        <v>0</v>
      </c>
      <c r="P209" s="322">
        <f t="shared" si="28"/>
        <v>1.1394339164576332E-2</v>
      </c>
      <c r="Q209" s="322">
        <f t="shared" si="28"/>
        <v>1.1066672639435452E-2</v>
      </c>
      <c r="R209" s="322">
        <f t="shared" si="28"/>
        <v>1.1002098873077626E-2</v>
      </c>
      <c r="S209" s="322">
        <f t="shared" si="28"/>
        <v>1.5459913951826531E-2</v>
      </c>
      <c r="T209" s="322">
        <f t="shared" si="28"/>
        <v>1.2286821634038053E-2</v>
      </c>
      <c r="U209" s="322">
        <f t="shared" si="28"/>
        <v>1.0468569626259512E-2</v>
      </c>
      <c r="V209" s="322">
        <f t="shared" si="28"/>
        <v>9.897781060604462E-3</v>
      </c>
      <c r="W209" s="322">
        <f t="shared" si="28"/>
        <v>7.907537164562049E-3</v>
      </c>
      <c r="X209" s="322">
        <f t="shared" si="28"/>
        <v>7.3897159665197868E-3</v>
      </c>
      <c r="Y209" s="322">
        <f t="shared" si="28"/>
        <v>1.5610083077645725E-2</v>
      </c>
      <c r="Z209" s="322">
        <f t="shared" si="28"/>
        <v>2.8307165530918818E-2</v>
      </c>
      <c r="AA209" s="322">
        <f t="shared" si="28"/>
        <v>4.0918685927992291E-6</v>
      </c>
      <c r="AB209" s="322">
        <f t="shared" si="28"/>
        <v>1.5714176569384938E-2</v>
      </c>
      <c r="AC209" s="322">
        <f t="shared" si="28"/>
        <v>7.3897159665189966E-3</v>
      </c>
      <c r="AD209" s="322">
        <f t="shared" si="28"/>
        <v>7.1772102198009169E-3</v>
      </c>
      <c r="AE209" s="322">
        <f t="shared" si="28"/>
        <v>7.3897159665189966E-3</v>
      </c>
      <c r="AF209" s="322">
        <f t="shared" si="28"/>
        <v>7.3897159665189966E-3</v>
      </c>
      <c r="AG209" s="322">
        <f t="shared" si="28"/>
        <v>7.3897159665189966E-3</v>
      </c>
      <c r="AH209" s="322">
        <f t="shared" si="28"/>
        <v>7.3897159665189966E-3</v>
      </c>
      <c r="AI209" s="322">
        <f t="shared" si="28"/>
        <v>7.1772102198009169E-3</v>
      </c>
      <c r="AJ209" s="322">
        <f t="shared" si="28"/>
        <v>7.1772102198009169E-3</v>
      </c>
      <c r="AK209" s="322">
        <f t="shared" si="28"/>
        <v>7.1772102198009169E-3</v>
      </c>
      <c r="AL209" s="322">
        <f t="shared" si="28"/>
        <v>7.1772102198009169E-3</v>
      </c>
      <c r="AM209" s="322">
        <f t="shared" si="28"/>
        <v>7.1018049548364371E-3</v>
      </c>
      <c r="AN209" s="322">
        <f t="shared" si="28"/>
        <v>7.1018049548364371E-3</v>
      </c>
      <c r="AO209" s="322">
        <f t="shared" si="28"/>
        <v>7.1018049548364371E-3</v>
      </c>
      <c r="AP209" s="322">
        <f t="shared" si="28"/>
        <v>7.1018049548364371E-3</v>
      </c>
      <c r="AQ209" s="304"/>
      <c r="AR209" s="304"/>
    </row>
    <row r="210" spans="3:44" x14ac:dyDescent="0.25">
      <c r="F210" t="s">
        <v>230</v>
      </c>
      <c r="G210" t="s">
        <v>331</v>
      </c>
      <c r="H210" s="304"/>
      <c r="I210" s="304"/>
      <c r="J210" s="322">
        <f t="shared" ref="J210:AP210" si="29">ABS(J140 + J175)*(1-J83)*PowerFactor*$H24</f>
        <v>8.6127399820654926E-3</v>
      </c>
      <c r="K210" s="322">
        <f t="shared" si="29"/>
        <v>7.1150557427872036E-3</v>
      </c>
      <c r="L210" s="322">
        <f t="shared" si="29"/>
        <v>0</v>
      </c>
      <c r="M210" s="322">
        <f t="shared" si="29"/>
        <v>6.8824957530994281E-3</v>
      </c>
      <c r="N210" s="322">
        <f t="shared" si="29"/>
        <v>6.2074585455633245E-3</v>
      </c>
      <c r="O210" s="322">
        <f t="shared" si="29"/>
        <v>0</v>
      </c>
      <c r="P210" s="322">
        <f t="shared" si="29"/>
        <v>5.9534358932698929E-3</v>
      </c>
      <c r="Q210" s="322">
        <f t="shared" si="29"/>
        <v>5.782233191329849E-3</v>
      </c>
      <c r="R210" s="322">
        <f t="shared" si="29"/>
        <v>5.8360870644958967E-3</v>
      </c>
      <c r="S210" s="322">
        <f t="shared" si="29"/>
        <v>8.0776607838573423E-3</v>
      </c>
      <c r="T210" s="322">
        <f t="shared" si="29"/>
        <v>6.4197496558377224E-3</v>
      </c>
      <c r="U210" s="322">
        <f t="shared" si="29"/>
        <v>5.4697299478258703E-3</v>
      </c>
      <c r="V210" s="322">
        <f t="shared" si="29"/>
        <v>5.1714982482813027E-3</v>
      </c>
      <c r="W210" s="322">
        <f t="shared" si="29"/>
        <v>4.1945701352538228E-3</v>
      </c>
      <c r="X210" s="322">
        <f t="shared" si="29"/>
        <v>3.8610576392987621E-3</v>
      </c>
      <c r="Y210" s="322">
        <f t="shared" si="29"/>
        <v>8.1561227508744703E-3</v>
      </c>
      <c r="Z210" s="322">
        <f t="shared" si="29"/>
        <v>1.4790229856631669E-2</v>
      </c>
      <c r="AA210" s="322">
        <f t="shared" si="29"/>
        <v>2.1379631586401431E-6</v>
      </c>
      <c r="AB210" s="322">
        <f t="shared" si="29"/>
        <v>8.2105106290151011E-3</v>
      </c>
      <c r="AC210" s="322">
        <f t="shared" si="29"/>
        <v>3.8610576392983493E-3</v>
      </c>
      <c r="AD210" s="322">
        <f t="shared" si="29"/>
        <v>3.7500253695226071E-3</v>
      </c>
      <c r="AE210" s="322">
        <f t="shared" si="29"/>
        <v>3.8610576392983493E-3</v>
      </c>
      <c r="AF210" s="322">
        <f t="shared" si="29"/>
        <v>3.8610576392983493E-3</v>
      </c>
      <c r="AG210" s="322">
        <f t="shared" si="29"/>
        <v>3.8610576392983493E-3</v>
      </c>
      <c r="AH210" s="322">
        <f t="shared" si="29"/>
        <v>3.8610576392983493E-3</v>
      </c>
      <c r="AI210" s="322">
        <f t="shared" si="29"/>
        <v>3.7500253695226071E-3</v>
      </c>
      <c r="AJ210" s="322">
        <f t="shared" si="29"/>
        <v>3.7500253695226071E-3</v>
      </c>
      <c r="AK210" s="322">
        <f t="shared" si="29"/>
        <v>3.7500253695226071E-3</v>
      </c>
      <c r="AL210" s="322">
        <f t="shared" si="29"/>
        <v>3.7500253695226071E-3</v>
      </c>
      <c r="AM210" s="322">
        <f t="shared" si="29"/>
        <v>3.7106268221828282E-3</v>
      </c>
      <c r="AN210" s="322">
        <f t="shared" si="29"/>
        <v>3.7106268221828282E-3</v>
      </c>
      <c r="AO210" s="322">
        <f t="shared" si="29"/>
        <v>3.7106268221828282E-3</v>
      </c>
      <c r="AP210" s="322">
        <f t="shared" si="29"/>
        <v>3.7106268221828282E-3</v>
      </c>
      <c r="AQ210" s="304"/>
      <c r="AR210" s="304"/>
    </row>
    <row r="211" spans="3:44" x14ac:dyDescent="0.25">
      <c r="F211" t="s">
        <v>231</v>
      </c>
      <c r="G211" t="s">
        <v>331</v>
      </c>
      <c r="H211" s="304"/>
      <c r="I211" s="304"/>
      <c r="J211" s="322">
        <f t="shared" ref="J211:AP211" si="30">ABS(J141 + J176)*(1-J84)*PowerFactor*$H25</f>
        <v>1.0639874122484839E-2</v>
      </c>
      <c r="K211" s="322">
        <f t="shared" si="30"/>
        <v>8.7896880244100525E-3</v>
      </c>
      <c r="L211" s="322">
        <f t="shared" si="30"/>
        <v>0</v>
      </c>
      <c r="M211" s="322">
        <f t="shared" si="30"/>
        <v>8.50239164470315E-3</v>
      </c>
      <c r="N211" s="322">
        <f t="shared" si="30"/>
        <v>7.6684745717236196E-3</v>
      </c>
      <c r="O211" s="322">
        <f t="shared" si="30"/>
        <v>0</v>
      </c>
      <c r="P211" s="322">
        <f t="shared" si="30"/>
        <v>7.3546639783131761E-3</v>
      </c>
      <c r="Q211" s="322">
        <f t="shared" si="30"/>
        <v>7.1431662201242082E-3</v>
      </c>
      <c r="R211" s="322">
        <f t="shared" si="30"/>
        <v>5.7677563110834192E-3</v>
      </c>
      <c r="S211" s="322">
        <f t="shared" si="30"/>
        <v>9.9788562203596311E-3</v>
      </c>
      <c r="T211" s="322">
        <f t="shared" si="30"/>
        <v>7.9307314952282888E-3</v>
      </c>
      <c r="U211" s="322">
        <f t="shared" si="30"/>
        <v>6.7571107742760471E-3</v>
      </c>
      <c r="V211" s="322">
        <f t="shared" si="30"/>
        <v>6.3886858886883658E-3</v>
      </c>
      <c r="W211" s="322">
        <f t="shared" si="30"/>
        <v>4.1454587812908188E-3</v>
      </c>
      <c r="X211" s="322">
        <f t="shared" si="30"/>
        <v>4.7698139439181454E-3</v>
      </c>
      <c r="Y211" s="322">
        <f t="shared" si="30"/>
        <v>1.0075785357220044E-2</v>
      </c>
      <c r="Z211" s="322">
        <f t="shared" si="30"/>
        <v>1.8271326458811618E-2</v>
      </c>
      <c r="AA211" s="322">
        <f t="shared" si="30"/>
        <v>2.6411640121272888E-6</v>
      </c>
      <c r="AB211" s="322">
        <f t="shared" si="30"/>
        <v>1.0142974216794394E-2</v>
      </c>
      <c r="AC211" s="322">
        <f t="shared" si="30"/>
        <v>4.7698139439176354E-3</v>
      </c>
      <c r="AD211" s="322">
        <f t="shared" si="30"/>
        <v>4.6326486078680559E-3</v>
      </c>
      <c r="AE211" s="322">
        <f t="shared" si="30"/>
        <v>4.7698139439176354E-3</v>
      </c>
      <c r="AF211" s="322">
        <f t="shared" si="30"/>
        <v>4.7698139439176354E-3</v>
      </c>
      <c r="AG211" s="322">
        <f t="shared" si="30"/>
        <v>4.7698139439176354E-3</v>
      </c>
      <c r="AH211" s="322">
        <f t="shared" si="30"/>
        <v>4.7698139439176354E-3</v>
      </c>
      <c r="AI211" s="322">
        <f t="shared" si="30"/>
        <v>4.6326486078680559E-3</v>
      </c>
      <c r="AJ211" s="322">
        <f t="shared" si="30"/>
        <v>4.6326486078680559E-3</v>
      </c>
      <c r="AK211" s="322">
        <f t="shared" si="30"/>
        <v>4.6326486078680559E-3</v>
      </c>
      <c r="AL211" s="322">
        <f t="shared" si="30"/>
        <v>4.6326486078680559E-3</v>
      </c>
      <c r="AM211" s="322">
        <f t="shared" si="30"/>
        <v>4.5839770370117534E-3</v>
      </c>
      <c r="AN211" s="322">
        <f t="shared" si="30"/>
        <v>4.5839770370117534E-3</v>
      </c>
      <c r="AO211" s="322">
        <f t="shared" si="30"/>
        <v>4.5839770370117534E-3</v>
      </c>
      <c r="AP211" s="322">
        <f t="shared" si="30"/>
        <v>4.5839770370117534E-3</v>
      </c>
      <c r="AQ211" s="304"/>
      <c r="AR211" s="304"/>
    </row>
    <row r="212" spans="3:44" x14ac:dyDescent="0.25">
      <c r="F212" t="s">
        <v>232</v>
      </c>
      <c r="G212" t="s">
        <v>331</v>
      </c>
      <c r="H212" s="304"/>
      <c r="I212" s="304"/>
      <c r="J212" s="322">
        <f t="shared" ref="J212:AP212" si="31">ABS(J142 + J177)*(1-J85)*PowerFactor*$H26</f>
        <v>1.7116518541351138E-2</v>
      </c>
      <c r="K212" s="322">
        <f t="shared" si="31"/>
        <v>1.4140097552899512E-2</v>
      </c>
      <c r="L212" s="322">
        <f t="shared" si="31"/>
        <v>0</v>
      </c>
      <c r="M212" s="322">
        <f t="shared" si="31"/>
        <v>1.367791973448677E-2</v>
      </c>
      <c r="N212" s="322">
        <f t="shared" si="31"/>
        <v>1.2336385344391007E-2</v>
      </c>
      <c r="O212" s="322">
        <f t="shared" si="31"/>
        <v>0</v>
      </c>
      <c r="P212" s="322">
        <f t="shared" si="31"/>
        <v>1.1831553729021499E-2</v>
      </c>
      <c r="Q212" s="322">
        <f t="shared" si="31"/>
        <v>1.1491314243307521E-2</v>
      </c>
      <c r="R212" s="322">
        <f t="shared" si="31"/>
        <v>0</v>
      </c>
      <c r="S212" s="322">
        <f t="shared" si="31"/>
        <v>1.6053129534334507E-2</v>
      </c>
      <c r="T212" s="322">
        <f t="shared" si="31"/>
        <v>1.2758281829451776E-2</v>
      </c>
      <c r="U212" s="322">
        <f t="shared" si="31"/>
        <v>1.0870261294674851E-2</v>
      </c>
      <c r="V212" s="322">
        <f t="shared" si="31"/>
        <v>1.0277570881925501E-2</v>
      </c>
      <c r="W212" s="322">
        <f t="shared" si="31"/>
        <v>0</v>
      </c>
      <c r="X212" s="322">
        <f t="shared" si="31"/>
        <v>7.6732682990429315E-3</v>
      </c>
      <c r="Y212" s="322">
        <f t="shared" si="31"/>
        <v>1.6209060830999225E-2</v>
      </c>
      <c r="Z212" s="322">
        <f t="shared" si="31"/>
        <v>2.9393345683143387E-2</v>
      </c>
      <c r="AA212" s="322">
        <f t="shared" si="31"/>
        <v>4.2488785359584989E-6</v>
      </c>
      <c r="AB212" s="322">
        <f t="shared" si="31"/>
        <v>1.6317148515819314E-2</v>
      </c>
      <c r="AC212" s="322">
        <f t="shared" si="31"/>
        <v>7.6732682990421101E-3</v>
      </c>
      <c r="AD212" s="322">
        <f t="shared" si="31"/>
        <v>7.4526084499972984E-3</v>
      </c>
      <c r="AE212" s="322">
        <f t="shared" si="31"/>
        <v>7.6732682990421101E-3</v>
      </c>
      <c r="AF212" s="322">
        <f t="shared" si="31"/>
        <v>7.6732682990421101E-3</v>
      </c>
      <c r="AG212" s="322">
        <f t="shared" si="31"/>
        <v>7.6732682990421101E-3</v>
      </c>
      <c r="AH212" s="322">
        <f t="shared" si="31"/>
        <v>7.6732682990421101E-3</v>
      </c>
      <c r="AI212" s="322">
        <f t="shared" si="31"/>
        <v>7.4526084499972984E-3</v>
      </c>
      <c r="AJ212" s="322">
        <f t="shared" si="31"/>
        <v>7.4526084499972984E-3</v>
      </c>
      <c r="AK212" s="322">
        <f t="shared" si="31"/>
        <v>7.4526084499972984E-3</v>
      </c>
      <c r="AL212" s="322">
        <f t="shared" si="31"/>
        <v>7.4526084499972984E-3</v>
      </c>
      <c r="AM212" s="322">
        <f t="shared" si="31"/>
        <v>7.3743097938846255E-3</v>
      </c>
      <c r="AN212" s="322">
        <f t="shared" si="31"/>
        <v>7.3743097938846255E-3</v>
      </c>
      <c r="AO212" s="322">
        <f t="shared" si="31"/>
        <v>7.3743097938846255E-3</v>
      </c>
      <c r="AP212" s="322">
        <f t="shared" si="31"/>
        <v>7.3743097938846255E-3</v>
      </c>
      <c r="AQ212" s="304"/>
      <c r="AR212" s="304"/>
    </row>
    <row r="213" spans="3:44" x14ac:dyDescent="0.25">
      <c r="F213" t="s">
        <v>233</v>
      </c>
      <c r="G213" t="s">
        <v>331</v>
      </c>
      <c r="H213" s="304"/>
      <c r="I213" s="304"/>
      <c r="J213" s="322">
        <f t="shared" ref="J213:AP213" si="32">ABS(J143 + J178)*(1-J86)*PowerFactor*$H27</f>
        <v>1.4413308291992249E-3</v>
      </c>
      <c r="K213" s="322">
        <f t="shared" si="32"/>
        <v>1.1906953205257237E-3</v>
      </c>
      <c r="L213" s="322">
        <f t="shared" si="32"/>
        <v>0</v>
      </c>
      <c r="M213" s="322">
        <f t="shared" si="32"/>
        <v>1.1517767088558917E-3</v>
      </c>
      <c r="N213" s="322">
        <f t="shared" si="32"/>
        <v>1.0388101105254714E-3</v>
      </c>
      <c r="O213" s="322">
        <f t="shared" si="32"/>
        <v>0</v>
      </c>
      <c r="P213" s="322">
        <f t="shared" si="32"/>
        <v>9.962997501955556E-4</v>
      </c>
      <c r="Q213" s="322">
        <f t="shared" si="32"/>
        <v>9.6764920079290032E-4</v>
      </c>
      <c r="R213" s="322">
        <f t="shared" si="32"/>
        <v>0</v>
      </c>
      <c r="S213" s="322">
        <f t="shared" si="32"/>
        <v>1.3517860216180663E-3</v>
      </c>
      <c r="T213" s="322">
        <f t="shared" si="32"/>
        <v>1.0743367515991108E-3</v>
      </c>
      <c r="U213" s="322">
        <f t="shared" si="32"/>
        <v>9.1535218961818023E-4</v>
      </c>
      <c r="V213" s="322">
        <f t="shared" si="32"/>
        <v>8.6544350275509691E-4</v>
      </c>
      <c r="W213" s="322">
        <f t="shared" si="32"/>
        <v>0</v>
      </c>
      <c r="X213" s="322">
        <f t="shared" si="32"/>
        <v>6.4614297197230423E-4</v>
      </c>
      <c r="Y213" s="322">
        <f t="shared" si="32"/>
        <v>1.3649165297045622E-3</v>
      </c>
      <c r="Z213" s="322">
        <f t="shared" si="32"/>
        <v>2.4751257216282184E-3</v>
      </c>
      <c r="AA213" s="322">
        <f t="shared" si="32"/>
        <v>3.5778535270505048E-7</v>
      </c>
      <c r="AB213" s="322">
        <f t="shared" si="32"/>
        <v>1.3740182703425078E-3</v>
      </c>
      <c r="AC213" s="322">
        <f t="shared" si="32"/>
        <v>6.4614297197223517E-4</v>
      </c>
      <c r="AD213" s="322">
        <f t="shared" si="32"/>
        <v>6.2756186609919291E-4</v>
      </c>
      <c r="AE213" s="322">
        <f t="shared" si="32"/>
        <v>6.4614297197223517E-4</v>
      </c>
      <c r="AF213" s="322">
        <f t="shared" si="32"/>
        <v>6.4614297197223517E-4</v>
      </c>
      <c r="AG213" s="322">
        <f t="shared" si="32"/>
        <v>6.4614297197223517E-4</v>
      </c>
      <c r="AH213" s="322">
        <f t="shared" si="32"/>
        <v>6.4614297197223517E-4</v>
      </c>
      <c r="AI213" s="322">
        <f t="shared" si="32"/>
        <v>6.2756186609919291E-4</v>
      </c>
      <c r="AJ213" s="322">
        <f t="shared" si="32"/>
        <v>6.2756186609919291E-4</v>
      </c>
      <c r="AK213" s="322">
        <f t="shared" si="32"/>
        <v>6.2756186609919291E-4</v>
      </c>
      <c r="AL213" s="322">
        <f t="shared" si="32"/>
        <v>6.2756186609919291E-4</v>
      </c>
      <c r="AM213" s="322">
        <f t="shared" si="32"/>
        <v>6.2096857046682336E-4</v>
      </c>
      <c r="AN213" s="322">
        <f t="shared" si="32"/>
        <v>6.2096857046682336E-4</v>
      </c>
      <c r="AO213" s="322">
        <f t="shared" si="32"/>
        <v>6.2096857046682336E-4</v>
      </c>
      <c r="AP213" s="322">
        <f t="shared" si="32"/>
        <v>6.2096857046682336E-4</v>
      </c>
      <c r="AQ213" s="304"/>
      <c r="AR213" s="304"/>
    </row>
    <row r="214" spans="3:44" x14ac:dyDescent="0.25">
      <c r="F214" t="s">
        <v>234</v>
      </c>
      <c r="G214" t="s">
        <v>331</v>
      </c>
      <c r="H214" s="304"/>
      <c r="I214" s="304"/>
      <c r="J214" s="322">
        <f t="shared" ref="J214:AP214" si="33">ABS(J144 + J179)*(1-J87)*PowerFactor*$H28</f>
        <v>3.9433528201801002E-2</v>
      </c>
      <c r="K214" s="322">
        <f t="shared" si="33"/>
        <v>3.2576363837155932E-2</v>
      </c>
      <c r="L214" s="322">
        <f t="shared" si="33"/>
        <v>0</v>
      </c>
      <c r="M214" s="322">
        <f t="shared" si="33"/>
        <v>3.1511585272952246E-2</v>
      </c>
      <c r="N214" s="322">
        <f t="shared" si="33"/>
        <v>2.8420919722143841E-2</v>
      </c>
      <c r="O214" s="322">
        <f t="shared" si="33"/>
        <v>0</v>
      </c>
      <c r="P214" s="322">
        <f t="shared" si="33"/>
        <v>2.7257874112504181E-2</v>
      </c>
      <c r="Q214" s="322">
        <f t="shared" si="33"/>
        <v>2.6474020589788382E-2</v>
      </c>
      <c r="R214" s="322">
        <f t="shared" si="33"/>
        <v>0</v>
      </c>
      <c r="S214" s="322">
        <f t="shared" si="33"/>
        <v>3.6983661992362978E-2</v>
      </c>
      <c r="T214" s="322">
        <f t="shared" si="33"/>
        <v>2.9392896990867747E-2</v>
      </c>
      <c r="U214" s="322">
        <f t="shared" si="33"/>
        <v>2.0034576741242843E-2</v>
      </c>
      <c r="V214" s="322">
        <f t="shared" si="33"/>
        <v>0</v>
      </c>
      <c r="W214" s="322">
        <f t="shared" si="33"/>
        <v>0</v>
      </c>
      <c r="X214" s="322">
        <f t="shared" si="33"/>
        <v>1.7677896421476942E-2</v>
      </c>
      <c r="Y214" s="322">
        <f t="shared" si="33"/>
        <v>3.7342901002896375E-2</v>
      </c>
      <c r="Z214" s="322">
        <f t="shared" si="33"/>
        <v>6.7717236022111368E-2</v>
      </c>
      <c r="AA214" s="322">
        <f t="shared" si="33"/>
        <v>9.7886886967681543E-6</v>
      </c>
      <c r="AB214" s="322">
        <f t="shared" si="33"/>
        <v>3.7591916523039871E-2</v>
      </c>
      <c r="AC214" s="322">
        <f t="shared" si="33"/>
        <v>1.7677896421475051E-2</v>
      </c>
      <c r="AD214" s="322">
        <f t="shared" si="33"/>
        <v>1.7169533908427067E-2</v>
      </c>
      <c r="AE214" s="322">
        <f t="shared" si="33"/>
        <v>1.7677896421475051E-2</v>
      </c>
      <c r="AF214" s="322">
        <f t="shared" si="33"/>
        <v>1.7677896421475051E-2</v>
      </c>
      <c r="AG214" s="322">
        <f t="shared" si="33"/>
        <v>1.7677896421475051E-2</v>
      </c>
      <c r="AH214" s="322">
        <f t="shared" si="33"/>
        <v>1.7677896421475051E-2</v>
      </c>
      <c r="AI214" s="322">
        <f t="shared" si="33"/>
        <v>1.7169533908427067E-2</v>
      </c>
      <c r="AJ214" s="322">
        <f t="shared" si="33"/>
        <v>1.7169533908427067E-2</v>
      </c>
      <c r="AK214" s="322">
        <f t="shared" si="33"/>
        <v>1.7169533908427067E-2</v>
      </c>
      <c r="AL214" s="322">
        <f t="shared" si="33"/>
        <v>1.7169533908427067E-2</v>
      </c>
      <c r="AM214" s="322">
        <f t="shared" si="33"/>
        <v>1.6989147210248749E-2</v>
      </c>
      <c r="AN214" s="322">
        <f t="shared" si="33"/>
        <v>1.6989147210248749E-2</v>
      </c>
      <c r="AO214" s="322">
        <f t="shared" si="33"/>
        <v>1.6989147210248749E-2</v>
      </c>
      <c r="AP214" s="322">
        <f t="shared" si="33"/>
        <v>1.6989147210248749E-2</v>
      </c>
      <c r="AQ214" s="304"/>
      <c r="AR214" s="304"/>
    </row>
    <row r="215" spans="3:44" x14ac:dyDescent="0.25">
      <c r="F215" t="s">
        <v>235</v>
      </c>
      <c r="G215" t="s">
        <v>331</v>
      </c>
      <c r="H215" s="304"/>
      <c r="I215" s="304"/>
      <c r="J215" s="322">
        <f t="shared" ref="J215:AP215" si="34">ABS(J145 + J180)*(1-J88)*PowerFactor*$H29</f>
        <v>1.8050781983665089E-2</v>
      </c>
      <c r="K215" s="322">
        <f t="shared" si="34"/>
        <v>1.4911900310715712E-2</v>
      </c>
      <c r="L215" s="322">
        <f t="shared" si="34"/>
        <v>0</v>
      </c>
      <c r="M215" s="322">
        <f t="shared" si="34"/>
        <v>1.4424495642663642E-2</v>
      </c>
      <c r="N215" s="322">
        <f t="shared" si="34"/>
        <v>1.3009736867933497E-2</v>
      </c>
      <c r="O215" s="322">
        <f t="shared" si="34"/>
        <v>0</v>
      </c>
      <c r="P215" s="322">
        <f t="shared" si="34"/>
        <v>1.2477350249388277E-2</v>
      </c>
      <c r="Q215" s="322">
        <f t="shared" si="34"/>
        <v>0</v>
      </c>
      <c r="R215" s="322">
        <f t="shared" si="34"/>
        <v>0</v>
      </c>
      <c r="S215" s="322">
        <f t="shared" si="34"/>
        <v>1.6929350479757858E-2</v>
      </c>
      <c r="T215" s="322">
        <f t="shared" si="34"/>
        <v>1.3454661544240094E-2</v>
      </c>
      <c r="U215" s="322">
        <f t="shared" si="34"/>
        <v>0</v>
      </c>
      <c r="V215" s="322">
        <f t="shared" si="34"/>
        <v>0</v>
      </c>
      <c r="W215" s="322">
        <f t="shared" si="34"/>
        <v>0</v>
      </c>
      <c r="X215" s="322">
        <f t="shared" si="34"/>
        <v>8.0920949452177003E-3</v>
      </c>
      <c r="Y215" s="322">
        <f t="shared" si="34"/>
        <v>1.7093792906161635E-2</v>
      </c>
      <c r="Z215" s="322">
        <f t="shared" si="34"/>
        <v>3.0997709809686705E-2</v>
      </c>
      <c r="AA215" s="322">
        <f t="shared" si="34"/>
        <v>4.4807932140157511E-6</v>
      </c>
      <c r="AB215" s="322">
        <f t="shared" si="34"/>
        <v>1.7207780293789152E-2</v>
      </c>
      <c r="AC215" s="322">
        <f t="shared" si="34"/>
        <v>8.092094945216833E-3</v>
      </c>
      <c r="AD215" s="322">
        <f t="shared" si="34"/>
        <v>7.8593909161799851E-3</v>
      </c>
      <c r="AE215" s="322">
        <f t="shared" si="34"/>
        <v>8.092094945216833E-3</v>
      </c>
      <c r="AF215" s="322">
        <f t="shared" si="34"/>
        <v>8.092094945216833E-3</v>
      </c>
      <c r="AG215" s="322">
        <f t="shared" si="34"/>
        <v>8.092094945216833E-3</v>
      </c>
      <c r="AH215" s="322">
        <f t="shared" si="34"/>
        <v>8.092094945216833E-3</v>
      </c>
      <c r="AI215" s="322">
        <f t="shared" si="34"/>
        <v>7.8593909161799851E-3</v>
      </c>
      <c r="AJ215" s="322">
        <f t="shared" si="34"/>
        <v>7.8593909161799851E-3</v>
      </c>
      <c r="AK215" s="322">
        <f t="shared" si="34"/>
        <v>7.8593909161799851E-3</v>
      </c>
      <c r="AL215" s="322">
        <f t="shared" si="34"/>
        <v>7.8593909161799851E-3</v>
      </c>
      <c r="AM215" s="322">
        <f t="shared" si="34"/>
        <v>0</v>
      </c>
      <c r="AN215" s="322">
        <f t="shared" si="34"/>
        <v>0</v>
      </c>
      <c r="AO215" s="322">
        <f t="shared" si="34"/>
        <v>0</v>
      </c>
      <c r="AP215" s="322">
        <f t="shared" si="34"/>
        <v>0</v>
      </c>
      <c r="AQ215" s="304"/>
      <c r="AR215" s="304"/>
    </row>
    <row r="216" spans="3:44" x14ac:dyDescent="0.25">
      <c r="F216" t="s">
        <v>236</v>
      </c>
      <c r="G216" t="s">
        <v>331</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1.6129216983002438E-2</v>
      </c>
      <c r="Y216" s="322">
        <f t="shared" si="35"/>
        <v>3.4071460692503226E-2</v>
      </c>
      <c r="Z216" s="322">
        <f t="shared" si="35"/>
        <v>6.1784839510818368E-2</v>
      </c>
      <c r="AA216" s="322">
        <f t="shared" si="35"/>
        <v>8.9311465688543787E-6</v>
      </c>
      <c r="AB216" s="322">
        <f t="shared" si="35"/>
        <v>3.429866110485829E-2</v>
      </c>
      <c r="AC216" s="322">
        <f t="shared" si="35"/>
        <v>1.6129216983000714E-2</v>
      </c>
      <c r="AD216" s="322">
        <f t="shared" si="35"/>
        <v>0</v>
      </c>
      <c r="AE216" s="322">
        <f t="shared" si="35"/>
        <v>1.6129216983000714E-2</v>
      </c>
      <c r="AF216" s="322">
        <f t="shared" si="35"/>
        <v>1.6129216983000714E-2</v>
      </c>
      <c r="AG216" s="322">
        <f t="shared" si="35"/>
        <v>1.6129216983000714E-2</v>
      </c>
      <c r="AH216" s="322">
        <f t="shared" si="35"/>
        <v>1.6129216983000714E-2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437</v>
      </c>
      <c r="G217" t="s">
        <v>331</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438</v>
      </c>
      <c r="G218" s="37" t="s">
        <v>331</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734</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226</v>
      </c>
      <c r="G223" s="23" t="s">
        <v>331</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228</v>
      </c>
      <c r="G224" t="s">
        <v>331</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229</v>
      </c>
      <c r="G225" t="s">
        <v>331</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1.9068900000125791E-2</v>
      </c>
      <c r="V225" s="322">
        <f t="shared" si="36"/>
        <v>1.8029186794953134E-2</v>
      </c>
      <c r="W225" s="322">
        <f t="shared" si="36"/>
        <v>1.4403881410892379E-2</v>
      </c>
      <c r="X225" s="322">
        <f t="shared" si="36"/>
        <v>0</v>
      </c>
      <c r="Y225" s="322">
        <f t="shared" si="36"/>
        <v>0</v>
      </c>
      <c r="Z225" s="322">
        <f t="shared" si="36"/>
        <v>0</v>
      </c>
      <c r="AA225" s="322">
        <f t="shared" si="36"/>
        <v>0</v>
      </c>
      <c r="AB225" s="322">
        <f t="shared" si="36"/>
        <v>0</v>
      </c>
      <c r="AC225" s="322">
        <f t="shared" si="36"/>
        <v>0</v>
      </c>
      <c r="AD225" s="322">
        <f t="shared" si="36"/>
        <v>0</v>
      </c>
      <c r="AE225" s="322">
        <f t="shared" si="36"/>
        <v>1.3460650291842503E-2</v>
      </c>
      <c r="AF225" s="322">
        <f t="shared" si="36"/>
        <v>0</v>
      </c>
      <c r="AG225" s="322">
        <f t="shared" si="36"/>
        <v>1.3460650291842503E-2</v>
      </c>
      <c r="AH225" s="322">
        <f t="shared" si="36"/>
        <v>0</v>
      </c>
      <c r="AI225" s="322">
        <f t="shared" si="36"/>
        <v>1.3073562945787666E-2</v>
      </c>
      <c r="AJ225" s="322">
        <f t="shared" si="36"/>
        <v>0</v>
      </c>
      <c r="AK225" s="322">
        <f t="shared" si="36"/>
        <v>1.3073562945787666E-2</v>
      </c>
      <c r="AL225" s="322">
        <f t="shared" si="36"/>
        <v>0</v>
      </c>
      <c r="AM225" s="322">
        <f t="shared" si="36"/>
        <v>1.2936209371381105E-2</v>
      </c>
      <c r="AN225" s="322">
        <f t="shared" si="36"/>
        <v>0</v>
      </c>
      <c r="AO225" s="322">
        <f t="shared" si="36"/>
        <v>1.2936209371381105E-2</v>
      </c>
      <c r="AP225" s="322">
        <f t="shared" si="36"/>
        <v>0</v>
      </c>
      <c r="AQ225" s="304"/>
      <c r="AR225" s="304"/>
    </row>
    <row r="226" spans="5:44" customFormat="1" x14ac:dyDescent="0.25">
      <c r="E226" s="2"/>
      <c r="F226" t="s">
        <v>230</v>
      </c>
      <c r="G226" t="s">
        <v>331</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9.9633223187581259E-3</v>
      </c>
      <c r="V226" s="322">
        <f t="shared" si="37"/>
        <v>9.4200818705867072E-3</v>
      </c>
      <c r="W226" s="322">
        <f t="shared" si="37"/>
        <v>7.6405699449169891E-3</v>
      </c>
      <c r="X226" s="322">
        <f t="shared" si="37"/>
        <v>0</v>
      </c>
      <c r="Y226" s="322">
        <f t="shared" si="37"/>
        <v>0</v>
      </c>
      <c r="Z226" s="322">
        <f t="shared" si="37"/>
        <v>0</v>
      </c>
      <c r="AA226" s="322">
        <f t="shared" si="37"/>
        <v>0</v>
      </c>
      <c r="AB226" s="322">
        <f t="shared" si="37"/>
        <v>0</v>
      </c>
      <c r="AC226" s="322">
        <f t="shared" si="37"/>
        <v>0</v>
      </c>
      <c r="AD226" s="322">
        <f t="shared" si="37"/>
        <v>0</v>
      </c>
      <c r="AE226" s="322">
        <f t="shared" si="37"/>
        <v>7.033064176582172E-3</v>
      </c>
      <c r="AF226" s="322">
        <f t="shared" si="37"/>
        <v>0</v>
      </c>
      <c r="AG226" s="322">
        <f t="shared" si="37"/>
        <v>7.033064176582172E-3</v>
      </c>
      <c r="AH226" s="322">
        <f t="shared" si="37"/>
        <v>0</v>
      </c>
      <c r="AI226" s="322">
        <f t="shared" si="37"/>
        <v>6.8308146501683976E-3</v>
      </c>
      <c r="AJ226" s="322">
        <f t="shared" si="37"/>
        <v>0</v>
      </c>
      <c r="AK226" s="322">
        <f t="shared" si="37"/>
        <v>6.8308146501683976E-3</v>
      </c>
      <c r="AL226" s="322">
        <f t="shared" si="37"/>
        <v>0</v>
      </c>
      <c r="AM226" s="322">
        <f t="shared" si="37"/>
        <v>6.7590486891828672E-3</v>
      </c>
      <c r="AN226" s="322">
        <f t="shared" si="37"/>
        <v>0</v>
      </c>
      <c r="AO226" s="322">
        <f t="shared" si="37"/>
        <v>6.7590486891828672E-3</v>
      </c>
      <c r="AP226" s="322">
        <f t="shared" si="37"/>
        <v>0</v>
      </c>
      <c r="AQ226" s="304"/>
      <c r="AR226" s="304"/>
    </row>
    <row r="227" spans="5:44" customFormat="1" x14ac:dyDescent="0.25">
      <c r="E227" s="2"/>
      <c r="F227" t="s">
        <v>231</v>
      </c>
      <c r="G227" t="s">
        <v>331</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1.2308335736835685E-2</v>
      </c>
      <c r="V227" s="322">
        <f t="shared" si="38"/>
        <v>1.1637235715376545E-2</v>
      </c>
      <c r="W227" s="322">
        <f t="shared" si="38"/>
        <v>7.0571176311817786E-3</v>
      </c>
      <c r="X227" s="322">
        <f t="shared" si="38"/>
        <v>0</v>
      </c>
      <c r="Y227" s="322">
        <f t="shared" si="38"/>
        <v>0</v>
      </c>
      <c r="Z227" s="322">
        <f t="shared" si="38"/>
        <v>0</v>
      </c>
      <c r="AA227" s="322">
        <f t="shared" si="38"/>
        <v>0</v>
      </c>
      <c r="AB227" s="322">
        <f t="shared" si="38"/>
        <v>0</v>
      </c>
      <c r="AC227" s="322">
        <f t="shared" si="38"/>
        <v>0</v>
      </c>
      <c r="AD227" s="322">
        <f t="shared" si="38"/>
        <v>0</v>
      </c>
      <c r="AE227" s="322">
        <f t="shared" si="38"/>
        <v>8.6883985456444705E-3</v>
      </c>
      <c r="AF227" s="322">
        <f t="shared" si="38"/>
        <v>0</v>
      </c>
      <c r="AG227" s="322">
        <f t="shared" si="38"/>
        <v>8.6883985456444705E-3</v>
      </c>
      <c r="AH227" s="322">
        <f t="shared" si="38"/>
        <v>0</v>
      </c>
      <c r="AI227" s="322">
        <f t="shared" si="38"/>
        <v>8.4385466394153608E-3</v>
      </c>
      <c r="AJ227" s="322">
        <f t="shared" si="38"/>
        <v>0</v>
      </c>
      <c r="AK227" s="322">
        <f t="shared" si="38"/>
        <v>8.4385466394153608E-3</v>
      </c>
      <c r="AL227" s="322">
        <f t="shared" si="38"/>
        <v>0</v>
      </c>
      <c r="AM227" s="322">
        <f t="shared" si="38"/>
        <v>7.8036393257189668E-3</v>
      </c>
      <c r="AN227" s="322">
        <f t="shared" si="38"/>
        <v>0</v>
      </c>
      <c r="AO227" s="322">
        <f t="shared" si="38"/>
        <v>7.8036393257189668E-3</v>
      </c>
      <c r="AP227" s="322">
        <f t="shared" si="38"/>
        <v>0</v>
      </c>
      <c r="AQ227" s="304"/>
      <c r="AR227" s="304"/>
    </row>
    <row r="228" spans="5:44" customFormat="1" x14ac:dyDescent="0.25">
      <c r="E228" s="2"/>
      <c r="F228" t="s">
        <v>232</v>
      </c>
      <c r="G228" t="s">
        <v>331</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1.9800596738969833E-2</v>
      </c>
      <c r="V228" s="322">
        <f t="shared" si="39"/>
        <v>1.8720988481562759E-2</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1.3977151711494204E-2</v>
      </c>
      <c r="AF228" s="322">
        <f t="shared" si="39"/>
        <v>0</v>
      </c>
      <c r="AG228" s="322">
        <f t="shared" si="39"/>
        <v>1.3977151711494204E-2</v>
      </c>
      <c r="AH228" s="322">
        <f t="shared" si="39"/>
        <v>0</v>
      </c>
      <c r="AI228" s="322">
        <f t="shared" si="39"/>
        <v>1.3575211356154391E-2</v>
      </c>
      <c r="AJ228" s="322">
        <f t="shared" si="39"/>
        <v>0</v>
      </c>
      <c r="AK228" s="322">
        <f t="shared" si="39"/>
        <v>1.3575211356154391E-2</v>
      </c>
      <c r="AL228" s="322">
        <f t="shared" si="39"/>
        <v>0</v>
      </c>
      <c r="AM228" s="322">
        <f t="shared" si="39"/>
        <v>8.7092917317562139E-3</v>
      </c>
      <c r="AN228" s="322">
        <f t="shared" si="39"/>
        <v>0</v>
      </c>
      <c r="AO228" s="322">
        <f t="shared" si="39"/>
        <v>8.7092917317562139E-3</v>
      </c>
      <c r="AP228" s="322">
        <f t="shared" si="39"/>
        <v>0</v>
      </c>
      <c r="AQ228" s="304"/>
      <c r="AR228" s="304"/>
    </row>
    <row r="229" spans="5:44" customFormat="1" x14ac:dyDescent="0.25">
      <c r="E229" s="2"/>
      <c r="F229" t="s">
        <v>233</v>
      </c>
      <c r="G229" t="s">
        <v>331</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1.6673490258823417E-3</v>
      </c>
      <c r="V229" s="322">
        <f t="shared" si="40"/>
        <v>1.5764384437391551E-3</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1.1769741386078066E-3</v>
      </c>
      <c r="AF229" s="322">
        <f t="shared" si="40"/>
        <v>0</v>
      </c>
      <c r="AG229" s="322">
        <f t="shared" si="40"/>
        <v>1.1769741386078066E-3</v>
      </c>
      <c r="AH229" s="322">
        <f t="shared" si="40"/>
        <v>0</v>
      </c>
      <c r="AI229" s="322">
        <f t="shared" si="40"/>
        <v>1.1431279435272479E-3</v>
      </c>
      <c r="AJ229" s="322">
        <f t="shared" si="40"/>
        <v>0</v>
      </c>
      <c r="AK229" s="322">
        <f t="shared" si="40"/>
        <v>1.1431279435272479E-3</v>
      </c>
      <c r="AL229" s="322">
        <f t="shared" si="40"/>
        <v>0</v>
      </c>
      <c r="AM229" s="322">
        <f t="shared" si="40"/>
        <v>7.3338340639446603E-4</v>
      </c>
      <c r="AN229" s="322">
        <f t="shared" si="40"/>
        <v>0</v>
      </c>
      <c r="AO229" s="322">
        <f t="shared" si="40"/>
        <v>7.3338340639446603E-4</v>
      </c>
      <c r="AP229" s="322">
        <f t="shared" si="40"/>
        <v>0</v>
      </c>
      <c r="AQ229" s="304"/>
      <c r="AR229" s="304"/>
    </row>
    <row r="230" spans="5:44" customFormat="1" x14ac:dyDescent="0.25">
      <c r="E230" s="2"/>
      <c r="F230" t="s">
        <v>234</v>
      </c>
      <c r="G230" t="s">
        <v>331</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1.900837002872954E-2</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1.6772403073393106E-2</v>
      </c>
      <c r="AF230" s="322">
        <f t="shared" si="41"/>
        <v>0</v>
      </c>
      <c r="AG230" s="322">
        <f t="shared" si="41"/>
        <v>1.6772403073393106E-2</v>
      </c>
      <c r="AH230" s="322">
        <f t="shared" si="41"/>
        <v>0</v>
      </c>
      <c r="AI230" s="322">
        <f t="shared" si="41"/>
        <v>1.6290079793917046E-2</v>
      </c>
      <c r="AJ230" s="322">
        <f t="shared" si="41"/>
        <v>0</v>
      </c>
      <c r="AK230" s="322">
        <f t="shared" si="41"/>
        <v>1.6290079793917046E-2</v>
      </c>
      <c r="AL230" s="322">
        <f t="shared" si="41"/>
        <v>0</v>
      </c>
      <c r="AM230" s="322">
        <f t="shared" si="41"/>
        <v>1.120756639299806E-2</v>
      </c>
      <c r="AN230" s="322">
        <f t="shared" si="41"/>
        <v>0</v>
      </c>
      <c r="AO230" s="322">
        <f t="shared" si="41"/>
        <v>1.120756639299806E-2</v>
      </c>
      <c r="AP230" s="322">
        <f t="shared" si="41"/>
        <v>0</v>
      </c>
      <c r="AQ230" s="304"/>
      <c r="AR230" s="304"/>
    </row>
    <row r="231" spans="5:44" customFormat="1" x14ac:dyDescent="0.25">
      <c r="E231" s="2"/>
      <c r="F231" t="s">
        <v>235</v>
      </c>
      <c r="G231" t="s">
        <v>331</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4.290480115883356E-3</v>
      </c>
      <c r="AF231" s="322">
        <f t="shared" si="42"/>
        <v>0</v>
      </c>
      <c r="AG231" s="322">
        <f t="shared" si="42"/>
        <v>4.290480115883356E-3</v>
      </c>
      <c r="AH231" s="322">
        <f t="shared" si="42"/>
        <v>0</v>
      </c>
      <c r="AI231" s="322">
        <f t="shared" si="42"/>
        <v>4.1670989622726098E-3</v>
      </c>
      <c r="AJ231" s="322">
        <f t="shared" si="42"/>
        <v>0</v>
      </c>
      <c r="AK231" s="322">
        <f t="shared" si="42"/>
        <v>4.1670989622726098E-3</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236</v>
      </c>
      <c r="G232" t="s">
        <v>331</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1.8005767397086645E-3</v>
      </c>
      <c r="AF232" s="322">
        <f t="shared" si="43"/>
        <v>0</v>
      </c>
      <c r="AG232" s="322">
        <f t="shared" si="43"/>
        <v>1.8005767397086645E-3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437</v>
      </c>
      <c r="G233" t="s">
        <v>331</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438</v>
      </c>
      <c r="G234" s="37" t="s">
        <v>331</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735</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226</v>
      </c>
      <c r="G237" s="23" t="s">
        <v>331</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9.5132539415924509E-3</v>
      </c>
      <c r="V237" s="321">
        <f t="shared" si="44"/>
        <v>8.9945530334556798E-3</v>
      </c>
      <c r="W237" s="321">
        <f t="shared" si="44"/>
        <v>7.2954261459198047E-3</v>
      </c>
      <c r="X237" s="321">
        <f t="shared" si="44"/>
        <v>0</v>
      </c>
      <c r="Y237" s="321">
        <f t="shared" si="44"/>
        <v>0</v>
      </c>
      <c r="Z237" s="321">
        <f t="shared" si="44"/>
        <v>0</v>
      </c>
      <c r="AA237" s="321">
        <f t="shared" si="44"/>
        <v>0</v>
      </c>
      <c r="AB237" s="321">
        <f t="shared" si="44"/>
        <v>0</v>
      </c>
      <c r="AC237" s="321">
        <f t="shared" si="44"/>
        <v>0</v>
      </c>
      <c r="AD237" s="321">
        <f t="shared" si="44"/>
        <v>0</v>
      </c>
      <c r="AE237" s="321">
        <f t="shared" si="44"/>
        <v>6.7153629440829593E-3</v>
      </c>
      <c r="AF237" s="321">
        <f t="shared" si="44"/>
        <v>0</v>
      </c>
      <c r="AG237" s="321">
        <f t="shared" si="44"/>
        <v>6.7153629440829593E-3</v>
      </c>
      <c r="AH237" s="321">
        <f t="shared" si="44"/>
        <v>0</v>
      </c>
      <c r="AI237" s="321">
        <f t="shared" si="44"/>
        <v>6.5222495384553401E-3</v>
      </c>
      <c r="AJ237" s="321">
        <f t="shared" si="44"/>
        <v>0</v>
      </c>
      <c r="AK237" s="321">
        <f t="shared" si="44"/>
        <v>6.5222495384553401E-3</v>
      </c>
      <c r="AL237" s="321">
        <f t="shared" si="44"/>
        <v>0</v>
      </c>
      <c r="AM237" s="321">
        <f t="shared" si="44"/>
        <v>6.453725426781025E-3</v>
      </c>
      <c r="AN237" s="321">
        <f t="shared" si="44"/>
        <v>0</v>
      </c>
      <c r="AO237" s="321">
        <f t="shared" si="44"/>
        <v>6.453725426781025E-3</v>
      </c>
      <c r="AP237" s="321">
        <f t="shared" si="44"/>
        <v>0</v>
      </c>
      <c r="AQ237" s="304"/>
      <c r="AR237" s="304"/>
    </row>
    <row r="238" spans="5:44" customFormat="1" x14ac:dyDescent="0.25">
      <c r="E238" s="2"/>
      <c r="F238" t="s">
        <v>228</v>
      </c>
      <c r="G238" t="s">
        <v>331</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229</v>
      </c>
      <c r="G239" t="s">
        <v>331</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1.0468569626259512E-2</v>
      </c>
      <c r="V239" s="322">
        <f t="shared" si="46"/>
        <v>9.897781060604462E-3</v>
      </c>
      <c r="W239" s="322">
        <f t="shared" si="46"/>
        <v>7.907537164562049E-3</v>
      </c>
      <c r="X239" s="322">
        <f t="shared" si="46"/>
        <v>0</v>
      </c>
      <c r="Y239" s="322">
        <f t="shared" si="46"/>
        <v>0</v>
      </c>
      <c r="Z239" s="322">
        <f t="shared" si="46"/>
        <v>0</v>
      </c>
      <c r="AA239" s="322">
        <f t="shared" si="46"/>
        <v>0</v>
      </c>
      <c r="AB239" s="322">
        <f t="shared" si="46"/>
        <v>0</v>
      </c>
      <c r="AC239" s="322">
        <f t="shared" si="46"/>
        <v>0</v>
      </c>
      <c r="AD239" s="322">
        <f t="shared" si="46"/>
        <v>0</v>
      </c>
      <c r="AE239" s="322">
        <f t="shared" si="46"/>
        <v>7.3897159665189966E-3</v>
      </c>
      <c r="AF239" s="322">
        <f t="shared" si="46"/>
        <v>0</v>
      </c>
      <c r="AG239" s="322">
        <f t="shared" si="46"/>
        <v>7.3897159665189966E-3</v>
      </c>
      <c r="AH239" s="322">
        <f t="shared" si="46"/>
        <v>0</v>
      </c>
      <c r="AI239" s="322">
        <f t="shared" si="46"/>
        <v>7.1772102198009169E-3</v>
      </c>
      <c r="AJ239" s="322">
        <f t="shared" si="46"/>
        <v>0</v>
      </c>
      <c r="AK239" s="322">
        <f t="shared" si="46"/>
        <v>7.1772102198009169E-3</v>
      </c>
      <c r="AL239" s="322">
        <f t="shared" si="46"/>
        <v>0</v>
      </c>
      <c r="AM239" s="322">
        <f t="shared" si="46"/>
        <v>7.1018049548364371E-3</v>
      </c>
      <c r="AN239" s="322">
        <f t="shared" si="46"/>
        <v>0</v>
      </c>
      <c r="AO239" s="322">
        <f t="shared" si="46"/>
        <v>7.1018049548364371E-3</v>
      </c>
      <c r="AP239" s="322">
        <f t="shared" si="46"/>
        <v>0</v>
      </c>
      <c r="AQ239" s="304"/>
      <c r="AR239" s="304"/>
    </row>
    <row r="240" spans="5:44" customFormat="1" x14ac:dyDescent="0.25">
      <c r="E240" s="2"/>
      <c r="F240" t="s">
        <v>230</v>
      </c>
      <c r="G240" t="s">
        <v>331</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5.4697299478258703E-3</v>
      </c>
      <c r="V240" s="322">
        <f t="shared" si="47"/>
        <v>5.1714982482813027E-3</v>
      </c>
      <c r="W240" s="322">
        <f t="shared" si="47"/>
        <v>4.1945701352538228E-3</v>
      </c>
      <c r="X240" s="322">
        <f t="shared" si="47"/>
        <v>0</v>
      </c>
      <c r="Y240" s="322">
        <f t="shared" si="47"/>
        <v>0</v>
      </c>
      <c r="Z240" s="322">
        <f t="shared" si="47"/>
        <v>0</v>
      </c>
      <c r="AA240" s="322">
        <f t="shared" si="47"/>
        <v>0</v>
      </c>
      <c r="AB240" s="322">
        <f t="shared" si="47"/>
        <v>0</v>
      </c>
      <c r="AC240" s="322">
        <f t="shared" si="47"/>
        <v>0</v>
      </c>
      <c r="AD240" s="322">
        <f t="shared" si="47"/>
        <v>0</v>
      </c>
      <c r="AE240" s="322">
        <f t="shared" si="47"/>
        <v>3.8610576392983493E-3</v>
      </c>
      <c r="AF240" s="322">
        <f t="shared" si="47"/>
        <v>0</v>
      </c>
      <c r="AG240" s="322">
        <f t="shared" si="47"/>
        <v>3.8610576392983493E-3</v>
      </c>
      <c r="AH240" s="322">
        <f t="shared" si="47"/>
        <v>0</v>
      </c>
      <c r="AI240" s="322">
        <f t="shared" si="47"/>
        <v>3.7500253695226071E-3</v>
      </c>
      <c r="AJ240" s="322">
        <f t="shared" si="47"/>
        <v>0</v>
      </c>
      <c r="AK240" s="322">
        <f t="shared" si="47"/>
        <v>3.7500253695226071E-3</v>
      </c>
      <c r="AL240" s="322">
        <f t="shared" si="47"/>
        <v>0</v>
      </c>
      <c r="AM240" s="322">
        <f t="shared" si="47"/>
        <v>3.7106268221828282E-3</v>
      </c>
      <c r="AN240" s="322">
        <f t="shared" si="47"/>
        <v>0</v>
      </c>
      <c r="AO240" s="322">
        <f t="shared" si="47"/>
        <v>3.7106268221828282E-3</v>
      </c>
      <c r="AP240" s="322">
        <f t="shared" si="47"/>
        <v>0</v>
      </c>
      <c r="AQ240" s="304"/>
      <c r="AR240" s="304"/>
    </row>
    <row r="241" spans="2:44" x14ac:dyDescent="0.25">
      <c r="D241"/>
      <c r="F241" t="s">
        <v>231</v>
      </c>
      <c r="G241" t="s">
        <v>331</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6.7571107742760471E-3</v>
      </c>
      <c r="V241" s="322">
        <f t="shared" si="48"/>
        <v>6.3886858886883658E-3</v>
      </c>
      <c r="W241" s="322">
        <f t="shared" si="48"/>
        <v>4.1454587812908188E-3</v>
      </c>
      <c r="X241" s="322">
        <f t="shared" si="48"/>
        <v>0</v>
      </c>
      <c r="Y241" s="322">
        <f t="shared" si="48"/>
        <v>0</v>
      </c>
      <c r="Z241" s="322">
        <f t="shared" si="48"/>
        <v>0</v>
      </c>
      <c r="AA241" s="322">
        <f t="shared" si="48"/>
        <v>0</v>
      </c>
      <c r="AB241" s="322">
        <f t="shared" si="48"/>
        <v>0</v>
      </c>
      <c r="AC241" s="322">
        <f t="shared" si="48"/>
        <v>0</v>
      </c>
      <c r="AD241" s="322">
        <f t="shared" si="48"/>
        <v>0</v>
      </c>
      <c r="AE241" s="322">
        <f t="shared" si="48"/>
        <v>4.7698139439176354E-3</v>
      </c>
      <c r="AF241" s="322">
        <f t="shared" si="48"/>
        <v>0</v>
      </c>
      <c r="AG241" s="322">
        <f t="shared" si="48"/>
        <v>4.7698139439176354E-3</v>
      </c>
      <c r="AH241" s="322">
        <f t="shared" si="48"/>
        <v>0</v>
      </c>
      <c r="AI241" s="322">
        <f t="shared" si="48"/>
        <v>4.6326486078680559E-3</v>
      </c>
      <c r="AJ241" s="322">
        <f t="shared" si="48"/>
        <v>0</v>
      </c>
      <c r="AK241" s="322">
        <f t="shared" si="48"/>
        <v>4.6326486078680559E-3</v>
      </c>
      <c r="AL241" s="322">
        <f t="shared" si="48"/>
        <v>0</v>
      </c>
      <c r="AM241" s="322">
        <f t="shared" si="48"/>
        <v>4.5839770370117534E-3</v>
      </c>
      <c r="AN241" s="322">
        <f t="shared" si="48"/>
        <v>0</v>
      </c>
      <c r="AO241" s="322">
        <f t="shared" si="48"/>
        <v>4.5839770370117534E-3</v>
      </c>
      <c r="AP241" s="322">
        <f t="shared" si="48"/>
        <v>0</v>
      </c>
      <c r="AQ241" s="304"/>
      <c r="AR241" s="304"/>
    </row>
    <row r="242" spans="2:44" x14ac:dyDescent="0.25">
      <c r="D242"/>
      <c r="F242" t="s">
        <v>232</v>
      </c>
      <c r="G242" t="s">
        <v>331</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1.0870261294674851E-2</v>
      </c>
      <c r="V242" s="322">
        <f t="shared" si="49"/>
        <v>1.0277570881925501E-2</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7.6732682990421101E-3</v>
      </c>
      <c r="AF242" s="322">
        <f t="shared" si="49"/>
        <v>0</v>
      </c>
      <c r="AG242" s="322">
        <f t="shared" si="49"/>
        <v>7.6732682990421101E-3</v>
      </c>
      <c r="AH242" s="322">
        <f t="shared" si="49"/>
        <v>0</v>
      </c>
      <c r="AI242" s="322">
        <f t="shared" si="49"/>
        <v>7.4526084499972984E-3</v>
      </c>
      <c r="AJ242" s="322">
        <f t="shared" si="49"/>
        <v>0</v>
      </c>
      <c r="AK242" s="322">
        <f t="shared" si="49"/>
        <v>7.4526084499972984E-3</v>
      </c>
      <c r="AL242" s="322">
        <f t="shared" si="49"/>
        <v>0</v>
      </c>
      <c r="AM242" s="322">
        <f t="shared" si="49"/>
        <v>7.3743097938846255E-3</v>
      </c>
      <c r="AN242" s="322">
        <f t="shared" si="49"/>
        <v>0</v>
      </c>
      <c r="AO242" s="322">
        <f t="shared" si="49"/>
        <v>7.3743097938846255E-3</v>
      </c>
      <c r="AP242" s="322">
        <f t="shared" si="49"/>
        <v>0</v>
      </c>
      <c r="AQ242" s="304"/>
      <c r="AR242" s="304"/>
    </row>
    <row r="243" spans="2:44" x14ac:dyDescent="0.25">
      <c r="D243"/>
      <c r="F243" t="s">
        <v>233</v>
      </c>
      <c r="G243" t="s">
        <v>331</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9.1535218961818023E-4</v>
      </c>
      <c r="V243" s="322">
        <f t="shared" si="50"/>
        <v>8.6544350275509691E-4</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6.4614297197223517E-4</v>
      </c>
      <c r="AF243" s="322">
        <f t="shared" si="50"/>
        <v>0</v>
      </c>
      <c r="AG243" s="322">
        <f t="shared" si="50"/>
        <v>6.4614297197223517E-4</v>
      </c>
      <c r="AH243" s="322">
        <f t="shared" si="50"/>
        <v>0</v>
      </c>
      <c r="AI243" s="322">
        <f t="shared" si="50"/>
        <v>6.2756186609919291E-4</v>
      </c>
      <c r="AJ243" s="322">
        <f t="shared" si="50"/>
        <v>0</v>
      </c>
      <c r="AK243" s="322">
        <f t="shared" si="50"/>
        <v>6.2756186609919291E-4</v>
      </c>
      <c r="AL243" s="322">
        <f t="shared" si="50"/>
        <v>0</v>
      </c>
      <c r="AM243" s="322">
        <f t="shared" si="50"/>
        <v>6.2096857046682336E-4</v>
      </c>
      <c r="AN243" s="322">
        <f t="shared" si="50"/>
        <v>0</v>
      </c>
      <c r="AO243" s="322">
        <f t="shared" si="50"/>
        <v>6.2096857046682336E-4</v>
      </c>
      <c r="AP243" s="322">
        <f t="shared" si="50"/>
        <v>0</v>
      </c>
      <c r="AQ243" s="304"/>
      <c r="AR243" s="304"/>
    </row>
    <row r="244" spans="2:44" x14ac:dyDescent="0.25">
      <c r="D244"/>
      <c r="F244" t="s">
        <v>234</v>
      </c>
      <c r="G244" t="s">
        <v>331</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2.0034576741242843E-2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1.7677896421475051E-2</v>
      </c>
      <c r="AF244" s="322">
        <f t="shared" si="51"/>
        <v>0</v>
      </c>
      <c r="AG244" s="322">
        <f t="shared" si="51"/>
        <v>1.7677896421475051E-2</v>
      </c>
      <c r="AH244" s="322">
        <f t="shared" si="51"/>
        <v>0</v>
      </c>
      <c r="AI244" s="322">
        <f t="shared" si="51"/>
        <v>1.7169533908427067E-2</v>
      </c>
      <c r="AJ244" s="322">
        <f t="shared" si="51"/>
        <v>0</v>
      </c>
      <c r="AK244" s="322">
        <f t="shared" si="51"/>
        <v>1.7169533908427067E-2</v>
      </c>
      <c r="AL244" s="322">
        <f t="shared" si="51"/>
        <v>0</v>
      </c>
      <c r="AM244" s="322">
        <f t="shared" si="51"/>
        <v>1.6989147210248749E-2</v>
      </c>
      <c r="AN244" s="322">
        <f t="shared" si="51"/>
        <v>0</v>
      </c>
      <c r="AO244" s="322">
        <f t="shared" si="51"/>
        <v>1.6989147210248749E-2</v>
      </c>
      <c r="AP244" s="322">
        <f t="shared" si="51"/>
        <v>0</v>
      </c>
      <c r="AQ244" s="304"/>
      <c r="AR244" s="304"/>
    </row>
    <row r="245" spans="2:44" x14ac:dyDescent="0.25">
      <c r="D245"/>
      <c r="F245" t="s">
        <v>235</v>
      </c>
      <c r="G245" t="s">
        <v>331</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8.092094945216833E-3</v>
      </c>
      <c r="AF245" s="322">
        <f t="shared" si="52"/>
        <v>0</v>
      </c>
      <c r="AG245" s="322">
        <f t="shared" si="52"/>
        <v>8.092094945216833E-3</v>
      </c>
      <c r="AH245" s="322">
        <f t="shared" si="52"/>
        <v>0</v>
      </c>
      <c r="AI245" s="322">
        <f t="shared" si="52"/>
        <v>7.8593909161799851E-3</v>
      </c>
      <c r="AJ245" s="322">
        <f t="shared" si="52"/>
        <v>0</v>
      </c>
      <c r="AK245" s="322">
        <f t="shared" si="52"/>
        <v>7.8593909161799851E-3</v>
      </c>
      <c r="AL245" s="322">
        <f t="shared" si="52"/>
        <v>0</v>
      </c>
      <c r="AM245" s="322">
        <f t="shared" si="52"/>
        <v>0</v>
      </c>
      <c r="AN245" s="322">
        <f t="shared" si="52"/>
        <v>0</v>
      </c>
      <c r="AO245" s="322">
        <f t="shared" si="52"/>
        <v>0</v>
      </c>
      <c r="AP245" s="322">
        <f t="shared" si="52"/>
        <v>0</v>
      </c>
      <c r="AQ245" s="304"/>
      <c r="AR245" s="304"/>
    </row>
    <row r="246" spans="2:44" x14ac:dyDescent="0.25">
      <c r="D246"/>
      <c r="F246" t="s">
        <v>236</v>
      </c>
      <c r="G246" t="s">
        <v>331</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1.6129216983000714E-2</v>
      </c>
      <c r="AF246" s="322">
        <f t="shared" si="53"/>
        <v>0</v>
      </c>
      <c r="AG246" s="322">
        <f t="shared" si="53"/>
        <v>1.6129216983000714E-2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437</v>
      </c>
      <c r="G247" t="s">
        <v>331</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438</v>
      </c>
      <c r="G248" s="37" t="s">
        <v>331</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810</v>
      </c>
      <c r="G250" t="s">
        <v>331</v>
      </c>
      <c r="H250" s="304"/>
      <c r="I250" s="304" t="s">
        <v>191</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0.14584572836479107</v>
      </c>
      <c r="V250" s="312">
        <f t="shared" si="54"/>
        <v>0.10097946392192872</v>
      </c>
      <c r="W250" s="312">
        <f t="shared" si="54"/>
        <v>5.2644561214017643E-2</v>
      </c>
      <c r="X250" s="312">
        <f t="shared" si="54"/>
        <v>0</v>
      </c>
      <c r="Y250" s="312">
        <f t="shared" si="54"/>
        <v>0</v>
      </c>
      <c r="Z250" s="312">
        <f t="shared" si="54"/>
        <v>0</v>
      </c>
      <c r="AA250" s="312">
        <f t="shared" si="54"/>
        <v>0</v>
      </c>
      <c r="AB250" s="312">
        <f t="shared" si="54"/>
        <v>0</v>
      </c>
      <c r="AC250" s="312">
        <f t="shared" si="54"/>
        <v>0</v>
      </c>
      <c r="AD250" s="312">
        <f t="shared" si="54"/>
        <v>0</v>
      </c>
      <c r="AE250" s="312">
        <f t="shared" si="54"/>
        <v>0.14015426890768115</v>
      </c>
      <c r="AF250" s="312">
        <f t="shared" si="54"/>
        <v>0</v>
      </c>
      <c r="AG250" s="312">
        <f t="shared" si="54"/>
        <v>0.14015426890768115</v>
      </c>
      <c r="AH250" s="312">
        <f t="shared" si="54"/>
        <v>0</v>
      </c>
      <c r="AI250" s="312">
        <f t="shared" si="54"/>
        <v>0.11870967116759318</v>
      </c>
      <c r="AJ250" s="312">
        <f t="shared" si="54"/>
        <v>0</v>
      </c>
      <c r="AK250" s="312">
        <f t="shared" si="54"/>
        <v>0.11870967116759318</v>
      </c>
      <c r="AL250" s="312">
        <f t="shared" si="54"/>
        <v>0</v>
      </c>
      <c r="AM250" s="312">
        <f t="shared" si="54"/>
        <v>9.4983698732843916E-2</v>
      </c>
      <c r="AN250" s="312">
        <f t="shared" si="54"/>
        <v>0</v>
      </c>
      <c r="AO250" s="312">
        <f t="shared" si="54"/>
        <v>9.4983698732843916E-2</v>
      </c>
      <c r="AP250" s="312">
        <f t="shared" si="54"/>
        <v>0</v>
      </c>
      <c r="AQ250" s="304"/>
      <c r="AR250" s="304" t="s">
        <v>809</v>
      </c>
    </row>
    <row r="251" spans="2:44" x14ac:dyDescent="0.25">
      <c r="C251" s="91"/>
    </row>
    <row r="252" spans="2:44" x14ac:dyDescent="0.25">
      <c r="B252" s="30" t="s">
        <v>281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282</v>
      </c>
      <c r="G254" s="6" t="s">
        <v>57</v>
      </c>
      <c r="H254" s="26">
        <f t="array" ref="H254">SUM(IF(ISERROR(H21:AP250), 1))</f>
        <v>0</v>
      </c>
    </row>
    <row r="256" spans="2:44" x14ac:dyDescent="0.25">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811</v>
      </c>
      <c r="E9"/>
    </row>
    <row r="10" spans="1:44" x14ac:dyDescent="0.25">
      <c r="D10" s="29" t="s">
        <v>812</v>
      </c>
      <c r="E10"/>
    </row>
    <row r="11" spans="1:44" x14ac:dyDescent="0.25">
      <c r="D11" s="29" t="s">
        <v>813</v>
      </c>
      <c r="E11"/>
    </row>
    <row r="12" spans="1:44" x14ac:dyDescent="0.25">
      <c r="D12" s="29" t="s">
        <v>814</v>
      </c>
      <c r="E12"/>
    </row>
    <row r="13" spans="1:44" x14ac:dyDescent="0.25">
      <c r="D13" s="29" t="s">
        <v>815</v>
      </c>
      <c r="E13"/>
    </row>
    <row r="14" spans="1:44" x14ac:dyDescent="0.25">
      <c r="D14" s="29" t="s">
        <v>816</v>
      </c>
      <c r="E14"/>
    </row>
    <row r="15" spans="1:44" x14ac:dyDescent="0.25">
      <c r="D15" s="29" t="s">
        <v>817</v>
      </c>
    </row>
    <row r="17" spans="2:44" x14ac:dyDescent="0.25">
      <c r="B17" s="30" t="s">
        <v>818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819</v>
      </c>
      <c r="F21" s="2"/>
    </row>
    <row r="22" spans="2:44" x14ac:dyDescent="0.25">
      <c r="D22"/>
      <c r="E22" s="29" t="s">
        <v>820</v>
      </c>
      <c r="F22" s="2"/>
    </row>
    <row r="23" spans="2:44" x14ac:dyDescent="0.25">
      <c r="C23" s="91"/>
      <c r="F23" s="111" t="s">
        <v>226</v>
      </c>
      <c r="G23" s="111" t="s">
        <v>204</v>
      </c>
      <c r="H23" s="232">
        <f>'System peak demand'!H226</f>
        <v>2.4713742436156094E-2</v>
      </c>
    </row>
    <row r="24" spans="2:44" x14ac:dyDescent="0.25">
      <c r="C24" s="91"/>
      <c r="F24" t="s">
        <v>228</v>
      </c>
      <c r="G24" t="s">
        <v>204</v>
      </c>
      <c r="H24" s="25">
        <f>'System peak demand'!H226</f>
        <v>2.4713742436156094E-2</v>
      </c>
    </row>
    <row r="25" spans="2:44" x14ac:dyDescent="0.25">
      <c r="C25" s="91"/>
      <c r="F25" t="s">
        <v>229</v>
      </c>
      <c r="G25" t="s">
        <v>204</v>
      </c>
      <c r="H25" s="25">
        <f>'System peak demand'!H227</f>
        <v>7.0839672179421997E-2</v>
      </c>
    </row>
    <row r="26" spans="2:44" x14ac:dyDescent="0.25">
      <c r="C26" s="91"/>
      <c r="F26" t="s">
        <v>230</v>
      </c>
      <c r="G26" t="s">
        <v>204</v>
      </c>
      <c r="H26" s="25">
        <f>'System peak demand'!H228</f>
        <v>7.0839672179421997E-2</v>
      </c>
    </row>
    <row r="27" spans="2:44" x14ac:dyDescent="0.25">
      <c r="C27" s="91"/>
      <c r="F27" t="s">
        <v>231</v>
      </c>
      <c r="G27" t="s">
        <v>204</v>
      </c>
      <c r="H27" s="25">
        <f>'System peak demand'!H229</f>
        <v>0.15545489876905783</v>
      </c>
    </row>
    <row r="28" spans="2:44" x14ac:dyDescent="0.25">
      <c r="C28" s="91"/>
      <c r="F28" t="s">
        <v>232</v>
      </c>
      <c r="G28" t="s">
        <v>204</v>
      </c>
      <c r="H28" s="25">
        <f>'System peak demand'!H230</f>
        <v>0.15545489876905783</v>
      </c>
    </row>
    <row r="29" spans="2:44" x14ac:dyDescent="0.25">
      <c r="C29" s="91"/>
      <c r="F29" t="s">
        <v>233</v>
      </c>
      <c r="G29" t="s">
        <v>204</v>
      </c>
      <c r="H29" s="25">
        <f>'System peak demand'!H231</f>
        <v>7.0839672179421997E-2</v>
      </c>
    </row>
    <row r="30" spans="2:44" x14ac:dyDescent="0.25">
      <c r="C30" s="91"/>
      <c r="F30" t="s">
        <v>234</v>
      </c>
      <c r="G30" t="s">
        <v>204</v>
      </c>
      <c r="H30" s="25">
        <f>'System peak demand'!H232</f>
        <v>0.54830956435053779</v>
      </c>
    </row>
    <row r="31" spans="2:44" x14ac:dyDescent="0.25">
      <c r="C31" s="91"/>
      <c r="F31" t="s">
        <v>235</v>
      </c>
      <c r="G31" t="s">
        <v>204</v>
      </c>
      <c r="H31" s="25">
        <f>'System peak demand'!H233</f>
        <v>0.54830956435053779</v>
      </c>
    </row>
    <row r="32" spans="2:44" x14ac:dyDescent="0.25">
      <c r="C32" s="91"/>
      <c r="F32" t="s">
        <v>236</v>
      </c>
      <c r="G32" t="s">
        <v>204</v>
      </c>
      <c r="H32" s="25">
        <f>'System peak demand'!H234</f>
        <v>0.60934130473685189</v>
      </c>
    </row>
    <row r="33" spans="3:8" x14ac:dyDescent="0.25">
      <c r="C33" s="91"/>
      <c r="F33" t="s">
        <v>437</v>
      </c>
      <c r="G33" t="s">
        <v>204</v>
      </c>
      <c r="H33" s="66"/>
    </row>
    <row r="34" spans="3:8" x14ac:dyDescent="0.25">
      <c r="C34" s="91"/>
      <c r="F34" s="37" t="s">
        <v>438</v>
      </c>
      <c r="G34" s="37" t="s">
        <v>204</v>
      </c>
      <c r="H34" s="68"/>
    </row>
    <row r="35" spans="3:8" x14ac:dyDescent="0.25">
      <c r="C35" s="91"/>
      <c r="F35" s="2"/>
    </row>
    <row r="36" spans="3:8" x14ac:dyDescent="0.25">
      <c r="E36" s="91" t="s">
        <v>455</v>
      </c>
      <c r="F36" s="2"/>
    </row>
    <row r="37" spans="3:8" x14ac:dyDescent="0.25">
      <c r="C37" s="91"/>
      <c r="F37" s="23" t="s">
        <v>226</v>
      </c>
      <c r="G37" s="64" t="s">
        <v>343</v>
      </c>
      <c r="H37" s="127">
        <f t="array" ref="H37:H46">TRANSPOSE('Load &amp; loss characteristics'!J29:S29)</f>
        <v>1</v>
      </c>
    </row>
    <row r="38" spans="3:8" x14ac:dyDescent="0.25">
      <c r="C38" s="91"/>
      <c r="F38" t="s">
        <v>228</v>
      </c>
      <c r="G38" s="28" t="s">
        <v>343</v>
      </c>
      <c r="H38" s="123">
        <v>1</v>
      </c>
    </row>
    <row r="39" spans="3:8" x14ac:dyDescent="0.25">
      <c r="C39" s="91"/>
      <c r="F39" t="s">
        <v>229</v>
      </c>
      <c r="G39" s="28" t="s">
        <v>343</v>
      </c>
      <c r="H39" s="123">
        <v>1.0029999999999999</v>
      </c>
    </row>
    <row r="40" spans="3:8" x14ac:dyDescent="0.25">
      <c r="C40" s="91"/>
      <c r="F40" t="s">
        <v>230</v>
      </c>
      <c r="G40" s="28" t="s">
        <v>343</v>
      </c>
      <c r="H40" s="123">
        <v>1.006</v>
      </c>
    </row>
    <row r="41" spans="3:8" x14ac:dyDescent="0.25">
      <c r="C41" s="91"/>
      <c r="F41" t="s">
        <v>231</v>
      </c>
      <c r="G41" s="28" t="s">
        <v>343</v>
      </c>
      <c r="H41" s="123">
        <v>1.014</v>
      </c>
    </row>
    <row r="42" spans="3:8" x14ac:dyDescent="0.25">
      <c r="C42" s="91"/>
      <c r="F42" t="s">
        <v>232</v>
      </c>
      <c r="G42" s="28" t="s">
        <v>343</v>
      </c>
      <c r="H42" s="123">
        <v>1.02</v>
      </c>
    </row>
    <row r="43" spans="3:8" x14ac:dyDescent="0.25">
      <c r="C43" s="91"/>
      <c r="F43" t="s">
        <v>233</v>
      </c>
      <c r="G43" s="28" t="s">
        <v>343</v>
      </c>
      <c r="H43" s="123">
        <v>1.02</v>
      </c>
    </row>
    <row r="44" spans="3:8" x14ac:dyDescent="0.25">
      <c r="C44" s="91"/>
      <c r="F44" t="s">
        <v>234</v>
      </c>
      <c r="G44" s="28" t="s">
        <v>343</v>
      </c>
      <c r="H44" s="123">
        <v>1.036</v>
      </c>
    </row>
    <row r="45" spans="3:8" x14ac:dyDescent="0.25">
      <c r="C45" s="91"/>
      <c r="F45" t="s">
        <v>235</v>
      </c>
      <c r="G45" s="28" t="s">
        <v>343</v>
      </c>
      <c r="H45" s="123">
        <v>1.0469999999999999</v>
      </c>
    </row>
    <row r="46" spans="3:8" x14ac:dyDescent="0.25">
      <c r="C46" s="91"/>
      <c r="F46" t="s">
        <v>236</v>
      </c>
      <c r="G46" s="28" t="s">
        <v>343</v>
      </c>
      <c r="H46" s="123">
        <v>1.0780000000000001</v>
      </c>
    </row>
    <row r="47" spans="3:8" x14ac:dyDescent="0.25">
      <c r="C47" s="91"/>
      <c r="F47" t="s">
        <v>437</v>
      </c>
      <c r="G47" s="28" t="s">
        <v>343</v>
      </c>
      <c r="H47" s="79"/>
    </row>
    <row r="48" spans="3:8" x14ac:dyDescent="0.25">
      <c r="C48" s="91"/>
      <c r="F48" s="37" t="s">
        <v>438</v>
      </c>
      <c r="G48" s="67" t="s">
        <v>343</v>
      </c>
      <c r="H48" s="81"/>
    </row>
    <row r="49" spans="3:11" x14ac:dyDescent="0.25">
      <c r="C49" s="91"/>
      <c r="F49" s="2"/>
      <c r="H49" s="92"/>
    </row>
    <row r="50" spans="3:11" x14ac:dyDescent="0.25">
      <c r="C50" s="91"/>
      <c r="E50" s="91" t="s">
        <v>697</v>
      </c>
      <c r="H50" s="92"/>
    </row>
    <row r="51" spans="3:11" x14ac:dyDescent="0.25">
      <c r="C51" s="91"/>
      <c r="E51" s="29"/>
      <c r="F51" s="23" t="s">
        <v>226</v>
      </c>
      <c r="G51" s="23" t="s">
        <v>698</v>
      </c>
      <c r="H51" s="83"/>
    </row>
    <row r="52" spans="3:11" x14ac:dyDescent="0.25">
      <c r="C52" s="91"/>
      <c r="E52" s="29"/>
      <c r="F52" t="s">
        <v>228</v>
      </c>
      <c r="G52" t="s">
        <v>698</v>
      </c>
      <c r="H52" s="79"/>
    </row>
    <row r="53" spans="3:11" x14ac:dyDescent="0.25">
      <c r="C53" s="91"/>
      <c r="E53" s="29"/>
      <c r="F53" t="s">
        <v>229</v>
      </c>
      <c r="G53" t="s">
        <v>698</v>
      </c>
      <c r="H53" s="123">
        <f t="array" ref="H53:H60">TRANSPOSE('Unit costs'!L114:S114)</f>
        <v>5.635441156757909</v>
      </c>
      <c r="K53" s="63"/>
    </row>
    <row r="54" spans="3:11" x14ac:dyDescent="0.25">
      <c r="C54" s="91"/>
      <c r="E54" s="29"/>
      <c r="F54" t="s">
        <v>230</v>
      </c>
      <c r="G54" t="s">
        <v>698</v>
      </c>
      <c r="H54" s="123">
        <v>3.1928799746715937</v>
      </c>
      <c r="K54" s="63"/>
    </row>
    <row r="55" spans="3:11" x14ac:dyDescent="0.25">
      <c r="C55" s="91"/>
      <c r="E55" s="29"/>
      <c r="F55" t="s">
        <v>231</v>
      </c>
      <c r="G55" t="s">
        <v>698</v>
      </c>
      <c r="H55" s="123">
        <v>3.9757376741117225</v>
      </c>
      <c r="K55" s="63"/>
    </row>
    <row r="56" spans="3:11" x14ac:dyDescent="0.25">
      <c r="C56" s="91"/>
      <c r="E56" s="29"/>
      <c r="F56" t="s">
        <v>232</v>
      </c>
      <c r="G56" t="s">
        <v>698</v>
      </c>
      <c r="H56" s="123">
        <v>6.4336715085900966</v>
      </c>
      <c r="K56" s="63"/>
    </row>
    <row r="57" spans="3:11" x14ac:dyDescent="0.25">
      <c r="C57" s="91"/>
      <c r="E57" s="29"/>
      <c r="F57" t="s">
        <v>233</v>
      </c>
      <c r="G57" t="s">
        <v>698</v>
      </c>
      <c r="H57" s="123">
        <v>6.677441299770674</v>
      </c>
      <c r="K57" s="63"/>
    </row>
    <row r="58" spans="3:11" x14ac:dyDescent="0.25">
      <c r="C58" s="91"/>
      <c r="E58" s="29"/>
      <c r="F58" t="s">
        <v>234</v>
      </c>
      <c r="G58" t="s">
        <v>698</v>
      </c>
      <c r="H58" s="123">
        <v>13.92481970339955</v>
      </c>
      <c r="K58" s="63"/>
    </row>
    <row r="59" spans="3:11" x14ac:dyDescent="0.25">
      <c r="C59" s="91"/>
      <c r="E59" s="29"/>
      <c r="F59" t="s">
        <v>235</v>
      </c>
      <c r="G59" t="s">
        <v>698</v>
      </c>
      <c r="H59" s="123">
        <v>6.44179487833987</v>
      </c>
      <c r="K59" s="63"/>
    </row>
    <row r="60" spans="3:11" x14ac:dyDescent="0.25">
      <c r="C60" s="91"/>
      <c r="E60" s="29"/>
      <c r="F60" t="s">
        <v>236</v>
      </c>
      <c r="G60" t="s">
        <v>698</v>
      </c>
      <c r="H60" s="123">
        <v>13.219994839399977</v>
      </c>
      <c r="K60" s="63"/>
    </row>
    <row r="61" spans="3:11" x14ac:dyDescent="0.25">
      <c r="C61" s="91"/>
      <c r="E61" s="29"/>
      <c r="F61" t="s">
        <v>437</v>
      </c>
      <c r="G61" t="s">
        <v>698</v>
      </c>
      <c r="H61" s="79"/>
      <c r="K61" s="63"/>
    </row>
    <row r="62" spans="3:11" x14ac:dyDescent="0.25">
      <c r="C62" s="91"/>
      <c r="E62" s="29"/>
      <c r="F62" s="37" t="s">
        <v>438</v>
      </c>
      <c r="G62" s="37" t="s">
        <v>698</v>
      </c>
      <c r="H62" s="81"/>
      <c r="K62" s="63"/>
    </row>
    <row r="63" spans="3:11" x14ac:dyDescent="0.25">
      <c r="C63" s="91"/>
      <c r="D63"/>
      <c r="E63" s="29"/>
      <c r="H63" s="92"/>
    </row>
    <row r="64" spans="3:11" x14ac:dyDescent="0.25">
      <c r="C64" s="91"/>
      <c r="E64" s="91" t="s">
        <v>716</v>
      </c>
      <c r="H64" s="92"/>
    </row>
    <row r="65" spans="3:42" x14ac:dyDescent="0.25">
      <c r="C65" s="91"/>
      <c r="F65" s="23" t="s">
        <v>226</v>
      </c>
      <c r="G65" s="23" t="s">
        <v>698</v>
      </c>
      <c r="H65" s="127">
        <f t="array" ref="H65:H74">TRANSPOSE('Unit costs'!J115:S115)</f>
        <v>2.8030473549949311</v>
      </c>
    </row>
    <row r="66" spans="3:42" x14ac:dyDescent="0.25">
      <c r="C66" s="91"/>
      <c r="F66" t="s">
        <v>228</v>
      </c>
      <c r="G66" t="s">
        <v>698</v>
      </c>
      <c r="H66" s="123">
        <v>0</v>
      </c>
      <c r="K66" s="63"/>
    </row>
    <row r="67" spans="3:42" x14ac:dyDescent="0.25">
      <c r="C67" s="91"/>
      <c r="F67" t="s">
        <v>229</v>
      </c>
      <c r="G67" t="s">
        <v>698</v>
      </c>
      <c r="H67" s="123">
        <v>3.0937813992322276</v>
      </c>
      <c r="K67" s="63"/>
    </row>
    <row r="68" spans="3:42" x14ac:dyDescent="0.25">
      <c r="C68" s="91"/>
      <c r="F68" t="s">
        <v>230</v>
      </c>
      <c r="G68" t="s">
        <v>698</v>
      </c>
      <c r="H68" s="123">
        <v>1.7528481623438572</v>
      </c>
      <c r="K68" s="63"/>
    </row>
    <row r="69" spans="3:42" x14ac:dyDescent="0.25">
      <c r="C69" s="91"/>
      <c r="F69" t="s">
        <v>231</v>
      </c>
      <c r="G69" t="s">
        <v>698</v>
      </c>
      <c r="H69" s="123">
        <v>2.182626510019301</v>
      </c>
      <c r="K69" s="63"/>
    </row>
    <row r="70" spans="3:42" x14ac:dyDescent="0.25">
      <c r="C70" s="91"/>
      <c r="F70" t="s">
        <v>232</v>
      </c>
      <c r="G70" t="s">
        <v>698</v>
      </c>
      <c r="H70" s="123">
        <v>3.5319991263110713</v>
      </c>
      <c r="K70" s="63"/>
    </row>
    <row r="71" spans="3:42" x14ac:dyDescent="0.25">
      <c r="C71" s="91"/>
      <c r="F71" t="s">
        <v>233</v>
      </c>
      <c r="G71" t="s">
        <v>698</v>
      </c>
      <c r="H71" s="123">
        <v>3.6658254630025309</v>
      </c>
      <c r="K71" s="63"/>
    </row>
    <row r="72" spans="3:42" x14ac:dyDescent="0.25">
      <c r="C72" s="91"/>
      <c r="F72" t="s">
        <v>234</v>
      </c>
      <c r="G72" t="s">
        <v>698</v>
      </c>
      <c r="H72" s="123">
        <v>7.6445387304557082</v>
      </c>
      <c r="K72" s="63"/>
    </row>
    <row r="73" spans="3:42" x14ac:dyDescent="0.25">
      <c r="C73" s="91"/>
      <c r="F73" t="s">
        <v>235</v>
      </c>
      <c r="G73" t="s">
        <v>698</v>
      </c>
      <c r="H73" s="123">
        <v>3.5364587470456068</v>
      </c>
      <c r="K73" s="63"/>
    </row>
    <row r="74" spans="3:42" x14ac:dyDescent="0.25">
      <c r="C74" s="91"/>
      <c r="F74" t="s">
        <v>236</v>
      </c>
      <c r="G74" t="s">
        <v>698</v>
      </c>
      <c r="H74" s="123">
        <v>7.2575993599073412</v>
      </c>
      <c r="K74" s="63"/>
    </row>
    <row r="75" spans="3:42" x14ac:dyDescent="0.25">
      <c r="C75" s="91"/>
      <c r="F75" t="s">
        <v>437</v>
      </c>
      <c r="G75" t="s">
        <v>698</v>
      </c>
      <c r="H75" s="79"/>
      <c r="K75" s="63"/>
    </row>
    <row r="76" spans="3:42" x14ac:dyDescent="0.25">
      <c r="C76" s="91"/>
      <c r="F76" s="37" t="s">
        <v>438</v>
      </c>
      <c r="G76" s="37" t="s">
        <v>698</v>
      </c>
      <c r="H76" s="81"/>
    </row>
    <row r="77" spans="3:42" x14ac:dyDescent="0.25">
      <c r="C77" s="91"/>
      <c r="F77" s="2"/>
    </row>
    <row r="78" spans="3:42" x14ac:dyDescent="0.25">
      <c r="E78" s="32" t="s">
        <v>469</v>
      </c>
      <c r="F78" s="2"/>
    </row>
    <row r="79" spans="3:42" x14ac:dyDescent="0.25">
      <c r="E79" s="29" t="s">
        <v>462</v>
      </c>
    </row>
    <row r="80" spans="3:42" x14ac:dyDescent="0.25">
      <c r="C80" s="91"/>
      <c r="F80" s="23" t="s">
        <v>226</v>
      </c>
      <c r="G80" s="64" t="s">
        <v>343</v>
      </c>
      <c r="H80" s="233"/>
      <c r="I80" s="233"/>
      <c r="J80" s="127">
        <f t="array" ref="J80:AP89">TRANSPOSE('Load &amp; loss characteristics'!J230:S262)</f>
        <v>1.0780000000000001</v>
      </c>
      <c r="K80" s="127">
        <v>1.0780000000000001</v>
      </c>
      <c r="L80" s="127">
        <v>1.0780000000000001</v>
      </c>
      <c r="M80" s="127">
        <v>1.0780000000000001</v>
      </c>
      <c r="N80" s="127">
        <v>1.0780000000000001</v>
      </c>
      <c r="O80" s="127">
        <v>1.0780000000000001</v>
      </c>
      <c r="P80" s="127">
        <v>1.0780000000000001</v>
      </c>
      <c r="Q80" s="127">
        <v>1.0469999999999999</v>
      </c>
      <c r="R80" s="127">
        <v>1.036</v>
      </c>
      <c r="S80" s="127">
        <v>1.0780000000000001</v>
      </c>
      <c r="T80" s="127">
        <v>1.0780000000000001</v>
      </c>
      <c r="U80" s="127">
        <v>1.0780000000000001</v>
      </c>
      <c r="V80" s="127">
        <v>1.0469999999999999</v>
      </c>
      <c r="W80" s="127">
        <v>1.036</v>
      </c>
      <c r="X80" s="127">
        <v>1.0780000000000001</v>
      </c>
      <c r="Y80" s="127">
        <v>1.0780000000000001</v>
      </c>
      <c r="Z80" s="127">
        <v>1.0780000000000001</v>
      </c>
      <c r="AA80" s="127">
        <v>1.0780000000000001</v>
      </c>
      <c r="AB80" s="127">
        <v>1.0780000000000001</v>
      </c>
      <c r="AC80" s="127">
        <v>-1.0780000000000001</v>
      </c>
      <c r="AD80" s="127">
        <v>-1.0469999999999999</v>
      </c>
      <c r="AE80" s="127">
        <v>-1.0780000000000001</v>
      </c>
      <c r="AF80" s="127">
        <v>-1.0780000000000001</v>
      </c>
      <c r="AG80" s="127">
        <v>-1.0780000000000001</v>
      </c>
      <c r="AH80" s="127">
        <v>-1.0780000000000001</v>
      </c>
      <c r="AI80" s="127">
        <v>-1.0469999999999999</v>
      </c>
      <c r="AJ80" s="127">
        <v>-1.0469999999999999</v>
      </c>
      <c r="AK80" s="127">
        <v>-1.0469999999999999</v>
      </c>
      <c r="AL80" s="127">
        <v>-1.0469999999999999</v>
      </c>
      <c r="AM80" s="127">
        <v>-1.036</v>
      </c>
      <c r="AN80" s="127">
        <v>-1.036</v>
      </c>
      <c r="AO80" s="127">
        <v>-1.036</v>
      </c>
      <c r="AP80" s="127">
        <v>-1.036</v>
      </c>
    </row>
    <row r="81" spans="3:59" x14ac:dyDescent="0.25">
      <c r="C81" s="91"/>
      <c r="F81" t="s">
        <v>228</v>
      </c>
      <c r="G81" s="28" t="s">
        <v>343</v>
      </c>
      <c r="H81" s="234"/>
      <c r="I81" s="234"/>
      <c r="J81" s="123">
        <v>1.0780000000000001</v>
      </c>
      <c r="K81" s="123">
        <v>1.0780000000000001</v>
      </c>
      <c r="L81" s="123">
        <v>1.0780000000000001</v>
      </c>
      <c r="M81" s="123">
        <v>1.0780000000000001</v>
      </c>
      <c r="N81" s="123">
        <v>1.0780000000000001</v>
      </c>
      <c r="O81" s="123">
        <v>1.0780000000000001</v>
      </c>
      <c r="P81" s="123">
        <v>1.0780000000000001</v>
      </c>
      <c r="Q81" s="123">
        <v>1.0469999999999999</v>
      </c>
      <c r="R81" s="123">
        <v>1.036</v>
      </c>
      <c r="S81" s="123">
        <v>1.0780000000000001</v>
      </c>
      <c r="T81" s="123">
        <v>1.0780000000000001</v>
      </c>
      <c r="U81" s="123">
        <v>1.0780000000000001</v>
      </c>
      <c r="V81" s="123">
        <v>1.0469999999999999</v>
      </c>
      <c r="W81" s="123">
        <v>1.036</v>
      </c>
      <c r="X81" s="123">
        <v>1.0780000000000001</v>
      </c>
      <c r="Y81" s="123">
        <v>1.0780000000000001</v>
      </c>
      <c r="Z81" s="123">
        <v>1.0780000000000001</v>
      </c>
      <c r="AA81" s="123">
        <v>1.0780000000000001</v>
      </c>
      <c r="AB81" s="123">
        <v>1.0780000000000001</v>
      </c>
      <c r="AC81" s="123">
        <v>-1.0780000000000001</v>
      </c>
      <c r="AD81" s="123">
        <v>-1.0469999999999999</v>
      </c>
      <c r="AE81" s="123">
        <v>-1.0780000000000001</v>
      </c>
      <c r="AF81" s="123">
        <v>-1.0780000000000001</v>
      </c>
      <c r="AG81" s="123">
        <v>-1.0780000000000001</v>
      </c>
      <c r="AH81" s="123">
        <v>-1.0780000000000001</v>
      </c>
      <c r="AI81" s="123">
        <v>-1.0469999999999999</v>
      </c>
      <c r="AJ81" s="123">
        <v>-1.0469999999999999</v>
      </c>
      <c r="AK81" s="123">
        <v>-1.0469999999999999</v>
      </c>
      <c r="AL81" s="123">
        <v>-1.0469999999999999</v>
      </c>
      <c r="AM81" s="123">
        <v>-1.036</v>
      </c>
      <c r="AN81" s="123">
        <v>-1.036</v>
      </c>
      <c r="AO81" s="123">
        <v>-1.036</v>
      </c>
      <c r="AP81" s="123">
        <v>-1.036</v>
      </c>
    </row>
    <row r="82" spans="3:59" x14ac:dyDescent="0.25">
      <c r="C82" s="91"/>
      <c r="F82" t="s">
        <v>229</v>
      </c>
      <c r="G82" s="28" t="s">
        <v>343</v>
      </c>
      <c r="H82" s="234"/>
      <c r="I82" s="234"/>
      <c r="J82" s="123">
        <v>1.0780000000000001</v>
      </c>
      <c r="K82" s="123">
        <v>1.0780000000000001</v>
      </c>
      <c r="L82" s="123">
        <v>1.0780000000000001</v>
      </c>
      <c r="M82" s="123">
        <v>1.0780000000000001</v>
      </c>
      <c r="N82" s="123">
        <v>1.0780000000000001</v>
      </c>
      <c r="O82" s="123">
        <v>1.0780000000000001</v>
      </c>
      <c r="P82" s="123">
        <v>1.0780000000000001</v>
      </c>
      <c r="Q82" s="123">
        <v>1.0469999999999999</v>
      </c>
      <c r="R82" s="123">
        <v>1.036</v>
      </c>
      <c r="S82" s="123">
        <v>1.0780000000000001</v>
      </c>
      <c r="T82" s="123">
        <v>1.0780000000000001</v>
      </c>
      <c r="U82" s="123">
        <v>1.0780000000000001</v>
      </c>
      <c r="V82" s="123">
        <v>1.0469999999999999</v>
      </c>
      <c r="W82" s="123">
        <v>1.036</v>
      </c>
      <c r="X82" s="123">
        <v>1.0780000000000001</v>
      </c>
      <c r="Y82" s="123">
        <v>1.0780000000000001</v>
      </c>
      <c r="Z82" s="123">
        <v>1.0780000000000001</v>
      </c>
      <c r="AA82" s="123">
        <v>1.0780000000000001</v>
      </c>
      <c r="AB82" s="123">
        <v>1.0780000000000001</v>
      </c>
      <c r="AC82" s="123">
        <v>-1.0780000000000001</v>
      </c>
      <c r="AD82" s="123">
        <v>-1.0469999999999999</v>
      </c>
      <c r="AE82" s="123">
        <v>-1.0780000000000001</v>
      </c>
      <c r="AF82" s="123">
        <v>-1.0780000000000001</v>
      </c>
      <c r="AG82" s="123">
        <v>-1.0780000000000001</v>
      </c>
      <c r="AH82" s="123">
        <v>-1.0780000000000001</v>
      </c>
      <c r="AI82" s="123">
        <v>-1.0469999999999999</v>
      </c>
      <c r="AJ82" s="123">
        <v>-1.0469999999999999</v>
      </c>
      <c r="AK82" s="123">
        <v>-1.0469999999999999</v>
      </c>
      <c r="AL82" s="123">
        <v>-1.0469999999999999</v>
      </c>
      <c r="AM82" s="123">
        <v>-1.036</v>
      </c>
      <c r="AN82" s="123">
        <v>-1.036</v>
      </c>
      <c r="AO82" s="123">
        <v>-1.036</v>
      </c>
      <c r="AP82" s="123">
        <v>-1.036</v>
      </c>
    </row>
    <row r="83" spans="3:59" x14ac:dyDescent="0.25">
      <c r="C83" s="91"/>
      <c r="F83" t="s">
        <v>230</v>
      </c>
      <c r="G83" s="28" t="s">
        <v>343</v>
      </c>
      <c r="H83" s="234"/>
      <c r="I83" s="234"/>
      <c r="J83" s="123">
        <v>0.99710219855719762</v>
      </c>
      <c r="K83" s="123">
        <v>0.99710219855719762</v>
      </c>
      <c r="L83" s="123">
        <v>0.99710219855719762</v>
      </c>
      <c r="M83" s="123">
        <v>0.99710219855719762</v>
      </c>
      <c r="N83" s="123">
        <v>0.99710219855719762</v>
      </c>
      <c r="O83" s="123">
        <v>0.99710219855719762</v>
      </c>
      <c r="P83" s="123">
        <v>0.99710219855719762</v>
      </c>
      <c r="Q83" s="123">
        <v>0.96842857318124842</v>
      </c>
      <c r="R83" s="123">
        <v>0.95825406095107302</v>
      </c>
      <c r="S83" s="123">
        <v>0.99710219855719762</v>
      </c>
      <c r="T83" s="123">
        <v>0.99710219855719762</v>
      </c>
      <c r="U83" s="123">
        <v>0.99710219855719762</v>
      </c>
      <c r="V83" s="123">
        <v>0.96842857318124842</v>
      </c>
      <c r="W83" s="123">
        <v>0.95825406095107302</v>
      </c>
      <c r="X83" s="123">
        <v>0.99710219855719762</v>
      </c>
      <c r="Y83" s="123">
        <v>0.99710219855719762</v>
      </c>
      <c r="Z83" s="123">
        <v>0.99710219855719762</v>
      </c>
      <c r="AA83" s="123">
        <v>0.99710219855719762</v>
      </c>
      <c r="AB83" s="123">
        <v>0.99710219855719762</v>
      </c>
      <c r="AC83" s="123">
        <v>-0.99710219855719762</v>
      </c>
      <c r="AD83" s="123">
        <v>-0.96842857318124842</v>
      </c>
      <c r="AE83" s="123">
        <v>-0.99710219855719762</v>
      </c>
      <c r="AF83" s="123">
        <v>-0.99710219855719762</v>
      </c>
      <c r="AG83" s="123">
        <v>-0.99710219855719762</v>
      </c>
      <c r="AH83" s="123">
        <v>-0.99710219855719762</v>
      </c>
      <c r="AI83" s="123">
        <v>-0.96842857318124842</v>
      </c>
      <c r="AJ83" s="123">
        <v>-0.96842857318124842</v>
      </c>
      <c r="AK83" s="123">
        <v>-0.96842857318124842</v>
      </c>
      <c r="AL83" s="123">
        <v>-0.96842857318124842</v>
      </c>
      <c r="AM83" s="123">
        <v>-0.95825406095107302</v>
      </c>
      <c r="AN83" s="123">
        <v>-0.95825406095107302</v>
      </c>
      <c r="AO83" s="123">
        <v>-0.95825406095107302</v>
      </c>
      <c r="AP83" s="123">
        <v>-0.95825406095107302</v>
      </c>
    </row>
    <row r="84" spans="3:59" x14ac:dyDescent="0.25">
      <c r="C84" s="91"/>
      <c r="F84" t="s">
        <v>231</v>
      </c>
      <c r="G84" s="28" t="s">
        <v>343</v>
      </c>
      <c r="H84" s="234"/>
      <c r="I84" s="234"/>
      <c r="J84" s="123">
        <v>0.99710219855719762</v>
      </c>
      <c r="K84" s="123">
        <v>0.99710219855719762</v>
      </c>
      <c r="L84" s="123">
        <v>0.99710219855719762</v>
      </c>
      <c r="M84" s="123">
        <v>0.99710219855719762</v>
      </c>
      <c r="N84" s="123">
        <v>0.99710219855719762</v>
      </c>
      <c r="O84" s="123">
        <v>0.99710219855719762</v>
      </c>
      <c r="P84" s="123">
        <v>0.99710219855719762</v>
      </c>
      <c r="Q84" s="123">
        <v>0.96842857318124842</v>
      </c>
      <c r="R84" s="123">
        <v>0.95825406095107302</v>
      </c>
      <c r="S84" s="123">
        <v>0.99710219855719762</v>
      </c>
      <c r="T84" s="123">
        <v>0.99710219855719762</v>
      </c>
      <c r="U84" s="123">
        <v>0.99710219855719762</v>
      </c>
      <c r="V84" s="123">
        <v>0.96842857318124842</v>
      </c>
      <c r="W84" s="123">
        <v>0.95825406095107302</v>
      </c>
      <c r="X84" s="123">
        <v>0.99710219855719762</v>
      </c>
      <c r="Y84" s="123">
        <v>0.99710219855719762</v>
      </c>
      <c r="Z84" s="123">
        <v>0.99710219855719762</v>
      </c>
      <c r="AA84" s="123">
        <v>0.99710219855719762</v>
      </c>
      <c r="AB84" s="123">
        <v>0.99710219855719762</v>
      </c>
      <c r="AC84" s="123">
        <v>-0.99710219855719762</v>
      </c>
      <c r="AD84" s="123">
        <v>-0.96842857318124842</v>
      </c>
      <c r="AE84" s="123">
        <v>-0.99710219855719762</v>
      </c>
      <c r="AF84" s="123">
        <v>-0.99710219855719762</v>
      </c>
      <c r="AG84" s="123">
        <v>-0.99710219855719762</v>
      </c>
      <c r="AH84" s="123">
        <v>-0.99710219855719762</v>
      </c>
      <c r="AI84" s="123">
        <v>-0.96842857318124842</v>
      </c>
      <c r="AJ84" s="123">
        <v>-0.96842857318124842</v>
      </c>
      <c r="AK84" s="123">
        <v>-0.96842857318124842</v>
      </c>
      <c r="AL84" s="123">
        <v>-0.96842857318124842</v>
      </c>
      <c r="AM84" s="123">
        <v>-0.95825406095107302</v>
      </c>
      <c r="AN84" s="123">
        <v>-0.95825406095107302</v>
      </c>
      <c r="AO84" s="123">
        <v>-0.95825406095107302</v>
      </c>
      <c r="AP84" s="123">
        <v>-0.95825406095107302</v>
      </c>
    </row>
    <row r="85" spans="3:59" x14ac:dyDescent="0.25">
      <c r="C85" s="91"/>
      <c r="F85" t="s">
        <v>232</v>
      </c>
      <c r="G85" s="28" t="s">
        <v>343</v>
      </c>
      <c r="H85" s="234"/>
      <c r="I85" s="234"/>
      <c r="J85" s="123">
        <v>0.99710219855719762</v>
      </c>
      <c r="K85" s="123">
        <v>0.99710219855719762</v>
      </c>
      <c r="L85" s="123">
        <v>0.99710219855719762</v>
      </c>
      <c r="M85" s="123">
        <v>0.99710219855719762</v>
      </c>
      <c r="N85" s="123">
        <v>0.99710219855719762</v>
      </c>
      <c r="O85" s="123">
        <v>0.99710219855719762</v>
      </c>
      <c r="P85" s="123">
        <v>0.99710219855719762</v>
      </c>
      <c r="Q85" s="123">
        <v>0.96842857318124842</v>
      </c>
      <c r="R85" s="123">
        <v>0.95825406095107302</v>
      </c>
      <c r="S85" s="123">
        <v>0.99710219855719762</v>
      </c>
      <c r="T85" s="123">
        <v>0.99710219855719762</v>
      </c>
      <c r="U85" s="123">
        <v>0.99710219855719762</v>
      </c>
      <c r="V85" s="123">
        <v>0.96842857318124842</v>
      </c>
      <c r="W85" s="123">
        <v>0.95825406095107302</v>
      </c>
      <c r="X85" s="123">
        <v>0.99710219855719762</v>
      </c>
      <c r="Y85" s="123">
        <v>0.99710219855719762</v>
      </c>
      <c r="Z85" s="123">
        <v>0.99710219855719762</v>
      </c>
      <c r="AA85" s="123">
        <v>0.99710219855719762</v>
      </c>
      <c r="AB85" s="123">
        <v>0.99710219855719762</v>
      </c>
      <c r="AC85" s="123">
        <v>-0.99710219855719762</v>
      </c>
      <c r="AD85" s="123">
        <v>-0.96842857318124842</v>
      </c>
      <c r="AE85" s="123">
        <v>-0.99710219855719762</v>
      </c>
      <c r="AF85" s="123">
        <v>-0.99710219855719762</v>
      </c>
      <c r="AG85" s="123">
        <v>-0.99710219855719762</v>
      </c>
      <c r="AH85" s="123">
        <v>-0.99710219855719762</v>
      </c>
      <c r="AI85" s="123">
        <v>-0.96842857318124842</v>
      </c>
      <c r="AJ85" s="123">
        <v>-0.96842857318124842</v>
      </c>
      <c r="AK85" s="123">
        <v>-0.96842857318124842</v>
      </c>
      <c r="AL85" s="123">
        <v>-0.96842857318124842</v>
      </c>
      <c r="AM85" s="123">
        <v>-0.95825406095107302</v>
      </c>
      <c r="AN85" s="123">
        <v>-0.95825406095107302</v>
      </c>
      <c r="AO85" s="123">
        <v>-0.95825406095107302</v>
      </c>
      <c r="AP85" s="123">
        <v>-0.95825406095107302</v>
      </c>
    </row>
    <row r="86" spans="3:59" x14ac:dyDescent="0.25">
      <c r="C86" s="91"/>
      <c r="F86" t="s">
        <v>233</v>
      </c>
      <c r="G86" s="28" t="s">
        <v>343</v>
      </c>
      <c r="H86" s="234"/>
      <c r="I86" s="234"/>
      <c r="J86" s="123">
        <v>8.0897801442802481E-2</v>
      </c>
      <c r="K86" s="123">
        <v>8.0897801442802481E-2</v>
      </c>
      <c r="L86" s="123">
        <v>8.0897801442802481E-2</v>
      </c>
      <c r="M86" s="123">
        <v>8.0897801442802481E-2</v>
      </c>
      <c r="N86" s="123">
        <v>8.0897801442802481E-2</v>
      </c>
      <c r="O86" s="123">
        <v>8.0897801442802481E-2</v>
      </c>
      <c r="P86" s="123">
        <v>8.0897801442802481E-2</v>
      </c>
      <c r="Q86" s="123">
        <v>7.8571426818751552E-2</v>
      </c>
      <c r="R86" s="123">
        <v>7.7745939048927057E-2</v>
      </c>
      <c r="S86" s="123">
        <v>8.0897801442802481E-2</v>
      </c>
      <c r="T86" s="123">
        <v>8.0897801442802481E-2</v>
      </c>
      <c r="U86" s="123">
        <v>8.0897801442802481E-2</v>
      </c>
      <c r="V86" s="123">
        <v>7.8571426818751552E-2</v>
      </c>
      <c r="W86" s="123">
        <v>7.7745939048927057E-2</v>
      </c>
      <c r="X86" s="123">
        <v>8.0897801442802481E-2</v>
      </c>
      <c r="Y86" s="123">
        <v>8.0897801442802481E-2</v>
      </c>
      <c r="Z86" s="123">
        <v>8.0897801442802481E-2</v>
      </c>
      <c r="AA86" s="123">
        <v>8.0897801442802481E-2</v>
      </c>
      <c r="AB86" s="123">
        <v>8.0897801442802481E-2</v>
      </c>
      <c r="AC86" s="123">
        <v>-8.0897801442802481E-2</v>
      </c>
      <c r="AD86" s="123">
        <v>-7.8571426818751552E-2</v>
      </c>
      <c r="AE86" s="123">
        <v>-8.0897801442802481E-2</v>
      </c>
      <c r="AF86" s="123">
        <v>-8.0897801442802481E-2</v>
      </c>
      <c r="AG86" s="123">
        <v>-8.0897801442802481E-2</v>
      </c>
      <c r="AH86" s="123">
        <v>-8.0897801442802481E-2</v>
      </c>
      <c r="AI86" s="123">
        <v>-7.8571426818751552E-2</v>
      </c>
      <c r="AJ86" s="123">
        <v>-7.8571426818751552E-2</v>
      </c>
      <c r="AK86" s="123">
        <v>-7.8571426818751552E-2</v>
      </c>
      <c r="AL86" s="123">
        <v>-7.8571426818751552E-2</v>
      </c>
      <c r="AM86" s="123">
        <v>-7.7745939048927057E-2</v>
      </c>
      <c r="AN86" s="123">
        <v>-7.7745939048927057E-2</v>
      </c>
      <c r="AO86" s="123">
        <v>-7.7745939048927057E-2</v>
      </c>
      <c r="AP86" s="123">
        <v>-7.7745939048927057E-2</v>
      </c>
    </row>
    <row r="87" spans="3:59" x14ac:dyDescent="0.25">
      <c r="C87" s="91"/>
      <c r="F87" t="s">
        <v>234</v>
      </c>
      <c r="G87" s="28" t="s">
        <v>343</v>
      </c>
      <c r="H87" s="234"/>
      <c r="I87" s="234"/>
      <c r="J87" s="123">
        <v>1.0780000000000001</v>
      </c>
      <c r="K87" s="123">
        <v>1.0780000000000001</v>
      </c>
      <c r="L87" s="123">
        <v>1.0780000000000001</v>
      </c>
      <c r="M87" s="123">
        <v>1.0780000000000001</v>
      </c>
      <c r="N87" s="123">
        <v>1.0780000000000001</v>
      </c>
      <c r="O87" s="123">
        <v>1.0780000000000001</v>
      </c>
      <c r="P87" s="123">
        <v>1.0780000000000001</v>
      </c>
      <c r="Q87" s="123">
        <v>1.0469999999999999</v>
      </c>
      <c r="R87" s="123">
        <v>1.036</v>
      </c>
      <c r="S87" s="123">
        <v>1.0780000000000001</v>
      </c>
      <c r="T87" s="123">
        <v>1.0780000000000001</v>
      </c>
      <c r="U87" s="123">
        <v>1.0780000000000001</v>
      </c>
      <c r="V87" s="123">
        <v>1.0469999999999999</v>
      </c>
      <c r="W87" s="123">
        <v>1.036</v>
      </c>
      <c r="X87" s="123">
        <v>1.0780000000000001</v>
      </c>
      <c r="Y87" s="123">
        <v>1.0780000000000001</v>
      </c>
      <c r="Z87" s="123">
        <v>1.0780000000000001</v>
      </c>
      <c r="AA87" s="123">
        <v>1.0780000000000001</v>
      </c>
      <c r="AB87" s="123">
        <v>1.0780000000000001</v>
      </c>
      <c r="AC87" s="123">
        <v>-1.0780000000000001</v>
      </c>
      <c r="AD87" s="123">
        <v>-1.0469999999999999</v>
      </c>
      <c r="AE87" s="123">
        <v>-1.0780000000000001</v>
      </c>
      <c r="AF87" s="123">
        <v>-1.0780000000000001</v>
      </c>
      <c r="AG87" s="123">
        <v>-1.0780000000000001</v>
      </c>
      <c r="AH87" s="123">
        <v>-1.0780000000000001</v>
      </c>
      <c r="AI87" s="123">
        <v>-1.0469999999999999</v>
      </c>
      <c r="AJ87" s="123">
        <v>-1.0469999999999999</v>
      </c>
      <c r="AK87" s="123">
        <v>-1.0469999999999999</v>
      </c>
      <c r="AL87" s="123">
        <v>-1.0469999999999999</v>
      </c>
      <c r="AM87" s="123">
        <v>0</v>
      </c>
      <c r="AN87" s="123">
        <v>0</v>
      </c>
      <c r="AO87" s="123">
        <v>0</v>
      </c>
      <c r="AP87" s="123">
        <v>0</v>
      </c>
    </row>
    <row r="88" spans="3:59" x14ac:dyDescent="0.25">
      <c r="C88" s="91"/>
      <c r="F88" t="s">
        <v>235</v>
      </c>
      <c r="G88" s="28" t="s">
        <v>343</v>
      </c>
      <c r="H88" s="234"/>
      <c r="I88" s="234"/>
      <c r="J88" s="123">
        <v>1.0780000000000001</v>
      </c>
      <c r="K88" s="123">
        <v>1.0780000000000001</v>
      </c>
      <c r="L88" s="123">
        <v>1.0780000000000001</v>
      </c>
      <c r="M88" s="123">
        <v>1.0780000000000001</v>
      </c>
      <c r="N88" s="123">
        <v>1.0780000000000001</v>
      </c>
      <c r="O88" s="123">
        <v>1.0780000000000001</v>
      </c>
      <c r="P88" s="123">
        <v>1.0780000000000001</v>
      </c>
      <c r="Q88" s="123">
        <v>1.0469999999999999</v>
      </c>
      <c r="R88" s="123">
        <v>0</v>
      </c>
      <c r="S88" s="123">
        <v>1.0780000000000001</v>
      </c>
      <c r="T88" s="123">
        <v>1.0780000000000001</v>
      </c>
      <c r="U88" s="123">
        <v>1.0780000000000001</v>
      </c>
      <c r="V88" s="123">
        <v>1.0469999999999999</v>
      </c>
      <c r="W88" s="123">
        <v>0</v>
      </c>
      <c r="X88" s="123">
        <v>1.0780000000000001</v>
      </c>
      <c r="Y88" s="123">
        <v>1.0780000000000001</v>
      </c>
      <c r="Z88" s="123">
        <v>1.0780000000000001</v>
      </c>
      <c r="AA88" s="123">
        <v>1.0780000000000001</v>
      </c>
      <c r="AB88" s="123">
        <v>1.0780000000000001</v>
      </c>
      <c r="AC88" s="123">
        <v>-1.0780000000000001</v>
      </c>
      <c r="AD88" s="123">
        <v>0</v>
      </c>
      <c r="AE88" s="123">
        <v>-1.0780000000000001</v>
      </c>
      <c r="AF88" s="123">
        <v>-1.0780000000000001</v>
      </c>
      <c r="AG88" s="123">
        <v>-1.0780000000000001</v>
      </c>
      <c r="AH88" s="123">
        <v>-1.0780000000000001</v>
      </c>
      <c r="AI88" s="123">
        <v>0</v>
      </c>
      <c r="AJ88" s="123">
        <v>0</v>
      </c>
      <c r="AK88" s="123">
        <v>0</v>
      </c>
      <c r="AL88" s="123">
        <v>0</v>
      </c>
      <c r="AM88" s="123">
        <v>0</v>
      </c>
      <c r="AN88" s="123">
        <v>0</v>
      </c>
      <c r="AO88" s="123">
        <v>0</v>
      </c>
      <c r="AP88" s="123">
        <v>0</v>
      </c>
    </row>
    <row r="89" spans="3:59" x14ac:dyDescent="0.25">
      <c r="C89" s="91"/>
      <c r="F89" t="s">
        <v>236</v>
      </c>
      <c r="G89" s="28" t="s">
        <v>343</v>
      </c>
      <c r="H89" s="234"/>
      <c r="I89" s="234"/>
      <c r="J89" s="123">
        <v>1.0780000000000001</v>
      </c>
      <c r="K89" s="123">
        <v>1.0780000000000001</v>
      </c>
      <c r="L89" s="123">
        <v>1.0780000000000001</v>
      </c>
      <c r="M89" s="123">
        <v>1.0780000000000001</v>
      </c>
      <c r="N89" s="123">
        <v>1.0780000000000001</v>
      </c>
      <c r="O89" s="123">
        <v>1.0780000000000001</v>
      </c>
      <c r="P89" s="123">
        <v>1.0780000000000001</v>
      </c>
      <c r="Q89" s="123">
        <v>0</v>
      </c>
      <c r="R89" s="123">
        <v>0</v>
      </c>
      <c r="S89" s="123">
        <v>1.0780000000000001</v>
      </c>
      <c r="T89" s="123">
        <v>1.0780000000000001</v>
      </c>
      <c r="U89" s="123">
        <v>1.0780000000000001</v>
      </c>
      <c r="V89" s="123">
        <v>0</v>
      </c>
      <c r="W89" s="123">
        <v>0</v>
      </c>
      <c r="X89" s="123">
        <v>1.0780000000000001</v>
      </c>
      <c r="Y89" s="123">
        <v>1.0780000000000001</v>
      </c>
      <c r="Z89" s="123">
        <v>1.0780000000000001</v>
      </c>
      <c r="AA89" s="123">
        <v>1.0780000000000001</v>
      </c>
      <c r="AB89" s="123">
        <v>1.0780000000000001</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437</v>
      </c>
      <c r="G90" s="28" t="s">
        <v>343</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438</v>
      </c>
      <c r="G91" s="67" t="s">
        <v>343</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122</v>
      </c>
      <c r="H93" s="14"/>
      <c r="J93" s="63"/>
      <c r="K93" s="63"/>
      <c r="L93" s="63"/>
      <c r="M93" s="63"/>
      <c r="N93" s="63"/>
      <c r="O93" s="63"/>
      <c r="P93" s="63"/>
      <c r="Q93" s="63"/>
      <c r="R93" s="63"/>
      <c r="S93" s="63"/>
      <c r="BG93" s="3"/>
    </row>
    <row r="94" spans="3:59" x14ac:dyDescent="0.25">
      <c r="C94" s="32"/>
      <c r="D94"/>
      <c r="E94"/>
      <c r="F94" s="23" t="s">
        <v>228</v>
      </c>
      <c r="G94" s="23" t="s">
        <v>204</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229</v>
      </c>
      <c r="G95" t="s">
        <v>204</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1.5008868542263909E-2</v>
      </c>
      <c r="S95" s="25">
        <f>'Standing charge factors'!S45</f>
        <v>0</v>
      </c>
      <c r="T95" s="25">
        <f>'Standing charge factors'!T45</f>
        <v>0</v>
      </c>
      <c r="U95" s="25">
        <f>'Standing charge factors'!U45</f>
        <v>0</v>
      </c>
      <c r="V95" s="25">
        <f>'Standing charge factors'!V45</f>
        <v>0</v>
      </c>
      <c r="W95" s="25">
        <f>'Standing charge factors'!W45</f>
        <v>1.5008868542263909E-2</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230</v>
      </c>
      <c r="G96" t="s">
        <v>204</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231</v>
      </c>
      <c r="G97" t="s">
        <v>204</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232</v>
      </c>
      <c r="G98" t="s">
        <v>204</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233</v>
      </c>
      <c r="G99" t="s">
        <v>204</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234</v>
      </c>
      <c r="G100" t="s">
        <v>204</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235</v>
      </c>
      <c r="G101" t="s">
        <v>204</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236</v>
      </c>
      <c r="G102" s="37" t="s">
        <v>204</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821</v>
      </c>
    </row>
    <row r="105" spans="3:59" x14ac:dyDescent="0.25">
      <c r="C105" s="91"/>
      <c r="F105" s="23" t="s">
        <v>226</v>
      </c>
      <c r="G105" s="23" t="s">
        <v>204</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228</v>
      </c>
      <c r="G106" t="s">
        <v>204</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229</v>
      </c>
      <c r="G107" t="s">
        <v>204</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230</v>
      </c>
      <c r="G108" t="s">
        <v>204</v>
      </c>
      <c r="H108" s="234"/>
      <c r="I108" s="234"/>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row>
    <row r="109" spans="3:59" x14ac:dyDescent="0.25">
      <c r="C109" s="91"/>
      <c r="F109" t="s">
        <v>231</v>
      </c>
      <c r="G109" t="s">
        <v>204</v>
      </c>
      <c r="H109" s="234"/>
      <c r="I109" s="234"/>
      <c r="J109" s="25">
        <v>0</v>
      </c>
      <c r="K109" s="25">
        <v>0</v>
      </c>
      <c r="L109" s="25">
        <v>0</v>
      </c>
      <c r="M109" s="25">
        <v>0</v>
      </c>
      <c r="N109" s="25">
        <v>0</v>
      </c>
      <c r="O109" s="25">
        <v>0</v>
      </c>
      <c r="P109" s="25">
        <v>0</v>
      </c>
      <c r="Q109" s="25">
        <v>0</v>
      </c>
      <c r="R109" s="25">
        <v>6.5420049562801799E-2</v>
      </c>
      <c r="S109" s="25">
        <v>0</v>
      </c>
      <c r="T109" s="25">
        <v>0</v>
      </c>
      <c r="U109" s="25">
        <v>0</v>
      </c>
      <c r="V109" s="25">
        <v>0</v>
      </c>
      <c r="W109" s="25">
        <v>6.5420049562801799E-2</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6.5420049562801799E-2</v>
      </c>
      <c r="AN109" s="25">
        <v>6.5420049562801799E-2</v>
      </c>
      <c r="AO109" s="25">
        <v>6.5420049562801799E-2</v>
      </c>
      <c r="AP109" s="25">
        <v>6.5420049562801799E-2</v>
      </c>
    </row>
    <row r="110" spans="3:59" x14ac:dyDescent="0.25">
      <c r="C110" s="91"/>
      <c r="F110" t="s">
        <v>232</v>
      </c>
      <c r="G110" t="s">
        <v>204</v>
      </c>
      <c r="H110" s="234"/>
      <c r="I110" s="234"/>
      <c r="J110" s="25">
        <v>0</v>
      </c>
      <c r="K110" s="25">
        <v>0</v>
      </c>
      <c r="L110" s="25">
        <v>0</v>
      </c>
      <c r="M110" s="25">
        <v>0</v>
      </c>
      <c r="N110" s="25">
        <v>0</v>
      </c>
      <c r="O110" s="25">
        <v>0</v>
      </c>
      <c r="P110" s="25">
        <v>0</v>
      </c>
      <c r="Q110" s="25">
        <v>0</v>
      </c>
      <c r="R110" s="25">
        <v>0.35162962287700078</v>
      </c>
      <c r="S110" s="25">
        <v>0</v>
      </c>
      <c r="T110" s="25">
        <v>0</v>
      </c>
      <c r="U110" s="25">
        <v>0</v>
      </c>
      <c r="V110" s="25">
        <v>0</v>
      </c>
      <c r="W110" s="25">
        <v>0.35162962287700078</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0.35162962287700078</v>
      </c>
      <c r="AN110" s="25">
        <v>0.35162962287700078</v>
      </c>
      <c r="AO110" s="25">
        <v>0.35162962287700078</v>
      </c>
      <c r="AP110" s="25">
        <v>0.35162962287700078</v>
      </c>
    </row>
    <row r="111" spans="3:59" x14ac:dyDescent="0.25">
      <c r="C111" s="91"/>
      <c r="F111" t="s">
        <v>233</v>
      </c>
      <c r="G111" t="s">
        <v>204</v>
      </c>
      <c r="H111" s="234"/>
      <c r="I111" s="234"/>
      <c r="J111" s="25">
        <v>0</v>
      </c>
      <c r="K111" s="25">
        <v>0</v>
      </c>
      <c r="L111" s="25">
        <v>0</v>
      </c>
      <c r="M111" s="25">
        <v>0</v>
      </c>
      <c r="N111" s="25">
        <v>0</v>
      </c>
      <c r="O111" s="25">
        <v>0</v>
      </c>
      <c r="P111" s="25">
        <v>0</v>
      </c>
      <c r="Q111" s="25">
        <v>0</v>
      </c>
      <c r="R111" s="25">
        <v>0.35162962287700078</v>
      </c>
      <c r="S111" s="25">
        <v>0</v>
      </c>
      <c r="T111" s="25">
        <v>0</v>
      </c>
      <c r="U111" s="25">
        <v>0</v>
      </c>
      <c r="V111" s="25">
        <v>0</v>
      </c>
      <c r="W111" s="25">
        <v>0.35162962287700078</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0.35162962287700078</v>
      </c>
      <c r="AN111" s="25">
        <v>0.35162962287700078</v>
      </c>
      <c r="AO111" s="25">
        <v>0.35162962287700078</v>
      </c>
      <c r="AP111" s="25">
        <v>0.35162962287700078</v>
      </c>
    </row>
    <row r="112" spans="3:59" x14ac:dyDescent="0.25">
      <c r="C112" s="91"/>
      <c r="F112" t="s">
        <v>234</v>
      </c>
      <c r="G112" t="s">
        <v>204</v>
      </c>
      <c r="H112" s="234"/>
      <c r="I112" s="234"/>
      <c r="J112" s="25">
        <v>0.47913351897273304</v>
      </c>
      <c r="K112" s="25">
        <v>0.47913351897273304</v>
      </c>
      <c r="L112" s="25">
        <v>0.47913351897273304</v>
      </c>
      <c r="M112" s="25">
        <v>0.47913351897273304</v>
      </c>
      <c r="N112" s="25">
        <v>0.47913351897273304</v>
      </c>
      <c r="O112" s="25">
        <v>0.47913351897273304</v>
      </c>
      <c r="P112" s="25">
        <v>0.47913351897273304</v>
      </c>
      <c r="Q112" s="25">
        <v>0.47913351897273304</v>
      </c>
      <c r="R112" s="25">
        <v>0.63783919619119978</v>
      </c>
      <c r="S112" s="25">
        <v>0.47913351897273304</v>
      </c>
      <c r="T112" s="25">
        <v>0.47913351897273304</v>
      </c>
      <c r="U112" s="25">
        <v>0.47913351897273304</v>
      </c>
      <c r="V112" s="25">
        <v>0.47913351897273304</v>
      </c>
      <c r="W112" s="25">
        <v>0.63783919619119978</v>
      </c>
      <c r="X112" s="25">
        <v>0.47913351897273304</v>
      </c>
      <c r="Y112" s="25">
        <v>0.47913351897273304</v>
      </c>
      <c r="Z112" s="25">
        <v>0.47913351897273304</v>
      </c>
      <c r="AA112" s="25">
        <v>0.47913351897273304</v>
      </c>
      <c r="AB112" s="25">
        <v>0.47913351897273304</v>
      </c>
      <c r="AC112" s="25">
        <v>0.47913351897273304</v>
      </c>
      <c r="AD112" s="25">
        <v>0.47913351897273304</v>
      </c>
      <c r="AE112" s="25">
        <v>0.47913351897273304</v>
      </c>
      <c r="AF112" s="25">
        <v>0.47913351897273304</v>
      </c>
      <c r="AG112" s="25">
        <v>0.47913351897273304</v>
      </c>
      <c r="AH112" s="25">
        <v>0.47913351897273304</v>
      </c>
      <c r="AI112" s="25">
        <v>0.47913351897273304</v>
      </c>
      <c r="AJ112" s="25">
        <v>0.47913351897273304</v>
      </c>
      <c r="AK112" s="25">
        <v>0.47913351897273304</v>
      </c>
      <c r="AL112" s="25">
        <v>0.47913351897273304</v>
      </c>
      <c r="AM112" s="25">
        <v>0.63783919619119978</v>
      </c>
      <c r="AN112" s="25">
        <v>0.63783919619119978</v>
      </c>
      <c r="AO112" s="25">
        <v>0.63783919619119978</v>
      </c>
      <c r="AP112" s="25">
        <v>0.63783919619119978</v>
      </c>
    </row>
    <row r="113" spans="2:44" x14ac:dyDescent="0.25">
      <c r="C113" s="91"/>
      <c r="F113" t="s">
        <v>235</v>
      </c>
      <c r="G113" t="s">
        <v>204</v>
      </c>
      <c r="H113" s="234"/>
      <c r="I113" s="234"/>
      <c r="J113" s="25">
        <v>0.70892384564689981</v>
      </c>
      <c r="K113" s="25">
        <v>0.70892384564689981</v>
      </c>
      <c r="L113" s="25">
        <v>0.70892384564689981</v>
      </c>
      <c r="M113" s="25">
        <v>0.70892384564689981</v>
      </c>
      <c r="N113" s="25">
        <v>0.70892384564689981</v>
      </c>
      <c r="O113" s="25">
        <v>0.70892384564689981</v>
      </c>
      <c r="P113" s="25">
        <v>0.70892384564689981</v>
      </c>
      <c r="Q113" s="25">
        <v>0.70892384564689981</v>
      </c>
      <c r="R113" s="25">
        <v>0</v>
      </c>
      <c r="S113" s="25">
        <v>0.70892384564689981</v>
      </c>
      <c r="T113" s="25">
        <v>0.70892384564689981</v>
      </c>
      <c r="U113" s="25">
        <v>0.70892384564689981</v>
      </c>
      <c r="V113" s="25">
        <v>0.70892384564689981</v>
      </c>
      <c r="W113" s="25">
        <v>0</v>
      </c>
      <c r="X113" s="25">
        <v>0.70892384564689981</v>
      </c>
      <c r="Y113" s="25">
        <v>0.70892384564689981</v>
      </c>
      <c r="Z113" s="25">
        <v>0.70892384564689981</v>
      </c>
      <c r="AA113" s="25">
        <v>0.70892384564689981</v>
      </c>
      <c r="AB113" s="25">
        <v>0.70892384564689981</v>
      </c>
      <c r="AC113" s="25">
        <v>0.70892384564689981</v>
      </c>
      <c r="AD113" s="25">
        <v>0.70892384564689981</v>
      </c>
      <c r="AE113" s="25">
        <v>0.70892384564689981</v>
      </c>
      <c r="AF113" s="25">
        <v>0.70892384564689981</v>
      </c>
      <c r="AG113" s="25">
        <v>0.70892384564689981</v>
      </c>
      <c r="AH113" s="25">
        <v>0.70892384564689981</v>
      </c>
      <c r="AI113" s="25">
        <v>0.70892384564689981</v>
      </c>
      <c r="AJ113" s="25">
        <v>0.70892384564689981</v>
      </c>
      <c r="AK113" s="25">
        <v>0.70892384564689981</v>
      </c>
      <c r="AL113" s="25">
        <v>0.70892384564689981</v>
      </c>
      <c r="AM113" s="25">
        <v>0</v>
      </c>
      <c r="AN113" s="25">
        <v>0</v>
      </c>
      <c r="AO113" s="25">
        <v>0</v>
      </c>
      <c r="AP113" s="25">
        <v>0</v>
      </c>
    </row>
    <row r="114" spans="2:44" x14ac:dyDescent="0.25">
      <c r="C114" s="91"/>
      <c r="F114" t="s">
        <v>236</v>
      </c>
      <c r="G114" t="s">
        <v>204</v>
      </c>
      <c r="H114" s="234"/>
      <c r="I114" s="234"/>
      <c r="J114" s="25">
        <v>0.93871417232106646</v>
      </c>
      <c r="K114" s="25">
        <v>0.93871417232106646</v>
      </c>
      <c r="L114" s="25">
        <v>0.93871417232106646</v>
      </c>
      <c r="M114" s="25">
        <v>0.93871417232106646</v>
      </c>
      <c r="N114" s="25">
        <v>0.93871417232106646</v>
      </c>
      <c r="O114" s="25">
        <v>0.93871417232106646</v>
      </c>
      <c r="P114" s="25">
        <v>0.93871417232106646</v>
      </c>
      <c r="Q114" s="25">
        <v>0</v>
      </c>
      <c r="R114" s="25">
        <v>0</v>
      </c>
      <c r="S114" s="25">
        <v>0.93871417232106646</v>
      </c>
      <c r="T114" s="25">
        <v>0.93871417232106646</v>
      </c>
      <c r="U114" s="25">
        <v>0.93871417232106646</v>
      </c>
      <c r="V114" s="25">
        <v>0</v>
      </c>
      <c r="W114" s="25">
        <v>0</v>
      </c>
      <c r="X114" s="25">
        <v>0.93871417232106646</v>
      </c>
      <c r="Y114" s="25">
        <v>0.93871417232106646</v>
      </c>
      <c r="Z114" s="25">
        <v>0.93871417232106646</v>
      </c>
      <c r="AA114" s="25">
        <v>0.93871417232106646</v>
      </c>
      <c r="AB114" s="25">
        <v>0.93871417232106646</v>
      </c>
      <c r="AC114" s="25">
        <v>0.93871417232106646</v>
      </c>
      <c r="AD114" s="25">
        <v>0</v>
      </c>
      <c r="AE114" s="25">
        <v>0.93871417232106646</v>
      </c>
      <c r="AF114" s="25">
        <v>0.93871417232106646</v>
      </c>
      <c r="AG114" s="25">
        <v>0.93871417232106646</v>
      </c>
      <c r="AH114" s="25">
        <v>0.93871417232106646</v>
      </c>
      <c r="AI114" s="25">
        <v>0</v>
      </c>
      <c r="AJ114" s="25">
        <v>0</v>
      </c>
      <c r="AK114" s="25">
        <v>0</v>
      </c>
      <c r="AL114" s="25">
        <v>0</v>
      </c>
      <c r="AM114" s="25">
        <v>0</v>
      </c>
      <c r="AN114" s="25">
        <v>0</v>
      </c>
      <c r="AO114" s="25">
        <v>0</v>
      </c>
      <c r="AP114" s="25">
        <v>0</v>
      </c>
    </row>
    <row r="115" spans="2:44" x14ac:dyDescent="0.25">
      <c r="C115" s="91"/>
      <c r="F115" t="s">
        <v>437</v>
      </c>
      <c r="G115" t="s">
        <v>204</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438</v>
      </c>
      <c r="G116" s="37" t="s">
        <v>204</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822</v>
      </c>
      <c r="F118" s="2"/>
      <c r="I118" t="s">
        <v>191</v>
      </c>
      <c r="AR118" t="s">
        <v>823</v>
      </c>
    </row>
    <row r="119" spans="2:44" x14ac:dyDescent="0.25">
      <c r="D119"/>
      <c r="E119" s="29" t="s">
        <v>824</v>
      </c>
      <c r="F119" s="2"/>
    </row>
    <row r="120" spans="2:44" x14ac:dyDescent="0.25">
      <c r="D120"/>
      <c r="E120" s="29" t="s">
        <v>825</v>
      </c>
      <c r="F120" s="2"/>
    </row>
    <row r="121" spans="2:44" x14ac:dyDescent="0.25">
      <c r="D121"/>
      <c r="F121" s="23" t="s">
        <v>826</v>
      </c>
      <c r="G121" s="23" t="s">
        <v>799</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827</v>
      </c>
      <c r="G122" t="s">
        <v>799</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267</v>
      </c>
      <c r="G123" s="37" t="s">
        <v>799</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828</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829</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734</v>
      </c>
      <c r="I131" t="s">
        <v>191</v>
      </c>
      <c r="AR131" t="s">
        <v>830</v>
      </c>
    </row>
    <row r="132" spans="3:44" x14ac:dyDescent="0.25">
      <c r="C132" s="91"/>
      <c r="F132" s="23" t="s">
        <v>226</v>
      </c>
      <c r="G132" s="23" t="s">
        <v>330</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228</v>
      </c>
      <c r="G133" t="s">
        <v>330</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229</v>
      </c>
      <c r="G134" t="s">
        <v>330</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2.1234448400158621E-2</v>
      </c>
      <c r="S134" s="101">
        <f t="shared" si="0"/>
        <v>0</v>
      </c>
      <c r="T134" s="101">
        <f t="shared" si="0"/>
        <v>0</v>
      </c>
      <c r="U134" s="101">
        <f t="shared" si="0"/>
        <v>0</v>
      </c>
      <c r="V134" s="101">
        <f t="shared" si="0"/>
        <v>0</v>
      </c>
      <c r="W134" s="101">
        <f t="shared" si="0"/>
        <v>2.1234448400158621E-2</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230</v>
      </c>
      <c r="G135" t="s">
        <v>330</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231</v>
      </c>
      <c r="G136" t="s">
        <v>330</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0.15819204223527661</v>
      </c>
      <c r="S136" s="101">
        <f t="shared" si="2"/>
        <v>0</v>
      </c>
      <c r="T136" s="101">
        <f t="shared" si="2"/>
        <v>0</v>
      </c>
      <c r="U136" s="101">
        <f t="shared" si="2"/>
        <v>0</v>
      </c>
      <c r="V136" s="101">
        <f t="shared" si="2"/>
        <v>0</v>
      </c>
      <c r="W136" s="101">
        <f t="shared" si="2"/>
        <v>0.15819204223527661</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232</v>
      </c>
      <c r="G137" t="s">
        <v>330</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0.88275520431128429</v>
      </c>
      <c r="S137" s="101">
        <f t="shared" si="3"/>
        <v>0</v>
      </c>
      <c r="T137" s="101">
        <f t="shared" si="3"/>
        <v>0</v>
      </c>
      <c r="U137" s="101">
        <f t="shared" si="3"/>
        <v>0</v>
      </c>
      <c r="V137" s="101">
        <f t="shared" si="3"/>
        <v>0</v>
      </c>
      <c r="W137" s="101">
        <f t="shared" si="3"/>
        <v>0.88275520431128429</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233</v>
      </c>
      <c r="G138" t="s">
        <v>330</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8.0207886655582344E-2</v>
      </c>
      <c r="S138" s="101">
        <f t="shared" si="4"/>
        <v>0</v>
      </c>
      <c r="T138" s="101">
        <f t="shared" si="4"/>
        <v>0</v>
      </c>
      <c r="U138" s="101">
        <f t="shared" si="4"/>
        <v>0</v>
      </c>
      <c r="V138" s="101">
        <f t="shared" si="4"/>
        <v>0</v>
      </c>
      <c r="W138" s="101">
        <f t="shared" si="4"/>
        <v>8.0207886655582344E-2</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234</v>
      </c>
      <c r="G139" t="s">
        <v>330</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0.84774252755387169</v>
      </c>
      <c r="S139" s="101">
        <f t="shared" si="5"/>
        <v>0</v>
      </c>
      <c r="T139" s="101">
        <f t="shared" si="5"/>
        <v>0</v>
      </c>
      <c r="U139" s="101">
        <f t="shared" si="5"/>
        <v>0.25373357383764833</v>
      </c>
      <c r="V139" s="101">
        <f t="shared" si="5"/>
        <v>1.2321848414101007</v>
      </c>
      <c r="W139" s="101">
        <f t="shared" si="5"/>
        <v>0.84774252755387169</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235</v>
      </c>
      <c r="G140" t="s">
        <v>330</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0.31520018556848439</v>
      </c>
      <c r="R140" s="101">
        <f t="shared" si="6"/>
        <v>0</v>
      </c>
      <c r="S140" s="101">
        <f t="shared" si="6"/>
        <v>0</v>
      </c>
      <c r="T140" s="101">
        <f t="shared" si="6"/>
        <v>0</v>
      </c>
      <c r="U140" s="101">
        <f t="shared" si="6"/>
        <v>0.3245327603083345</v>
      </c>
      <c r="V140" s="101">
        <f t="shared" si="6"/>
        <v>0.31520018556848439</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236</v>
      </c>
      <c r="G141" t="s">
        <v>330</v>
      </c>
      <c r="J141" s="101">
        <f t="shared" ref="J141:AB141" si="7">hundred*J102*$H60*J89/$H46*(1-J114)/days_in_year/(1+$H32)*PowerFactor</f>
        <v>0.13103096042507623</v>
      </c>
      <c r="K141" s="101">
        <f t="shared" si="7"/>
        <v>0.13103096042507623</v>
      </c>
      <c r="L141" s="101">
        <f t="shared" si="7"/>
        <v>0.13103096042507623</v>
      </c>
      <c r="M141" s="101">
        <f t="shared" si="7"/>
        <v>0.13103096042507623</v>
      </c>
      <c r="N141" s="101">
        <f t="shared" si="7"/>
        <v>0.13103096042507623</v>
      </c>
      <c r="O141" s="101">
        <f t="shared" si="7"/>
        <v>0.13103096042507623</v>
      </c>
      <c r="P141" s="101">
        <f t="shared" si="7"/>
        <v>0.13103096042507623</v>
      </c>
      <c r="Q141" s="101">
        <f t="shared" si="7"/>
        <v>0</v>
      </c>
      <c r="R141" s="101">
        <f t="shared" si="7"/>
        <v>0</v>
      </c>
      <c r="S141" s="101">
        <f t="shared" si="7"/>
        <v>0.13103096042507623</v>
      </c>
      <c r="T141" s="101">
        <f t="shared" si="7"/>
        <v>0.13103096042507623</v>
      </c>
      <c r="U141" s="101">
        <f t="shared" si="7"/>
        <v>0.13103096042507623</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437</v>
      </c>
      <c r="G142" t="s">
        <v>330</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438</v>
      </c>
      <c r="G143" s="37" t="s">
        <v>330</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735</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226</v>
      </c>
      <c r="G146" s="23" t="s">
        <v>330</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228</v>
      </c>
      <c r="G147" t="s">
        <v>330</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229</v>
      </c>
      <c r="G148" t="s">
        <v>330</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1.1657426571580372E-2</v>
      </c>
      <c r="S148" s="101">
        <f t="shared" si="10"/>
        <v>0</v>
      </c>
      <c r="T148" s="101">
        <f t="shared" si="10"/>
        <v>0</v>
      </c>
      <c r="U148" s="101">
        <f t="shared" si="10"/>
        <v>0</v>
      </c>
      <c r="V148" s="101">
        <f t="shared" si="10"/>
        <v>0</v>
      </c>
      <c r="W148" s="101">
        <f t="shared" si="10"/>
        <v>1.1657426571580372E-2</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230</v>
      </c>
      <c r="G149" t="s">
        <v>330</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231</v>
      </c>
      <c r="G150" t="s">
        <v>330</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9.2924423948526305E-2</v>
      </c>
      <c r="S150" s="101">
        <f t="shared" si="12"/>
        <v>0</v>
      </c>
      <c r="T150" s="101">
        <f t="shared" si="12"/>
        <v>0</v>
      </c>
      <c r="U150" s="101">
        <f t="shared" si="12"/>
        <v>0</v>
      </c>
      <c r="V150" s="101">
        <f t="shared" si="12"/>
        <v>0</v>
      </c>
      <c r="W150" s="101">
        <f t="shared" si="12"/>
        <v>9.2924423948526305E-2</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232</v>
      </c>
      <c r="G151" t="s">
        <v>330</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0.7474442870043414</v>
      </c>
      <c r="S151" s="101">
        <f t="shared" si="13"/>
        <v>0</v>
      </c>
      <c r="T151" s="101">
        <f t="shared" si="13"/>
        <v>0</v>
      </c>
      <c r="U151" s="101">
        <f t="shared" si="13"/>
        <v>0</v>
      </c>
      <c r="V151" s="101">
        <f t="shared" si="13"/>
        <v>0</v>
      </c>
      <c r="W151" s="101">
        <f t="shared" si="13"/>
        <v>0.7474442870043414</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233</v>
      </c>
      <c r="G152" t="s">
        <v>330</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6.7913421932391568E-2</v>
      </c>
      <c r="S152" s="101">
        <f t="shared" si="14"/>
        <v>0</v>
      </c>
      <c r="T152" s="101">
        <f t="shared" si="14"/>
        <v>0</v>
      </c>
      <c r="U152" s="101">
        <f t="shared" si="14"/>
        <v>0</v>
      </c>
      <c r="V152" s="101">
        <f t="shared" si="14"/>
        <v>0</v>
      </c>
      <c r="W152" s="101">
        <f t="shared" si="14"/>
        <v>6.7913421932391568E-2</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234</v>
      </c>
      <c r="G153" t="s">
        <v>330</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1.2850624383540581</v>
      </c>
      <c r="S153" s="101">
        <f t="shared" si="15"/>
        <v>0</v>
      </c>
      <c r="T153" s="101">
        <f t="shared" si="15"/>
        <v>0</v>
      </c>
      <c r="U153" s="101">
        <f t="shared" si="15"/>
        <v>0.26743191284665535</v>
      </c>
      <c r="V153" s="101">
        <f t="shared" si="15"/>
        <v>1.2987069237033773</v>
      </c>
      <c r="W153" s="101">
        <f t="shared" si="15"/>
        <v>1.2850624383540581</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235</v>
      </c>
      <c r="G154" t="s">
        <v>330</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0.59448587558481147</v>
      </c>
      <c r="R154" s="101">
        <f t="shared" si="16"/>
        <v>0</v>
      </c>
      <c r="S154" s="101">
        <f t="shared" si="16"/>
        <v>0</v>
      </c>
      <c r="T154" s="101">
        <f t="shared" si="16"/>
        <v>0</v>
      </c>
      <c r="U154" s="101">
        <f t="shared" si="16"/>
        <v>0.61208765413603328</v>
      </c>
      <c r="V154" s="101">
        <f t="shared" si="16"/>
        <v>0.59448587558481147</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236</v>
      </c>
      <c r="G155" t="s">
        <v>330</v>
      </c>
      <c r="J155" s="101">
        <f t="shared" ref="J155:AB155" si="17">hundred*J102*$H74*J89/$H46/days_in_year/(1+$H32)*PowerFactor</f>
        <v>1.1737499133355398</v>
      </c>
      <c r="K155" s="101">
        <f t="shared" si="17"/>
        <v>1.1737499133355398</v>
      </c>
      <c r="L155" s="101">
        <f t="shared" si="17"/>
        <v>1.1737499133355398</v>
      </c>
      <c r="M155" s="101">
        <f t="shared" si="17"/>
        <v>1.1737499133355398</v>
      </c>
      <c r="N155" s="101">
        <f t="shared" si="17"/>
        <v>1.1737499133355398</v>
      </c>
      <c r="O155" s="101">
        <f t="shared" si="17"/>
        <v>1.1737499133355398</v>
      </c>
      <c r="P155" s="101">
        <f t="shared" si="17"/>
        <v>1.1737499133355398</v>
      </c>
      <c r="Q155" s="101">
        <f t="shared" si="17"/>
        <v>0</v>
      </c>
      <c r="R155" s="101">
        <f t="shared" si="17"/>
        <v>0</v>
      </c>
      <c r="S155" s="101">
        <f t="shared" si="17"/>
        <v>1.1737499133355398</v>
      </c>
      <c r="T155" s="101">
        <f t="shared" si="17"/>
        <v>1.1737499133355398</v>
      </c>
      <c r="U155" s="101">
        <f t="shared" si="17"/>
        <v>1.1737499133355398</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437</v>
      </c>
      <c r="G156" t="s">
        <v>330</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438</v>
      </c>
      <c r="G157" s="37" t="s">
        <v>330</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734</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226</v>
      </c>
      <c r="G162" s="23" t="s">
        <v>330</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228</v>
      </c>
      <c r="G163" t="s">
        <v>330</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229</v>
      </c>
      <c r="G164" t="s">
        <v>330</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2.1234448400158621E-2</v>
      </c>
      <c r="S164" s="101">
        <f t="shared" si="18"/>
        <v>0</v>
      </c>
      <c r="T164" s="101">
        <f t="shared" si="18"/>
        <v>0</v>
      </c>
      <c r="U164" s="101">
        <f t="shared" si="18"/>
        <v>0</v>
      </c>
      <c r="V164" s="101">
        <f t="shared" si="18"/>
        <v>0</v>
      </c>
      <c r="W164" s="101">
        <f t="shared" si="18"/>
        <v>2.1234448400158621E-2</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230</v>
      </c>
      <c r="G165" t="s">
        <v>330</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231</v>
      </c>
      <c r="G166" t="s">
        <v>330</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0.16926539260902621</v>
      </c>
      <c r="S166" s="101">
        <f t="shared" si="20"/>
        <v>0</v>
      </c>
      <c r="T166" s="101">
        <f t="shared" si="20"/>
        <v>0</v>
      </c>
      <c r="U166" s="101">
        <f t="shared" si="20"/>
        <v>0</v>
      </c>
      <c r="V166" s="101">
        <f t="shared" si="20"/>
        <v>0</v>
      </c>
      <c r="W166" s="101">
        <f t="shared" si="20"/>
        <v>0.16926539260902621</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232</v>
      </c>
      <c r="G167" t="s">
        <v>330</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1.3614983587441429</v>
      </c>
      <c r="S167" s="101">
        <f t="shared" si="21"/>
        <v>0</v>
      </c>
      <c r="T167" s="101">
        <f t="shared" si="21"/>
        <v>0</v>
      </c>
      <c r="U167" s="101">
        <f t="shared" si="21"/>
        <v>0</v>
      </c>
      <c r="V167" s="101">
        <f t="shared" si="21"/>
        <v>0</v>
      </c>
      <c r="W167" s="101">
        <f t="shared" si="21"/>
        <v>1.3614983587441429</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233</v>
      </c>
      <c r="G168" t="s">
        <v>330</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0.12370689575838917</v>
      </c>
      <c r="S168" s="101">
        <f t="shared" si="22"/>
        <v>0</v>
      </c>
      <c r="T168" s="101">
        <f t="shared" si="22"/>
        <v>0</v>
      </c>
      <c r="U168" s="101">
        <f t="shared" si="22"/>
        <v>0</v>
      </c>
      <c r="V168" s="101">
        <f t="shared" si="22"/>
        <v>0</v>
      </c>
      <c r="W168" s="101">
        <f t="shared" si="22"/>
        <v>0.12370689575838917</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234</v>
      </c>
      <c r="G169" t="s">
        <v>330</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2.3407903854814456</v>
      </c>
      <c r="S169" s="101">
        <f t="shared" si="23"/>
        <v>0</v>
      </c>
      <c r="T169" s="101">
        <f t="shared" si="23"/>
        <v>0</v>
      </c>
      <c r="U169" s="101">
        <f t="shared" si="23"/>
        <v>0.4871374586001927</v>
      </c>
      <c r="V169" s="101">
        <f t="shared" si="23"/>
        <v>2.3656443374508429</v>
      </c>
      <c r="W169" s="101">
        <f t="shared" si="23"/>
        <v>2.3407903854814456</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235</v>
      </c>
      <c r="G170" t="s">
        <v>330</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1.0828787616388518</v>
      </c>
      <c r="R170" s="101">
        <f t="shared" si="24"/>
        <v>0</v>
      </c>
      <c r="S170" s="101">
        <f t="shared" si="24"/>
        <v>0</v>
      </c>
      <c r="T170" s="101">
        <f t="shared" si="24"/>
        <v>0</v>
      </c>
      <c r="U170" s="101">
        <f t="shared" si="24"/>
        <v>1.1149410745431541</v>
      </c>
      <c r="V170" s="101">
        <f t="shared" si="24"/>
        <v>1.0828787616388518</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236</v>
      </c>
      <c r="G171" t="s">
        <v>330</v>
      </c>
      <c r="J171" s="101">
        <f t="shared" ref="J171:AB171" si="25">hundred*J102*$H60*J89/$H46/days_in_year/(1+$H32)*PowerFactor</f>
        <v>2.1380303634231077</v>
      </c>
      <c r="K171" s="101">
        <f t="shared" si="25"/>
        <v>2.1380303634231077</v>
      </c>
      <c r="L171" s="101">
        <f t="shared" si="25"/>
        <v>2.1380303634231077</v>
      </c>
      <c r="M171" s="101">
        <f t="shared" si="25"/>
        <v>2.1380303634231077</v>
      </c>
      <c r="N171" s="101">
        <f t="shared" si="25"/>
        <v>2.1380303634231077</v>
      </c>
      <c r="O171" s="101">
        <f t="shared" si="25"/>
        <v>2.1380303634231077</v>
      </c>
      <c r="P171" s="101">
        <f t="shared" si="25"/>
        <v>2.1380303634231077</v>
      </c>
      <c r="Q171" s="101">
        <f t="shared" si="25"/>
        <v>0</v>
      </c>
      <c r="R171" s="101">
        <f t="shared" si="25"/>
        <v>0</v>
      </c>
      <c r="S171" s="101">
        <f t="shared" si="25"/>
        <v>2.1380303634231077</v>
      </c>
      <c r="T171" s="101">
        <f t="shared" si="25"/>
        <v>2.1380303634231077</v>
      </c>
      <c r="U171" s="101">
        <f t="shared" si="25"/>
        <v>2.1380303634231077</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437</v>
      </c>
      <c r="G172" t="s">
        <v>330</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438</v>
      </c>
      <c r="G173" s="37" t="s">
        <v>330</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735</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226</v>
      </c>
      <c r="G176" s="23" t="s">
        <v>330</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228</v>
      </c>
      <c r="G177" t="s">
        <v>330</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229</v>
      </c>
      <c r="G178" t="s">
        <v>330</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1.1657426571580372E-2</v>
      </c>
      <c r="S178" s="101">
        <f t="shared" si="28"/>
        <v>0</v>
      </c>
      <c r="T178" s="101">
        <f t="shared" si="28"/>
        <v>0</v>
      </c>
      <c r="U178" s="101">
        <f t="shared" si="28"/>
        <v>0</v>
      </c>
      <c r="V178" s="101">
        <f t="shared" si="28"/>
        <v>0</v>
      </c>
      <c r="W178" s="101">
        <f t="shared" si="28"/>
        <v>1.1657426571580372E-2</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230</v>
      </c>
      <c r="G179" t="s">
        <v>330</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231</v>
      </c>
      <c r="G180" t="s">
        <v>330</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9.2924423948526305E-2</v>
      </c>
      <c r="S180" s="101">
        <f t="shared" si="30"/>
        <v>0</v>
      </c>
      <c r="T180" s="101">
        <f t="shared" si="30"/>
        <v>0</v>
      </c>
      <c r="U180" s="101">
        <f t="shared" si="30"/>
        <v>0</v>
      </c>
      <c r="V180" s="101">
        <f t="shared" si="30"/>
        <v>0</v>
      </c>
      <c r="W180" s="101">
        <f t="shared" si="30"/>
        <v>9.2924423948526305E-2</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232</v>
      </c>
      <c r="G181" t="s">
        <v>330</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0.7474442870043414</v>
      </c>
      <c r="S181" s="101">
        <f t="shared" si="31"/>
        <v>0</v>
      </c>
      <c r="T181" s="101">
        <f t="shared" si="31"/>
        <v>0</v>
      </c>
      <c r="U181" s="101">
        <f t="shared" si="31"/>
        <v>0</v>
      </c>
      <c r="V181" s="101">
        <f t="shared" si="31"/>
        <v>0</v>
      </c>
      <c r="W181" s="101">
        <f t="shared" si="31"/>
        <v>0.7474442870043414</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233</v>
      </c>
      <c r="G182" t="s">
        <v>330</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6.7913421932391568E-2</v>
      </c>
      <c r="S182" s="101">
        <f t="shared" si="32"/>
        <v>0</v>
      </c>
      <c r="T182" s="101">
        <f t="shared" si="32"/>
        <v>0</v>
      </c>
      <c r="U182" s="101">
        <f t="shared" si="32"/>
        <v>0</v>
      </c>
      <c r="V182" s="101">
        <f t="shared" si="32"/>
        <v>0</v>
      </c>
      <c r="W182" s="101">
        <f t="shared" si="32"/>
        <v>6.7913421932391568E-2</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234</v>
      </c>
      <c r="G183" t="s">
        <v>330</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1.2850624383540581</v>
      </c>
      <c r="S183" s="101">
        <f t="shared" si="33"/>
        <v>0</v>
      </c>
      <c r="T183" s="101">
        <f t="shared" si="33"/>
        <v>0</v>
      </c>
      <c r="U183" s="101">
        <f t="shared" si="33"/>
        <v>0.26743191284665535</v>
      </c>
      <c r="V183" s="101">
        <f t="shared" si="33"/>
        <v>1.2987069237033773</v>
      </c>
      <c r="W183" s="101">
        <f t="shared" si="33"/>
        <v>1.2850624383540581</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235</v>
      </c>
      <c r="G184" t="s">
        <v>330</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0.59448587558481147</v>
      </c>
      <c r="R184" s="101">
        <f t="shared" si="34"/>
        <v>0</v>
      </c>
      <c r="S184" s="101">
        <f t="shared" si="34"/>
        <v>0</v>
      </c>
      <c r="T184" s="101">
        <f t="shared" si="34"/>
        <v>0</v>
      </c>
      <c r="U184" s="101">
        <f t="shared" si="34"/>
        <v>0.61208765413603328</v>
      </c>
      <c r="V184" s="101">
        <f t="shared" si="34"/>
        <v>0.59448587558481147</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236</v>
      </c>
      <c r="G185" t="s">
        <v>330</v>
      </c>
      <c r="J185" s="101">
        <f t="shared" ref="J185:AB185" si="35">hundred*J102*$H74*J89/$H46/days_in_year/(1+$H32)*PowerFactor</f>
        <v>1.1737499133355398</v>
      </c>
      <c r="K185" s="101">
        <f t="shared" si="35"/>
        <v>1.1737499133355398</v>
      </c>
      <c r="L185" s="101">
        <f t="shared" si="35"/>
        <v>1.1737499133355398</v>
      </c>
      <c r="M185" s="101">
        <f t="shared" si="35"/>
        <v>1.1737499133355398</v>
      </c>
      <c r="N185" s="101">
        <f t="shared" si="35"/>
        <v>1.1737499133355398</v>
      </c>
      <c r="O185" s="101">
        <f t="shared" si="35"/>
        <v>1.1737499133355398</v>
      </c>
      <c r="P185" s="101">
        <f t="shared" si="35"/>
        <v>1.1737499133355398</v>
      </c>
      <c r="Q185" s="101">
        <f t="shared" si="35"/>
        <v>0</v>
      </c>
      <c r="R185" s="101">
        <f t="shared" si="35"/>
        <v>0</v>
      </c>
      <c r="S185" s="101">
        <f t="shared" si="35"/>
        <v>1.1737499133355398</v>
      </c>
      <c r="T185" s="101">
        <f t="shared" si="35"/>
        <v>1.1737499133355398</v>
      </c>
      <c r="U185" s="101">
        <f t="shared" si="35"/>
        <v>1.1737499133355398</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437</v>
      </c>
      <c r="G186" t="s">
        <v>330</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438</v>
      </c>
      <c r="G187" s="37" t="s">
        <v>330</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191</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831</v>
      </c>
    </row>
    <row r="191" spans="3:44" x14ac:dyDescent="0.25">
      <c r="C191" s="91"/>
      <c r="D191"/>
      <c r="E191" s="32" t="s">
        <v>734</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226</v>
      </c>
      <c r="G192" s="23" t="s">
        <v>330</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228</v>
      </c>
      <c r="G193" t="s">
        <v>330</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229</v>
      </c>
      <c r="G194" t="s">
        <v>330</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2.1234448400158621E-2</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230</v>
      </c>
      <c r="G195" t="s">
        <v>330</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231</v>
      </c>
      <c r="G196" t="s">
        <v>330</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0.15819204223527661</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232</v>
      </c>
      <c r="G197" t="s">
        <v>330</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0.88275520431128429</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233</v>
      </c>
      <c r="G198" t="s">
        <v>330</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8.0207886655582344E-2</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234</v>
      </c>
      <c r="G199" t="s">
        <v>330</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0.25373357383764833</v>
      </c>
      <c r="V199" s="101">
        <f t="shared" si="41"/>
        <v>1.2321848414101007</v>
      </c>
      <c r="W199" s="101">
        <f t="shared" si="41"/>
        <v>0.84774252755387169</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235</v>
      </c>
      <c r="G200" t="s">
        <v>330</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0.3245327603083345</v>
      </c>
      <c r="V200" s="101">
        <f t="shared" si="42"/>
        <v>0.31520018556848439</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236</v>
      </c>
      <c r="G201" t="s">
        <v>330</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0.13103096042507623</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437</v>
      </c>
      <c r="G202" t="s">
        <v>330</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438</v>
      </c>
      <c r="G203" s="37" t="s">
        <v>330</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735</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226</v>
      </c>
      <c r="G206" s="23" t="s">
        <v>330</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228</v>
      </c>
      <c r="G207" t="s">
        <v>330</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229</v>
      </c>
      <c r="G208" t="s">
        <v>330</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1.1657426571580372E-2</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230</v>
      </c>
      <c r="G209" t="s">
        <v>330</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231</v>
      </c>
      <c r="G210" t="s">
        <v>330</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9.2924423948526305E-2</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232</v>
      </c>
      <c r="G211" t="s">
        <v>330</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0.7474442870043414</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233</v>
      </c>
      <c r="G212" t="s">
        <v>330</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6.7913421932391568E-2</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234</v>
      </c>
      <c r="G213" t="s">
        <v>330</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0.26743191284665535</v>
      </c>
      <c r="V213" s="101">
        <f t="shared" si="51"/>
        <v>1.2987069237033773</v>
      </c>
      <c r="W213" s="101">
        <f t="shared" si="51"/>
        <v>1.2850624383540581</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235</v>
      </c>
      <c r="G214" t="s">
        <v>330</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0.61208765413603328</v>
      </c>
      <c r="V214" s="101">
        <f t="shared" si="52"/>
        <v>0.59448587558481147</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236</v>
      </c>
      <c r="G215" t="s">
        <v>330</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1.1737499133355398</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437</v>
      </c>
      <c r="G216" t="s">
        <v>330</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438</v>
      </c>
      <c r="G217" s="37" t="s">
        <v>330</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191</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832</v>
      </c>
    </row>
    <row r="221" spans="3:44" x14ac:dyDescent="0.25">
      <c r="C221" s="91"/>
      <c r="D221"/>
      <c r="E221" s="32" t="s">
        <v>734</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226</v>
      </c>
      <c r="G222" s="23" t="s">
        <v>330</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228</v>
      </c>
      <c r="G223" t="s">
        <v>330</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229</v>
      </c>
      <c r="G224" t="s">
        <v>330</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2.1234448400158621E-2</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230</v>
      </c>
      <c r="G225" t="s">
        <v>330</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231</v>
      </c>
      <c r="G226" t="s">
        <v>330</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0.16926539260902621</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232</v>
      </c>
      <c r="G227" t="s">
        <v>330</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1.3614983587441429</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233</v>
      </c>
      <c r="G228" t="s">
        <v>330</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0.12370689575838917</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234</v>
      </c>
      <c r="G229" t="s">
        <v>330</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0.4871374586001927</v>
      </c>
      <c r="V229" s="101">
        <f t="shared" si="59"/>
        <v>2.3656443374508429</v>
      </c>
      <c r="W229" s="101">
        <f t="shared" si="59"/>
        <v>2.3407903854814456</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235</v>
      </c>
      <c r="G230" t="s">
        <v>330</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1.1149410745431541</v>
      </c>
      <c r="V230" s="101">
        <f t="shared" si="60"/>
        <v>1.0828787616388518</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236</v>
      </c>
      <c r="G231" t="s">
        <v>330</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2.1380303634231077</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437</v>
      </c>
      <c r="G232" t="s">
        <v>330</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438</v>
      </c>
      <c r="G233" s="37" t="s">
        <v>330</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735</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226</v>
      </c>
      <c r="G236" s="23" t="s">
        <v>330</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228</v>
      </c>
      <c r="G237" t="s">
        <v>330</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229</v>
      </c>
      <c r="G238" t="s">
        <v>330</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1.1657426571580372E-2</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230</v>
      </c>
      <c r="G239" t="s">
        <v>330</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231</v>
      </c>
      <c r="G240" t="s">
        <v>330</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9.2924423948526305E-2</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232</v>
      </c>
      <c r="G241" t="s">
        <v>330</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0.7474442870043414</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233</v>
      </c>
      <c r="G242" t="s">
        <v>330</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6.7913421932391568E-2</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234</v>
      </c>
      <c r="G243" t="s">
        <v>330</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0.26743191284665535</v>
      </c>
      <c r="V243" s="101">
        <f t="shared" si="69"/>
        <v>1.2987069237033773</v>
      </c>
      <c r="W243" s="101">
        <f t="shared" si="69"/>
        <v>1.2850624383540581</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235</v>
      </c>
      <c r="G244" t="s">
        <v>330</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0.61208765413603328</v>
      </c>
      <c r="V244" s="101">
        <f t="shared" si="70"/>
        <v>0.59448587558481147</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236</v>
      </c>
      <c r="G245" t="s">
        <v>330</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1.1737499133355398</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437</v>
      </c>
      <c r="G246" t="s">
        <v>330</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438</v>
      </c>
      <c r="G247" s="37" t="s">
        <v>330</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833</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834</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835</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836</v>
      </c>
      <c r="G256" t="s">
        <v>330</v>
      </c>
      <c r="I256" t="s">
        <v>191</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2.7625667748892875</v>
      </c>
      <c r="V256" s="124">
        <f t="shared" si="72"/>
        <v>3.4405778262667734</v>
      </c>
      <c r="W256" s="124">
        <f t="shared" si="72"/>
        <v>4.195134106967072</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837</v>
      </c>
    </row>
    <row r="257" spans="3:44" x14ac:dyDescent="0.25">
      <c r="E257" t="s">
        <v>838</v>
      </c>
      <c r="G257" t="s">
        <v>330</v>
      </c>
      <c r="I257" t="s">
        <v>191</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5.7933783768846823</v>
      </c>
      <c r="V257" s="124">
        <f t="shared" si="73"/>
        <v>5.341715898377883</v>
      </c>
      <c r="W257" s="124">
        <f t="shared" si="73"/>
        <v>6.2214974788040589</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837</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191</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839</v>
      </c>
    </row>
    <row r="261" spans="3:44" x14ac:dyDescent="0.25">
      <c r="C261" s="91"/>
      <c r="D261"/>
      <c r="E261" s="32" t="s">
        <v>734</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226</v>
      </c>
      <c r="G262" s="23" t="s">
        <v>330</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228</v>
      </c>
      <c r="G263" t="s">
        <v>330</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229</v>
      </c>
      <c r="G264" t="s">
        <v>330</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2.1234448400158621E-2</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230</v>
      </c>
      <c r="G265" t="s">
        <v>330</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231</v>
      </c>
      <c r="G266" t="s">
        <v>330</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0.15819204223527661</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232</v>
      </c>
      <c r="G267" t="s">
        <v>330</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0.88275520431128429</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233</v>
      </c>
      <c r="G268" t="s">
        <v>330</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8.0207886655582344E-2</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234</v>
      </c>
      <c r="G269" t="s">
        <v>330</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0.84774252755387169</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235</v>
      </c>
      <c r="G270" t="s">
        <v>330</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0.31520018556848439</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236</v>
      </c>
      <c r="G271" t="s">
        <v>330</v>
      </c>
      <c r="J271" s="124">
        <f t="shared" ref="J271:AB271" si="81">J$123 * J141</f>
        <v>0.13103096042507623</v>
      </c>
      <c r="K271" s="124">
        <f t="shared" si="81"/>
        <v>0.13103096042507623</v>
      </c>
      <c r="L271" s="124">
        <f t="shared" si="81"/>
        <v>0</v>
      </c>
      <c r="M271" s="124">
        <f t="shared" si="81"/>
        <v>0.13103096042507623</v>
      </c>
      <c r="N271" s="124">
        <f t="shared" si="81"/>
        <v>0.13103096042507623</v>
      </c>
      <c r="O271" s="124">
        <f t="shared" si="81"/>
        <v>0</v>
      </c>
      <c r="P271" s="124">
        <f t="shared" si="81"/>
        <v>0.13103096042507623</v>
      </c>
      <c r="Q271" s="124">
        <f t="shared" si="81"/>
        <v>0</v>
      </c>
      <c r="R271" s="124">
        <f t="shared" si="81"/>
        <v>0</v>
      </c>
      <c r="S271" s="124">
        <f t="shared" si="81"/>
        <v>0.13103096042507623</v>
      </c>
      <c r="T271" s="124">
        <f t="shared" si="81"/>
        <v>0.13103096042507623</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437</v>
      </c>
      <c r="G272" t="s">
        <v>330</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438</v>
      </c>
      <c r="G273" s="37" t="s">
        <v>330</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840</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226</v>
      </c>
      <c r="G276" s="23" t="s">
        <v>330</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228</v>
      </c>
      <c r="G277" t="s">
        <v>330</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229</v>
      </c>
      <c r="G278" t="s">
        <v>330</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1.1657426571580372E-2</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230</v>
      </c>
      <c r="G279" t="s">
        <v>330</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231</v>
      </c>
      <c r="G280" t="s">
        <v>330</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9.2924423948526305E-2</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232</v>
      </c>
      <c r="G281" t="s">
        <v>330</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0.7474442870043414</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233</v>
      </c>
      <c r="G282" t="s">
        <v>330</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6.7913421932391568E-2</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234</v>
      </c>
      <c r="G283" t="s">
        <v>330</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1.2850624383540581</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235</v>
      </c>
      <c r="G284" t="s">
        <v>330</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0.59448587558481147</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236</v>
      </c>
      <c r="G285" t="s">
        <v>330</v>
      </c>
      <c r="J285" s="124">
        <f t="shared" ref="J285:AB285" si="91">J$123 * J155</f>
        <v>1.1737499133355398</v>
      </c>
      <c r="K285" s="124">
        <f t="shared" si="91"/>
        <v>1.1737499133355398</v>
      </c>
      <c r="L285" s="124">
        <f t="shared" si="91"/>
        <v>0</v>
      </c>
      <c r="M285" s="124">
        <f t="shared" si="91"/>
        <v>1.1737499133355398</v>
      </c>
      <c r="N285" s="124">
        <f t="shared" si="91"/>
        <v>1.1737499133355398</v>
      </c>
      <c r="O285" s="124">
        <f t="shared" si="91"/>
        <v>0</v>
      </c>
      <c r="P285" s="124">
        <f t="shared" si="91"/>
        <v>1.1737499133355398</v>
      </c>
      <c r="Q285" s="124">
        <f t="shared" si="91"/>
        <v>0</v>
      </c>
      <c r="R285" s="124">
        <f t="shared" si="91"/>
        <v>0</v>
      </c>
      <c r="S285" s="124">
        <f t="shared" si="91"/>
        <v>1.1737499133355398</v>
      </c>
      <c r="T285" s="124">
        <f t="shared" si="91"/>
        <v>1.1737499133355398</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437</v>
      </c>
      <c r="G286" t="s">
        <v>330</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438</v>
      </c>
      <c r="G287" s="37" t="s">
        <v>330</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282</v>
      </c>
      <c r="G291" s="6" t="s">
        <v>57</v>
      </c>
      <c r="H291" s="204">
        <f t="array" ref="H291">SUM(IF(ISERROR(H51:AP287), 1))</f>
        <v>0</v>
      </c>
    </row>
    <row r="293" spans="2:44" x14ac:dyDescent="0.25">
      <c r="E293" t="s">
        <v>841</v>
      </c>
      <c r="G293" s="6" t="s">
        <v>57</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290</v>
      </c>
      <c r="G295" s="6" t="s">
        <v>57</v>
      </c>
      <c r="H295" s="26">
        <f>H291 + H293</f>
        <v>0</v>
      </c>
    </row>
    <row r="297" spans="2:44" x14ac:dyDescent="0.25">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842</v>
      </c>
      <c r="E9"/>
    </row>
    <row r="10" spans="1:44" x14ac:dyDescent="0.25">
      <c r="D10" s="94" t="s">
        <v>843</v>
      </c>
      <c r="E10"/>
    </row>
    <row r="11" spans="1:44" x14ac:dyDescent="0.25">
      <c r="D11" s="29" t="s">
        <v>844</v>
      </c>
      <c r="E11"/>
    </row>
    <row r="12" spans="1:44" x14ac:dyDescent="0.25">
      <c r="D12" s="94" t="s">
        <v>845</v>
      </c>
      <c r="E12"/>
    </row>
    <row r="14" spans="1:44" x14ac:dyDescent="0.25">
      <c r="B14" s="30" t="s">
        <v>846</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191</v>
      </c>
      <c r="AR17" t="s">
        <v>847</v>
      </c>
    </row>
    <row r="18" spans="3:44" x14ac:dyDescent="0.25">
      <c r="C18" s="91"/>
      <c r="E18" t="s">
        <v>662</v>
      </c>
      <c r="G18" t="s">
        <v>249</v>
      </c>
      <c r="J18" s="123">
        <f>'Volume adjustments'!J103</f>
        <v>1783033.6868262473</v>
      </c>
      <c r="K18" s="123">
        <f>'Volume adjustments'!K103</f>
        <v>745456.57596275606</v>
      </c>
      <c r="L18" s="123">
        <f>'Volume adjustments'!L103</f>
        <v>0</v>
      </c>
      <c r="M18" s="123">
        <f>'Volume adjustments'!M103</f>
        <v>97102.427883543351</v>
      </c>
      <c r="N18" s="123">
        <f>'Volume adjustments'!N103</f>
        <v>82324.027570563325</v>
      </c>
      <c r="O18" s="123">
        <f>'Volume adjustments'!O103</f>
        <v>0</v>
      </c>
      <c r="P18" s="123">
        <f>'Volume adjustments'!P103</f>
        <v>325.4825015624246</v>
      </c>
      <c r="Q18" s="123">
        <f>'Volume adjustments'!Q103</f>
        <v>0.83287671232876703</v>
      </c>
      <c r="R18" s="123">
        <f>'Volume adjustments'!R103</f>
        <v>36.832876712328769</v>
      </c>
      <c r="S18" s="123">
        <f>'Volume adjustments'!S103</f>
        <v>6670.3767165712325</v>
      </c>
      <c r="T18" s="123">
        <f>'Volume adjustments'!T103</f>
        <v>2713.0497280411923</v>
      </c>
      <c r="U18" s="123">
        <f>'Volume adjustments'!U103</f>
        <v>15240.860311099359</v>
      </c>
      <c r="V18" s="123">
        <f>'Volume adjustments'!V103</f>
        <v>383.68444090100576</v>
      </c>
      <c r="W18" s="123">
        <f>'Volume adjustments'!W103</f>
        <v>3565.7984845620308</v>
      </c>
      <c r="X18" s="123">
        <f>'Volume adjustments'!X103</f>
        <v>1612</v>
      </c>
      <c r="Y18" s="123">
        <f>'Volume adjustments'!Y103</f>
        <v>1312</v>
      </c>
      <c r="Z18" s="123">
        <f>'Volume adjustments'!Z103</f>
        <v>197</v>
      </c>
      <c r="AA18" s="123">
        <f>'Volume adjustments'!AA103</f>
        <v>240</v>
      </c>
      <c r="AB18" s="123">
        <f>'Volume adjustments'!AB103</f>
        <v>27.095890410958901</v>
      </c>
      <c r="AC18" s="123">
        <f>'Volume adjustments'!AC103</f>
        <v>0</v>
      </c>
      <c r="AD18" s="123">
        <f>'Volume adjustments'!AD103</f>
        <v>0</v>
      </c>
      <c r="AE18" s="123">
        <f>'Volume adjustments'!AE103</f>
        <v>529.51229260273976</v>
      </c>
      <c r="AF18" s="123">
        <f>'Volume adjustments'!AF103</f>
        <v>0</v>
      </c>
      <c r="AG18" s="123">
        <f>'Volume adjustments'!AG103</f>
        <v>104.10217808219178</v>
      </c>
      <c r="AH18" s="123">
        <f>'Volume adjustments'!AH103</f>
        <v>0</v>
      </c>
      <c r="AI18" s="123">
        <f>'Volume adjustments'!AI103</f>
        <v>28.933541095890419</v>
      </c>
      <c r="AJ18" s="123">
        <f>'Volume adjustments'!AJ103</f>
        <v>0</v>
      </c>
      <c r="AK18" s="123">
        <f>'Volume adjustments'!AK103</f>
        <v>6.8061575342465748</v>
      </c>
      <c r="AL18" s="123">
        <f>'Volume adjustments'!AL103</f>
        <v>0</v>
      </c>
      <c r="AM18" s="123">
        <f>'Volume adjustments'!AM103</f>
        <v>225.48004931506853</v>
      </c>
      <c r="AN18" s="123">
        <f>'Volume adjustments'!AN103</f>
        <v>0</v>
      </c>
      <c r="AO18" s="123">
        <f>'Volume adjustments'!AO103</f>
        <v>232.44540410958902</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549</v>
      </c>
      <c r="G20" t="s">
        <v>209</v>
      </c>
      <c r="H20" s="63"/>
      <c r="J20" s="123">
        <f>'System peak demand'!J200</f>
        <v>1621.9343611151139</v>
      </c>
      <c r="K20" s="123">
        <f>'System peak demand'!K200</f>
        <v>758.47837376545715</v>
      </c>
      <c r="L20" s="123">
        <f>'System peak demand'!L200</f>
        <v>18.974153107643584</v>
      </c>
      <c r="M20" s="123">
        <f>'System peak demand'!M200</f>
        <v>383.20829267235973</v>
      </c>
      <c r="N20" s="123">
        <f>'System peak demand'!N200</f>
        <v>450.14356479214496</v>
      </c>
      <c r="O20" s="123">
        <f>'System peak demand'!O200</f>
        <v>1.2355649137347562</v>
      </c>
      <c r="P20" s="123">
        <f>'System peak demand'!P200</f>
        <v>4.5412846611573245</v>
      </c>
      <c r="Q20" s="123">
        <f>'System peak demand'!Q200</f>
        <v>9.9091823526604688E-5</v>
      </c>
      <c r="R20" s="123">
        <f>'System peak demand'!R200</f>
        <v>0.85567562717183099</v>
      </c>
      <c r="S20" s="123">
        <f>'System peak demand'!S200</f>
        <v>6.4206710553840285</v>
      </c>
      <c r="T20" s="123">
        <f>'System peak demand'!T200</f>
        <v>47.477246922735723</v>
      </c>
      <c r="U20" s="123">
        <f>'System peak demand'!U200</f>
        <v>744.56824385938012</v>
      </c>
      <c r="V20" s="123">
        <f>'System peak demand'!V200</f>
        <v>56.959035328267738</v>
      </c>
      <c r="W20" s="123">
        <f>'System peak demand'!W200</f>
        <v>1219.0015157339103</v>
      </c>
      <c r="X20" s="123">
        <f>'System peak demand'!X200</f>
        <v>3.3266016583774847</v>
      </c>
      <c r="Y20" s="123">
        <f>'System peak demand'!Y200</f>
        <v>5.5212454695238167</v>
      </c>
      <c r="Z20" s="123">
        <f>'System peak demand'!Z200</f>
        <v>0.17290115048853505</v>
      </c>
      <c r="AA20" s="123">
        <f>'System peak demand'!AA200</f>
        <v>1.7071468910528758</v>
      </c>
      <c r="AB20" s="123">
        <f>'System peak demand'!AB200</f>
        <v>54.347356950126937</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191</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847</v>
      </c>
    </row>
    <row r="24" spans="3:44" x14ac:dyDescent="0.25">
      <c r="C24" s="91"/>
      <c r="E24" s="32" t="s">
        <v>734</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226</v>
      </c>
      <c r="G25" s="23" t="s">
        <v>330</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228</v>
      </c>
      <c r="G26" t="s">
        <v>330</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229</v>
      </c>
      <c r="G27" t="s">
        <v>330</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2.1234448400158621E-2</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230</v>
      </c>
      <c r="G28" t="s">
        <v>330</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231</v>
      </c>
      <c r="G29" t="s">
        <v>330</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0.15819204223527661</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232</v>
      </c>
      <c r="G30" t="s">
        <v>330</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0.88275520431128429</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233</v>
      </c>
      <c r="G31" t="s">
        <v>330</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8.0207886655582344E-2</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234</v>
      </c>
      <c r="G32" t="s">
        <v>330</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0.84774252755387169</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235</v>
      </c>
      <c r="G33" t="s">
        <v>330</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0.31520018556848439</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236</v>
      </c>
      <c r="G34" t="s">
        <v>330</v>
      </c>
      <c r="J34" s="123">
        <f>'Capacity charges'!J271</f>
        <v>0.13103096042507623</v>
      </c>
      <c r="K34" s="123">
        <f>'Capacity charges'!K271</f>
        <v>0.13103096042507623</v>
      </c>
      <c r="L34" s="123">
        <f>'Capacity charges'!L271</f>
        <v>0</v>
      </c>
      <c r="M34" s="123">
        <f>'Capacity charges'!M271</f>
        <v>0.13103096042507623</v>
      </c>
      <c r="N34" s="123">
        <f>'Capacity charges'!N271</f>
        <v>0.13103096042507623</v>
      </c>
      <c r="O34" s="123">
        <f>'Capacity charges'!O271</f>
        <v>0</v>
      </c>
      <c r="P34" s="123">
        <f>'Capacity charges'!P271</f>
        <v>0.13103096042507623</v>
      </c>
      <c r="Q34" s="123">
        <f>'Capacity charges'!Q271</f>
        <v>0</v>
      </c>
      <c r="R34" s="123">
        <f>'Capacity charges'!R271</f>
        <v>0</v>
      </c>
      <c r="S34" s="123">
        <f>'Capacity charges'!S271</f>
        <v>0.13103096042507623</v>
      </c>
      <c r="T34" s="123">
        <f>'Capacity charges'!T271</f>
        <v>0.13103096042507623</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437</v>
      </c>
      <c r="G35" t="s">
        <v>330</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438</v>
      </c>
      <c r="G36" s="37" t="s">
        <v>330</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735</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226</v>
      </c>
      <c r="G39" s="23" t="s">
        <v>330</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228</v>
      </c>
      <c r="G40" t="s">
        <v>330</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229</v>
      </c>
      <c r="G41" t="s">
        <v>330</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1.1657426571580372E-2</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230</v>
      </c>
      <c r="G42" t="s">
        <v>330</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231</v>
      </c>
      <c r="G43" t="s">
        <v>330</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9.2924423948526305E-2</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232</v>
      </c>
      <c r="G44" t="s">
        <v>330</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0.7474442870043414</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233</v>
      </c>
      <c r="G45" t="s">
        <v>330</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6.7913421932391568E-2</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234</v>
      </c>
      <c r="G46" t="s">
        <v>330</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1.2850624383540581</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235</v>
      </c>
      <c r="G47" t="s">
        <v>330</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0.59448587558481147</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236</v>
      </c>
      <c r="G48" t="s">
        <v>330</v>
      </c>
      <c r="J48" s="123">
        <f>'Capacity charges'!J285</f>
        <v>1.1737499133355398</v>
      </c>
      <c r="K48" s="123">
        <f>'Capacity charges'!K285</f>
        <v>1.1737499133355398</v>
      </c>
      <c r="L48" s="123">
        <f>'Capacity charges'!L285</f>
        <v>0</v>
      </c>
      <c r="M48" s="123">
        <f>'Capacity charges'!M285</f>
        <v>1.1737499133355398</v>
      </c>
      <c r="N48" s="123">
        <f>'Capacity charges'!N285</f>
        <v>1.1737499133355398</v>
      </c>
      <c r="O48" s="123">
        <f>'Capacity charges'!O285</f>
        <v>0</v>
      </c>
      <c r="P48" s="123">
        <f>'Capacity charges'!P285</f>
        <v>1.1737499133355398</v>
      </c>
      <c r="Q48" s="123">
        <f>'Capacity charges'!Q285</f>
        <v>0</v>
      </c>
      <c r="R48" s="123">
        <f>'Capacity charges'!R285</f>
        <v>0</v>
      </c>
      <c r="S48" s="123">
        <f>'Capacity charges'!S285</f>
        <v>1.1737499133355398</v>
      </c>
      <c r="T48" s="123">
        <f>'Capacity charges'!T285</f>
        <v>1.1737499133355398</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437</v>
      </c>
      <c r="G49" t="s">
        <v>330</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438</v>
      </c>
      <c r="G50" s="37" t="s">
        <v>330</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735</v>
      </c>
      <c r="I54" t="s">
        <v>191</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848</v>
      </c>
    </row>
    <row r="55" spans="3:44" x14ac:dyDescent="0.25">
      <c r="C55" s="91"/>
      <c r="D55"/>
      <c r="F55" s="23" t="s">
        <v>437</v>
      </c>
      <c r="G55" s="23" t="s">
        <v>329</v>
      </c>
      <c r="H55" s="23"/>
      <c r="I55" s="23"/>
      <c r="J55" s="127">
        <f>'Service model charges'!J42</f>
        <v>1.7019835086318866</v>
      </c>
      <c r="K55" s="127">
        <f>'Service model charges'!K42</f>
        <v>1.7019835086318866</v>
      </c>
      <c r="L55" s="127">
        <f>'Service model charges'!L42</f>
        <v>0</v>
      </c>
      <c r="M55" s="127">
        <f>'Service model charges'!M42</f>
        <v>4.9904475924237195</v>
      </c>
      <c r="N55" s="127">
        <f>'Service model charges'!N42</f>
        <v>4.9904475924237195</v>
      </c>
      <c r="O55" s="127">
        <f>'Service model charges'!O42</f>
        <v>0</v>
      </c>
      <c r="P55" s="127">
        <f>'Service model charges'!P42</f>
        <v>5.7782775005440259</v>
      </c>
      <c r="Q55" s="127">
        <f>'Service model charges'!Q42</f>
        <v>4.165759312518162</v>
      </c>
      <c r="R55" s="127">
        <f>'Service model charges'!R42</f>
        <v>0</v>
      </c>
      <c r="S55" s="127">
        <f>'Service model charges'!S42</f>
        <v>1.7019835086318866</v>
      </c>
      <c r="T55" s="127">
        <f>'Service model charges'!T42</f>
        <v>4.9904475924237195</v>
      </c>
      <c r="U55" s="127">
        <f>'Service model charges'!U42</f>
        <v>9.9566299822779722</v>
      </c>
      <c r="V55" s="127">
        <f>'Service model charges'!V42</f>
        <v>7.7722196780955866</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438</v>
      </c>
      <c r="G56" s="37" t="s">
        <v>329</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71.751854690784072</v>
      </c>
      <c r="S56" s="128">
        <f>'Service model charges'!S43</f>
        <v>0</v>
      </c>
      <c r="T56" s="128">
        <f>'Service model charges'!T43</f>
        <v>0</v>
      </c>
      <c r="U56" s="128">
        <f>'Service model charges'!U43</f>
        <v>0</v>
      </c>
      <c r="V56" s="128">
        <f>'Service model charges'!V43</f>
        <v>0</v>
      </c>
      <c r="W56" s="128">
        <f>'Service model charges'!W43</f>
        <v>71.751854690784072</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44.905373277154183</v>
      </c>
      <c r="AN56" s="128">
        <f>'Service model charges'!AN43</f>
        <v>44.905373277154183</v>
      </c>
      <c r="AO56" s="128">
        <f>'Service model charges'!AO43</f>
        <v>44.905373277154183</v>
      </c>
      <c r="AP56" s="128">
        <f>'Service model charges'!AP43</f>
        <v>44.905373277154183</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849</v>
      </c>
      <c r="E60"/>
    </row>
    <row r="61" spans="3:44" x14ac:dyDescent="0.25">
      <c r="D61" s="29" t="s">
        <v>850</v>
      </c>
      <c r="E61"/>
    </row>
    <row r="62" spans="3:44" x14ac:dyDescent="0.25">
      <c r="D62" s="29"/>
      <c r="E62"/>
    </row>
    <row r="63" spans="3:44" x14ac:dyDescent="0.25">
      <c r="E63" t="s">
        <v>851</v>
      </c>
      <c r="G63" t="s">
        <v>186</v>
      </c>
      <c r="I63" t="s">
        <v>191</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852</v>
      </c>
    </row>
    <row r="65" spans="2:44" x14ac:dyDescent="0.25">
      <c r="B65" s="30" t="s">
        <v>853</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852</v>
      </c>
    </row>
    <row r="69" spans="2:44" x14ac:dyDescent="0.25">
      <c r="C69" s="91"/>
      <c r="D69"/>
      <c r="E69" s="32" t="s">
        <v>734</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226</v>
      </c>
      <c r="G70" s="23" t="s">
        <v>854</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228</v>
      </c>
      <c r="G71" t="s">
        <v>854</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229</v>
      </c>
      <c r="G72" t="s">
        <v>854</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19.126105213109067</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230</v>
      </c>
      <c r="G73" t="s">
        <v>854</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231</v>
      </c>
      <c r="G74" t="s">
        <v>854</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142.4853420560664</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232</v>
      </c>
      <c r="G75" t="s">
        <v>854</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795.10748746132219</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233</v>
      </c>
      <c r="G76" t="s">
        <v>854</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72.244140755939526</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234</v>
      </c>
      <c r="G77" t="s">
        <v>854</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763.57117783672879</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235</v>
      </c>
      <c r="G78" t="s">
        <v>854</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3.2877643330426636E-2</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236</v>
      </c>
      <c r="G79" t="s">
        <v>854</v>
      </c>
      <c r="J79" s="101">
        <f t="shared" ref="J79:AP79" si="7">J$20 * J34 * thousand / PowerFactor</f>
        <v>223709.07061404819</v>
      </c>
      <c r="K79" s="101">
        <f t="shared" si="7"/>
        <v>104614.89450119768</v>
      </c>
      <c r="L79" s="101">
        <f t="shared" si="7"/>
        <v>0</v>
      </c>
      <c r="M79" s="101">
        <f t="shared" si="7"/>
        <v>52854.895401803158</v>
      </c>
      <c r="N79" s="101">
        <f t="shared" si="7"/>
        <v>62087.098551455034</v>
      </c>
      <c r="O79" s="101">
        <f t="shared" si="7"/>
        <v>0</v>
      </c>
      <c r="P79" s="101">
        <f t="shared" si="7"/>
        <v>626.36725338432757</v>
      </c>
      <c r="Q79" s="101">
        <f t="shared" si="7"/>
        <v>0</v>
      </c>
      <c r="R79" s="101">
        <f t="shared" si="7"/>
        <v>0</v>
      </c>
      <c r="S79" s="101">
        <f t="shared" si="7"/>
        <v>885.58599469521801</v>
      </c>
      <c r="T79" s="101">
        <f t="shared" si="7"/>
        <v>6548.4097501311126</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437</v>
      </c>
      <c r="G80" t="s">
        <v>854</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438</v>
      </c>
      <c r="G81" s="37" t="s">
        <v>854</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735</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226</v>
      </c>
      <c r="G84" s="23" t="s">
        <v>854</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228</v>
      </c>
      <c r="G85" t="s">
        <v>854</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229</v>
      </c>
      <c r="G86" t="s">
        <v>854</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10.499974518785896</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230</v>
      </c>
      <c r="G87" t="s">
        <v>854</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231</v>
      </c>
      <c r="G88" t="s">
        <v>854</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83.698068149196175</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232</v>
      </c>
      <c r="G89" t="s">
        <v>854</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673.23143058783364</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233</v>
      </c>
      <c r="G90" t="s">
        <v>854</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61.170378847772987</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234</v>
      </c>
      <c r="G91" t="s">
        <v>854</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1157.47011357218</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235</v>
      </c>
      <c r="G92" t="s">
        <v>854</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6.200914681316759E-2</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236</v>
      </c>
      <c r="G93" t="s">
        <v>854</v>
      </c>
      <c r="J93" s="101">
        <f t="shared" ref="J93:AP93" si="17">J$20 * J48 * thousand / PowerFactor</f>
        <v>2003942.4376787359</v>
      </c>
      <c r="K93" s="101">
        <f t="shared" si="17"/>
        <v>937119.92155166995</v>
      </c>
      <c r="L93" s="101">
        <f t="shared" si="17"/>
        <v>0</v>
      </c>
      <c r="M93" s="101">
        <f t="shared" si="17"/>
        <v>473463.89506699203</v>
      </c>
      <c r="N93" s="101">
        <f t="shared" si="17"/>
        <v>556164.17911929591</v>
      </c>
      <c r="O93" s="101">
        <f t="shared" si="17"/>
        <v>0</v>
      </c>
      <c r="P93" s="101">
        <f t="shared" si="17"/>
        <v>5610.8762920688696</v>
      </c>
      <c r="Q93" s="101">
        <f t="shared" si="17"/>
        <v>0</v>
      </c>
      <c r="R93" s="101">
        <f t="shared" si="17"/>
        <v>0</v>
      </c>
      <c r="S93" s="101">
        <f t="shared" si="17"/>
        <v>7932.9074682242244</v>
      </c>
      <c r="T93" s="101">
        <f t="shared" si="17"/>
        <v>58659.383643127454</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437</v>
      </c>
      <c r="G94" t="s">
        <v>854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438</v>
      </c>
      <c r="G95" s="37" t="s">
        <v>854</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191</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852</v>
      </c>
    </row>
    <row r="99" spans="3:44" x14ac:dyDescent="0.25">
      <c r="C99" s="91"/>
      <c r="D99"/>
      <c r="E99" s="32" t="s">
        <v>734</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226</v>
      </c>
      <c r="G100" s="23" t="s">
        <v>854</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228</v>
      </c>
      <c r="G101" t="s">
        <v>854</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229</v>
      </c>
      <c r="G102" t="s">
        <v>854</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19.126105213109067</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230</v>
      </c>
      <c r="G103" t="s">
        <v>854</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231</v>
      </c>
      <c r="G104" t="s">
        <v>854</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142.4853420560664</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232</v>
      </c>
      <c r="G105" t="s">
        <v>854</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795.10748746132219</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233</v>
      </c>
      <c r="G106" t="s">
        <v>854</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72.244140755939526</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234</v>
      </c>
      <c r="G107" t="s">
        <v>854</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763.57117783672879</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235</v>
      </c>
      <c r="G108" t="s">
        <v>854</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3.2877643330426636E-2</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236</v>
      </c>
      <c r="G109" t="s">
        <v>854</v>
      </c>
      <c r="J109" s="101">
        <f t="shared" ref="J109:AP109" si="25">SUMIFS($J79:$AP79,$J$63:$AP$63,J$63)</f>
        <v>450699.95481333038</v>
      </c>
      <c r="K109" s="101">
        <f t="shared" si="25"/>
        <v>450699.95481333038</v>
      </c>
      <c r="L109" s="101">
        <f t="shared" si="25"/>
        <v>0</v>
      </c>
      <c r="M109" s="101">
        <f t="shared" si="25"/>
        <v>450699.95481333038</v>
      </c>
      <c r="N109" s="101">
        <f t="shared" si="25"/>
        <v>450699.95481333038</v>
      </c>
      <c r="O109" s="101">
        <f t="shared" si="25"/>
        <v>0</v>
      </c>
      <c r="P109" s="101">
        <f t="shared" si="25"/>
        <v>626.36725338432757</v>
      </c>
      <c r="Q109" s="101">
        <f t="shared" si="25"/>
        <v>0</v>
      </c>
      <c r="R109" s="101">
        <f t="shared" si="25"/>
        <v>0</v>
      </c>
      <c r="S109" s="101">
        <f t="shared" si="25"/>
        <v>450699.95481333038</v>
      </c>
      <c r="T109" s="101">
        <f t="shared" si="25"/>
        <v>450699.95481333038</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437</v>
      </c>
      <c r="G110" t="s">
        <v>854</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438</v>
      </c>
      <c r="G111" s="37" t="s">
        <v>854</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735</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226</v>
      </c>
      <c r="G114" s="23" t="s">
        <v>854</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228</v>
      </c>
      <c r="G115" t="s">
        <v>854</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229</v>
      </c>
      <c r="G116" t="s">
        <v>854</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10.499974518785896</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230</v>
      </c>
      <c r="G117" t="s">
        <v>854</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231</v>
      </c>
      <c r="G118" t="s">
        <v>854</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83.698068149196175</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232</v>
      </c>
      <c r="G119" t="s">
        <v>854</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673.23143058783364</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233</v>
      </c>
      <c r="G120" t="s">
        <v>854</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61.170378847772987</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234</v>
      </c>
      <c r="G121" t="s">
        <v>854</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1157.47011357218</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235</v>
      </c>
      <c r="G122" t="s">
        <v>854</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6.200914681316759E-2</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236</v>
      </c>
      <c r="G123" t="s">
        <v>854</v>
      </c>
      <c r="J123" s="101">
        <f t="shared" ref="J123:AP123" si="35">SUMIFS($J93:$AP93,$J$63:$AP$63,J$63)</f>
        <v>4037282.7245280454</v>
      </c>
      <c r="K123" s="101">
        <f t="shared" si="35"/>
        <v>4037282.7245280454</v>
      </c>
      <c r="L123" s="101">
        <f t="shared" si="35"/>
        <v>0</v>
      </c>
      <c r="M123" s="101">
        <f t="shared" si="35"/>
        <v>4037282.7245280454</v>
      </c>
      <c r="N123" s="101">
        <f t="shared" si="35"/>
        <v>4037282.7245280454</v>
      </c>
      <c r="O123" s="101">
        <f t="shared" si="35"/>
        <v>0</v>
      </c>
      <c r="P123" s="101">
        <f t="shared" si="35"/>
        <v>5610.8762920688696</v>
      </c>
      <c r="Q123" s="101">
        <f t="shared" si="35"/>
        <v>0</v>
      </c>
      <c r="R123" s="101">
        <f t="shared" si="35"/>
        <v>0</v>
      </c>
      <c r="S123" s="101">
        <f t="shared" si="35"/>
        <v>4037282.7245280454</v>
      </c>
      <c r="T123" s="101">
        <f t="shared" si="35"/>
        <v>4037282.7245280454</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437</v>
      </c>
      <c r="G124" t="s">
        <v>854</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438</v>
      </c>
      <c r="G125" s="37" t="s">
        <v>854</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855</v>
      </c>
      <c r="G129" t="s">
        <v>249</v>
      </c>
      <c r="J129" s="92">
        <f t="shared" ref="J129:AP129" si="36">SUMIFS($J$18:$AP$18,$J$63:$AP$63,J63)</f>
        <v>2717300.1446877229</v>
      </c>
      <c r="K129" s="92">
        <f t="shared" si="36"/>
        <v>2717300.1446877229</v>
      </c>
      <c r="L129" s="92">
        <f t="shared" si="36"/>
        <v>23705.71874971308</v>
      </c>
      <c r="M129" s="92">
        <f t="shared" si="36"/>
        <v>2717300.1446877229</v>
      </c>
      <c r="N129" s="92">
        <f t="shared" si="36"/>
        <v>2717300.1446877229</v>
      </c>
      <c r="O129" s="92">
        <f t="shared" si="36"/>
        <v>23705.71874971308</v>
      </c>
      <c r="P129" s="92">
        <f t="shared" si="36"/>
        <v>325.4825015624246</v>
      </c>
      <c r="Q129" s="92">
        <f t="shared" si="36"/>
        <v>0.83287671232876703</v>
      </c>
      <c r="R129" s="92">
        <f t="shared" si="36"/>
        <v>36.832876712328769</v>
      </c>
      <c r="S129" s="92">
        <f t="shared" si="36"/>
        <v>2717300.1446877229</v>
      </c>
      <c r="T129" s="92">
        <f t="shared" si="36"/>
        <v>2717300.1446877229</v>
      </c>
      <c r="U129" s="92">
        <f t="shared" si="36"/>
        <v>23705.71874971308</v>
      </c>
      <c r="V129" s="92">
        <f t="shared" si="36"/>
        <v>23705.71874971308</v>
      </c>
      <c r="W129" s="92">
        <f t="shared" si="36"/>
        <v>23705.71874971308</v>
      </c>
      <c r="X129" s="92">
        <f t="shared" si="36"/>
        <v>23705.71874971308</v>
      </c>
      <c r="Y129" s="92">
        <f t="shared" si="36"/>
        <v>23705.71874971308</v>
      </c>
      <c r="Z129" s="92">
        <f t="shared" si="36"/>
        <v>23705.71874971308</v>
      </c>
      <c r="AA129" s="92">
        <f t="shared" si="36"/>
        <v>23705.71874971308</v>
      </c>
      <c r="AB129" s="92">
        <f t="shared" si="36"/>
        <v>23705.71874971308</v>
      </c>
      <c r="AC129" s="92">
        <f t="shared" si="36"/>
        <v>23705.71874971308</v>
      </c>
      <c r="AD129" s="92">
        <f t="shared" si="36"/>
        <v>23705.71874971308</v>
      </c>
      <c r="AE129" s="92">
        <f t="shared" si="36"/>
        <v>23705.71874971308</v>
      </c>
      <c r="AF129" s="92">
        <f t="shared" si="36"/>
        <v>23705.71874971308</v>
      </c>
      <c r="AG129" s="92">
        <f t="shared" si="36"/>
        <v>23705.71874971308</v>
      </c>
      <c r="AH129" s="92">
        <f t="shared" si="36"/>
        <v>23705.71874971308</v>
      </c>
      <c r="AI129" s="92">
        <f t="shared" si="36"/>
        <v>23705.71874971308</v>
      </c>
      <c r="AJ129" s="92">
        <f t="shared" si="36"/>
        <v>23705.71874971308</v>
      </c>
      <c r="AK129" s="92">
        <f t="shared" si="36"/>
        <v>23705.71874971308</v>
      </c>
      <c r="AL129" s="92">
        <f t="shared" si="36"/>
        <v>23705.71874971308</v>
      </c>
      <c r="AM129" s="92">
        <f t="shared" si="36"/>
        <v>23705.71874971308</v>
      </c>
      <c r="AN129" s="92">
        <f t="shared" si="36"/>
        <v>23705.71874971308</v>
      </c>
      <c r="AO129" s="92">
        <f t="shared" si="36"/>
        <v>23705.71874971308</v>
      </c>
      <c r="AP129" s="92">
        <f t="shared" si="36"/>
        <v>23705.71874971308</v>
      </c>
    </row>
    <row r="130" spans="3:44" x14ac:dyDescent="0.25">
      <c r="D130"/>
      <c r="E130"/>
    </row>
    <row r="131" spans="3:44" x14ac:dyDescent="0.25">
      <c r="C131" s="91"/>
      <c r="E131" s="32" t="s">
        <v>734</v>
      </c>
      <c r="I131" t="s">
        <v>191</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852</v>
      </c>
    </row>
    <row r="132" spans="3:44" x14ac:dyDescent="0.25">
      <c r="C132" s="91"/>
      <c r="E132" s="29"/>
      <c r="F132" s="23" t="s">
        <v>226</v>
      </c>
      <c r="G132" s="23" t="s">
        <v>329</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228</v>
      </c>
      <c r="G133" t="s">
        <v>329</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229</v>
      </c>
      <c r="G134" t="s">
        <v>329</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0.51926721234638573</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230</v>
      </c>
      <c r="G135" t="s">
        <v>329</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231</v>
      </c>
      <c r="G136" t="s">
        <v>329</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3.8684282840273903</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232</v>
      </c>
      <c r="G137" t="s">
        <v>329</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21.586896230540209</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233</v>
      </c>
      <c r="G138" t="s">
        <v>329</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1.9614037024633981</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234</v>
      </c>
      <c r="G139" t="s">
        <v>329</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20.730696214698451</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235</v>
      </c>
      <c r="G140" t="s">
        <v>329</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3.9474802025018824E-2</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236</v>
      </c>
      <c r="G141" t="s">
        <v>329</v>
      </c>
      <c r="J141" s="101">
        <f t="shared" ref="J141:AP141" si="46">IF(J$129 = 0, 0, J109 / J$129)</f>
        <v>0.16586314754166609</v>
      </c>
      <c r="K141" s="101">
        <f t="shared" si="46"/>
        <v>0.16586314754166609</v>
      </c>
      <c r="L141" s="101">
        <f t="shared" si="46"/>
        <v>0</v>
      </c>
      <c r="M141" s="101">
        <f t="shared" si="46"/>
        <v>0.16586314754166609</v>
      </c>
      <c r="N141" s="101">
        <f t="shared" si="46"/>
        <v>0.16586314754166609</v>
      </c>
      <c r="O141" s="101">
        <f t="shared" si="46"/>
        <v>0</v>
      </c>
      <c r="P141" s="101">
        <f t="shared" si="46"/>
        <v>1.9244268136614282</v>
      </c>
      <c r="Q141" s="101">
        <f t="shared" si="46"/>
        <v>0</v>
      </c>
      <c r="R141" s="101">
        <f t="shared" si="46"/>
        <v>0</v>
      </c>
      <c r="S141" s="101">
        <f t="shared" si="46"/>
        <v>0.16586314754166609</v>
      </c>
      <c r="T141" s="101">
        <f t="shared" si="46"/>
        <v>0.16586314754166609</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437</v>
      </c>
      <c r="G142" s="23" t="s">
        <v>329</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438</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735</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226</v>
      </c>
      <c r="G146" s="23" t="s">
        <v>329</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228</v>
      </c>
      <c r="G147" t="s">
        <v>329</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229</v>
      </c>
      <c r="G148" t="s">
        <v>329</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0.28507071551300595</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230</v>
      </c>
      <c r="G149" t="s">
        <v>329</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231</v>
      </c>
      <c r="G150" t="s">
        <v>329</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2.2723739121137014</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232</v>
      </c>
      <c r="G151" t="s">
        <v>329</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18.278002987545317</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233</v>
      </c>
      <c r="G152" t="s">
        <v>329</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1.660754855655842</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234</v>
      </c>
      <c r="G153" t="s">
        <v>329</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31.424917543427973</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235</v>
      </c>
      <c r="G154" t="s">
        <v>329</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7.4451771667125563E-2</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236</v>
      </c>
      <c r="G155" t="s">
        <v>329</v>
      </c>
      <c r="J155" s="101">
        <f t="shared" ref="J155:AP155" si="56">IF(J$129 = 0, 0, J123 / J$129)</f>
        <v>1.4857698853845303</v>
      </c>
      <c r="K155" s="101">
        <f t="shared" si="56"/>
        <v>1.4857698853845303</v>
      </c>
      <c r="L155" s="101">
        <f t="shared" si="56"/>
        <v>0</v>
      </c>
      <c r="M155" s="101">
        <f t="shared" si="56"/>
        <v>1.4857698853845303</v>
      </c>
      <c r="N155" s="101">
        <f t="shared" si="56"/>
        <v>1.4857698853845303</v>
      </c>
      <c r="O155" s="101">
        <f t="shared" si="56"/>
        <v>0</v>
      </c>
      <c r="P155" s="101">
        <f t="shared" si="56"/>
        <v>17.238641908965278</v>
      </c>
      <c r="Q155" s="101">
        <f t="shared" si="56"/>
        <v>0</v>
      </c>
      <c r="R155" s="101">
        <f t="shared" si="56"/>
        <v>0</v>
      </c>
      <c r="S155" s="101">
        <f t="shared" si="56"/>
        <v>1.4857698853845303</v>
      </c>
      <c r="T155" s="101">
        <f t="shared" si="56"/>
        <v>1.4857698853845303</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437</v>
      </c>
      <c r="G156" s="23" t="s">
        <v>329</v>
      </c>
      <c r="H156" s="23"/>
      <c r="I156" s="23"/>
      <c r="J156" s="129">
        <f t="shared" ref="J156:AP156" si="57">J55</f>
        <v>1.7019835086318866</v>
      </c>
      <c r="K156" s="129">
        <f t="shared" si="57"/>
        <v>1.7019835086318866</v>
      </c>
      <c r="L156" s="129">
        <f t="shared" si="57"/>
        <v>0</v>
      </c>
      <c r="M156" s="129">
        <f t="shared" si="57"/>
        <v>4.9904475924237195</v>
      </c>
      <c r="N156" s="129">
        <f t="shared" si="57"/>
        <v>4.9904475924237195</v>
      </c>
      <c r="O156" s="129">
        <f t="shared" si="57"/>
        <v>0</v>
      </c>
      <c r="P156" s="129">
        <f t="shared" si="57"/>
        <v>5.7782775005440259</v>
      </c>
      <c r="Q156" s="129">
        <f t="shared" si="57"/>
        <v>4.165759312518162</v>
      </c>
      <c r="R156" s="129">
        <f t="shared" si="57"/>
        <v>0</v>
      </c>
      <c r="S156" s="129">
        <f t="shared" si="57"/>
        <v>1.7019835086318866</v>
      </c>
      <c r="T156" s="129">
        <f t="shared" si="57"/>
        <v>4.9904475924237195</v>
      </c>
      <c r="U156" s="129">
        <f t="shared" si="57"/>
        <v>9.9566299822779722</v>
      </c>
      <c r="V156" s="129">
        <f t="shared" si="57"/>
        <v>7.7722196780955866</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438</v>
      </c>
      <c r="G157" s="37" t="s">
        <v>329</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71.751854690784072</v>
      </c>
      <c r="S157" s="103">
        <f t="shared" si="58"/>
        <v>0</v>
      </c>
      <c r="T157" s="103">
        <f t="shared" si="58"/>
        <v>0</v>
      </c>
      <c r="U157" s="103">
        <f t="shared" si="58"/>
        <v>0</v>
      </c>
      <c r="V157" s="103">
        <f t="shared" si="58"/>
        <v>0</v>
      </c>
      <c r="W157" s="103">
        <f t="shared" si="58"/>
        <v>71.751854690784072</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44.905373277154183</v>
      </c>
      <c r="AN157" s="103">
        <f t="shared" si="58"/>
        <v>44.905373277154183</v>
      </c>
      <c r="AO157" s="103">
        <f t="shared" si="58"/>
        <v>44.905373277154183</v>
      </c>
      <c r="AP157" s="103">
        <f t="shared" si="58"/>
        <v>44.905373277154183</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196</v>
      </c>
      <c r="G161" t="s">
        <v>329</v>
      </c>
      <c r="J161" s="124">
        <f t="shared" ref="J161:AP161" si="59">SUM(J132:J143,J146:J157)</f>
        <v>3.353616541558083</v>
      </c>
      <c r="K161" s="124">
        <f t="shared" si="59"/>
        <v>3.353616541558083</v>
      </c>
      <c r="L161" s="124">
        <f t="shared" si="59"/>
        <v>0</v>
      </c>
      <c r="M161" s="124">
        <f t="shared" si="59"/>
        <v>6.6420806253499158</v>
      </c>
      <c r="N161" s="124">
        <f t="shared" si="59"/>
        <v>6.6420806253499158</v>
      </c>
      <c r="O161" s="124">
        <f t="shared" si="59"/>
        <v>0</v>
      </c>
      <c r="P161" s="124">
        <f t="shared" si="59"/>
        <v>24.941346223170729</v>
      </c>
      <c r="Q161" s="124">
        <f t="shared" si="59"/>
        <v>4.2796858862103067</v>
      </c>
      <c r="R161" s="124">
        <f t="shared" si="59"/>
        <v>174.33966634911576</v>
      </c>
      <c r="S161" s="124">
        <f t="shared" si="59"/>
        <v>3.353616541558083</v>
      </c>
      <c r="T161" s="124">
        <f t="shared" si="59"/>
        <v>6.6420806253499158</v>
      </c>
      <c r="U161" s="124">
        <f t="shared" si="59"/>
        <v>9.9566299822779722</v>
      </c>
      <c r="V161" s="124">
        <f t="shared" si="59"/>
        <v>7.7722196780955866</v>
      </c>
      <c r="W161" s="124">
        <f t="shared" si="59"/>
        <v>71.751854690784072</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44.905373277154183</v>
      </c>
      <c r="AN161" s="124">
        <f t="shared" si="59"/>
        <v>44.905373277154183</v>
      </c>
      <c r="AO161" s="124">
        <f t="shared" si="59"/>
        <v>44.905373277154183</v>
      </c>
      <c r="AP161" s="124">
        <f t="shared" si="59"/>
        <v>44.905373277154183</v>
      </c>
    </row>
    <row r="163" spans="2:44" x14ac:dyDescent="0.25">
      <c r="B163" s="30" t="s">
        <v>281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282</v>
      </c>
      <c r="G165" s="6" t="s">
        <v>57</v>
      </c>
      <c r="H165" s="26">
        <f t="array" ref="H165">SUM(IF(ISERROR(H18:AP161), 1))</f>
        <v>0</v>
      </c>
    </row>
    <row r="167" spans="2:44" x14ac:dyDescent="0.25">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WPD EMEB - [enter data version name]</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146</v>
      </c>
      <c r="C5" s="60"/>
      <c r="D5" s="60"/>
      <c r="E5" s="60"/>
      <c r="F5" s="60"/>
      <c r="G5" s="60" t="s">
        <v>147</v>
      </c>
      <c r="H5" s="117" t="s">
        <v>148</v>
      </c>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DG5" s="61" t="s">
        <v>182</v>
      </c>
    </row>
    <row r="6" spans="1:111" x14ac:dyDescent="0.25">
      <c r="C6" s="91"/>
    </row>
    <row r="7" spans="1:111"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856</v>
      </c>
    </row>
    <row r="10" spans="1:111" x14ac:dyDescent="0.25">
      <c r="D10" s="29" t="s">
        <v>857</v>
      </c>
      <c r="E10"/>
    </row>
    <row r="11" spans="1:111" x14ac:dyDescent="0.25">
      <c r="D11" s="29" t="s">
        <v>858</v>
      </c>
    </row>
    <row r="13" spans="1:111" x14ac:dyDescent="0.25">
      <c r="B13" s="30" t="s">
        <v>859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860</v>
      </c>
      <c r="F17" s="2"/>
    </row>
    <row r="18" spans="4:111" x14ac:dyDescent="0.25">
      <c r="D18" s="91"/>
      <c r="F18" s="2"/>
    </row>
    <row r="19" spans="4:111" x14ac:dyDescent="0.25">
      <c r="D19"/>
      <c r="E19" s="32" t="s">
        <v>861</v>
      </c>
      <c r="F19" s="32"/>
    </row>
    <row r="20" spans="4:111" x14ac:dyDescent="0.25">
      <c r="D20"/>
      <c r="E20" s="91"/>
      <c r="F20" s="23" t="s">
        <v>193</v>
      </c>
      <c r="G20" s="23" t="s">
        <v>328</v>
      </c>
      <c r="H20" s="302"/>
      <c r="I20" s="302"/>
      <c r="J20" s="318">
        <f>'Unit rate charges'!J217</f>
        <v>1.3032327686610812</v>
      </c>
      <c r="K20" s="318">
        <f>'Unit rate charges'!K217</f>
        <v>1.5579828371812392</v>
      </c>
      <c r="L20" s="318">
        <f>'Unit rate charges'!L217</f>
        <v>0.42136182700338609</v>
      </c>
      <c r="M20" s="318">
        <f>'Unit rate charges'!M217</f>
        <v>1.1771518740821849</v>
      </c>
      <c r="N20" s="318">
        <f>'Unit rate charges'!N217</f>
        <v>1.3349022703744908</v>
      </c>
      <c r="O20" s="318">
        <f>'Unit rate charges'!O217</f>
        <v>0.20442076338205489</v>
      </c>
      <c r="P20" s="318">
        <f>'Unit rate charges'!P217</f>
        <v>1.2665899217284431</v>
      </c>
      <c r="Q20" s="318">
        <f>'Unit rate charges'!Q217</f>
        <v>0.85515803754226605</v>
      </c>
      <c r="R20" s="318">
        <f>'Unit rate charges'!R217</f>
        <v>0.51330336925082132</v>
      </c>
      <c r="S20" s="318">
        <f>'Unit rate charges'!S217</f>
        <v>7.4441423354702021</v>
      </c>
      <c r="T20" s="318">
        <f>'Unit rate charges'!T217</f>
        <v>6.9217403212033002</v>
      </c>
      <c r="U20" s="318">
        <f>'Unit rate charges'!U217</f>
        <v>4.9371824361274381</v>
      </c>
      <c r="V20" s="318">
        <f>'Unit rate charges'!V217</f>
        <v>3.5400563849451738</v>
      </c>
      <c r="W20" s="318">
        <f>'Unit rate charges'!W217</f>
        <v>2.126352169552538</v>
      </c>
      <c r="X20" s="318">
        <f>'Unit rate charges'!X217</f>
        <v>1.5719272073701078</v>
      </c>
      <c r="Y20" s="318">
        <f>'Unit rate charges'!Y217</f>
        <v>1.803799949967152</v>
      </c>
      <c r="Z20" s="318">
        <f>'Unit rate charges'!Z217</f>
        <v>2.7055413376607742</v>
      </c>
      <c r="AA20" s="318">
        <f>'Unit rate charges'!AA217</f>
        <v>1.3377219464304058</v>
      </c>
      <c r="AB20" s="318">
        <f>'Unit rate charges'!AB217</f>
        <v>20.418433286971208</v>
      </c>
      <c r="AC20" s="318">
        <f>'Unit rate charges'!AC217</f>
        <v>-0.62781802559045008</v>
      </c>
      <c r="AD20" s="318">
        <f>'Unit rate charges'!AD217</f>
        <v>-0.5479886425308339</v>
      </c>
      <c r="AE20" s="318">
        <f>'Unit rate charges'!AE217</f>
        <v>-0.62781802559045008</v>
      </c>
      <c r="AF20" s="318">
        <f>'Unit rate charges'!AF217</f>
        <v>-0.62781802559045008</v>
      </c>
      <c r="AG20" s="318">
        <f>'Unit rate charges'!AG217</f>
        <v>-4.8955152543509817</v>
      </c>
      <c r="AH20" s="318">
        <f>'Unit rate charges'!AH217</f>
        <v>-4.8955152543509817</v>
      </c>
      <c r="AI20" s="318">
        <f>'Unit rate charges'!AI217</f>
        <v>-0.5479886425308339</v>
      </c>
      <c r="AJ20" s="318">
        <f>'Unit rate charges'!AJ217</f>
        <v>-0.5479886425308339</v>
      </c>
      <c r="AK20" s="318">
        <f>'Unit rate charges'!AK217</f>
        <v>-4.3055642034544519</v>
      </c>
      <c r="AL20" s="318">
        <f>'Unit rate charges'!AL217</f>
        <v>-4.3055642034544519</v>
      </c>
      <c r="AM20" s="318">
        <f>'Unit rate charges'!AM217</f>
        <v>-0.34305791107506395</v>
      </c>
      <c r="AN20" s="318">
        <f>'Unit rate charges'!AN217</f>
        <v>-0.34305791107506395</v>
      </c>
      <c r="AO20" s="318">
        <f>'Unit rate charges'!AO217</f>
        <v>-2.8093058530954993</v>
      </c>
      <c r="AP20" s="318">
        <f>'Unit rate charges'!AP217</f>
        <v>-2.8093058530954993</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194</v>
      </c>
      <c r="G21" t="s">
        <v>328</v>
      </c>
      <c r="H21" s="304"/>
      <c r="I21" s="304"/>
      <c r="J21" s="319">
        <f>'Unit rate charges'!J218</f>
        <v>0</v>
      </c>
      <c r="K21" s="319">
        <f>'Unit rate charges'!K218</f>
        <v>5.2784397319108771E-2</v>
      </c>
      <c r="L21" s="319">
        <f>'Unit rate charges'!L218</f>
        <v>0</v>
      </c>
      <c r="M21" s="319">
        <f>'Unit rate charges'!M218</f>
        <v>0</v>
      </c>
      <c r="N21" s="319">
        <f>'Unit rate charges'!N218</f>
        <v>4.8132447030956323E-2</v>
      </c>
      <c r="O21" s="319">
        <f>'Unit rate charges'!O218</f>
        <v>0</v>
      </c>
      <c r="P21" s="319">
        <f>'Unit rate charges'!P218</f>
        <v>4.3702128995150843E-2</v>
      </c>
      <c r="Q21" s="319">
        <f>'Unit rate charges'!Q218</f>
        <v>2.8708496633440037E-2</v>
      </c>
      <c r="R21" s="319">
        <f>'Unit rate charges'!R218</f>
        <v>1.0238293866576058E-2</v>
      </c>
      <c r="S21" s="319">
        <f>'Unit rate charges'!S218</f>
        <v>0.82819658637537308</v>
      </c>
      <c r="T21" s="319">
        <f>'Unit rate charges'!T218</f>
        <v>0.77005805261028304</v>
      </c>
      <c r="U21" s="319">
        <f>'Unit rate charges'!U218</f>
        <v>0.52838253413366609</v>
      </c>
      <c r="V21" s="319">
        <f>'Unit rate charges'!V218</f>
        <v>0.3455231787505984</v>
      </c>
      <c r="W21" s="319">
        <f>'Unit rate charges'!W218</f>
        <v>0.17397660842324955</v>
      </c>
      <c r="X21" s="319">
        <f>'Unit rate charges'!X218</f>
        <v>0</v>
      </c>
      <c r="Y21" s="319">
        <f>'Unit rate charges'!Y218</f>
        <v>0</v>
      </c>
      <c r="Z21" s="319">
        <f>'Unit rate charges'!Z218</f>
        <v>0</v>
      </c>
      <c r="AA21" s="319">
        <f>'Unit rate charges'!AA218</f>
        <v>0</v>
      </c>
      <c r="AB21" s="319">
        <f>'Unit rate charges'!AB218</f>
        <v>1.403399912189323</v>
      </c>
      <c r="AC21" s="319">
        <f>'Unit rate charges'!AC218</f>
        <v>0</v>
      </c>
      <c r="AD21" s="319">
        <f>'Unit rate charges'!AD218</f>
        <v>0</v>
      </c>
      <c r="AE21" s="319">
        <f>'Unit rate charges'!AE218</f>
        <v>0</v>
      </c>
      <c r="AF21" s="319">
        <f>'Unit rate charges'!AF218</f>
        <v>0</v>
      </c>
      <c r="AG21" s="319">
        <f>'Unit rate charges'!AG218</f>
        <v>-0.54464333583913571</v>
      </c>
      <c r="AH21" s="319">
        <f>'Unit rate charges'!AH218</f>
        <v>-0.54464333583913571</v>
      </c>
      <c r="AI21" s="319">
        <f>'Unit rate charges'!AI218</f>
        <v>0</v>
      </c>
      <c r="AJ21" s="319">
        <f>'Unit rate charges'!AJ218</f>
        <v>0</v>
      </c>
      <c r="AK21" s="319">
        <f>'Unit rate charges'!AK218</f>
        <v>-0.46798058302197632</v>
      </c>
      <c r="AL21" s="319">
        <f>'Unit rate charges'!AL218</f>
        <v>-0.46798058302197632</v>
      </c>
      <c r="AM21" s="319">
        <f>'Unit rate charges'!AM218</f>
        <v>0</v>
      </c>
      <c r="AN21" s="319">
        <f>'Unit rate charges'!AN218</f>
        <v>0</v>
      </c>
      <c r="AO21" s="319">
        <f>'Unit rate charges'!AO218</f>
        <v>-0.26702176837636921</v>
      </c>
      <c r="AP21" s="319">
        <f>'Unit rate charges'!AP218</f>
        <v>-0.26702176837636921</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195</v>
      </c>
      <c r="G22" t="s">
        <v>328</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5.0499783938780622E-2</v>
      </c>
      <c r="T22" s="319">
        <f>'Unit rate charges'!T219</f>
        <v>4.6953934185280009E-2</v>
      </c>
      <c r="U22" s="319">
        <f>'Unit rate charges'!U219</f>
        <v>3.1204536782119766E-2</v>
      </c>
      <c r="V22" s="319">
        <f>'Unit rate charges'!V219</f>
        <v>1.8724412797241134E-2</v>
      </c>
      <c r="W22" s="319">
        <f>'Unit rate charges'!W219</f>
        <v>7.6050911860762677E-3</v>
      </c>
      <c r="X22" s="319">
        <f>'Unit rate charges'!X219</f>
        <v>0</v>
      </c>
      <c r="Y22" s="319">
        <f>'Unit rate charges'!Y219</f>
        <v>0</v>
      </c>
      <c r="Z22" s="319">
        <f>'Unit rate charges'!Z219</f>
        <v>0</v>
      </c>
      <c r="AA22" s="319">
        <f>'Unit rate charges'!AA219</f>
        <v>0</v>
      </c>
      <c r="AB22" s="319">
        <f>'Unit rate charges'!AB219</f>
        <v>0.74971791499948259</v>
      </c>
      <c r="AC22" s="319">
        <f>'Unit rate charges'!AC219</f>
        <v>0</v>
      </c>
      <c r="AD22" s="319">
        <f>'Unit rate charges'!AD219</f>
        <v>0</v>
      </c>
      <c r="AE22" s="319">
        <f>'Unit rate charges'!AE219</f>
        <v>0</v>
      </c>
      <c r="AF22" s="319">
        <f>'Unit rate charges'!AF219</f>
        <v>0</v>
      </c>
      <c r="AG22" s="319">
        <f>'Unit rate charges'!AG219</f>
        <v>-3.3209662589205137E-2</v>
      </c>
      <c r="AH22" s="319">
        <f>'Unit rate charges'!AH219</f>
        <v>-3.3209662589205137E-2</v>
      </c>
      <c r="AI22" s="319">
        <f>'Unit rate charges'!AI219</f>
        <v>0</v>
      </c>
      <c r="AJ22" s="319">
        <f>'Unit rate charges'!AJ219</f>
        <v>0</v>
      </c>
      <c r="AK22" s="319">
        <f>'Unit rate charges'!AK219</f>
        <v>-2.8000181322170133E-2</v>
      </c>
      <c r="AL22" s="319">
        <f>'Unit rate charges'!AL219</f>
        <v>-2.8000181322170133E-2</v>
      </c>
      <c r="AM22" s="319">
        <f>'Unit rate charges'!AM219</f>
        <v>0</v>
      </c>
      <c r="AN22" s="319">
        <f>'Unit rate charges'!AN219</f>
        <v>0</v>
      </c>
      <c r="AO22" s="319">
        <f>'Unit rate charges'!AO219</f>
        <v>-1.4079568759351556E-2</v>
      </c>
      <c r="AP22" s="319">
        <f>'Unit rate charges'!AP219</f>
        <v>-1.4079568759351556E-2</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196</v>
      </c>
      <c r="G23" t="s">
        <v>329</v>
      </c>
      <c r="J23" s="123">
        <f>'Fixed charges'!J161</f>
        <v>3.353616541558083</v>
      </c>
      <c r="K23" s="123">
        <f>'Fixed charges'!K161</f>
        <v>3.353616541558083</v>
      </c>
      <c r="L23" s="123">
        <f>'Fixed charges'!L161</f>
        <v>0</v>
      </c>
      <c r="M23" s="123">
        <f>'Fixed charges'!M161</f>
        <v>6.6420806253499158</v>
      </c>
      <c r="N23" s="123">
        <f>'Fixed charges'!N161</f>
        <v>6.6420806253499158</v>
      </c>
      <c r="O23" s="123">
        <f>'Fixed charges'!O161</f>
        <v>0</v>
      </c>
      <c r="P23" s="123">
        <f>'Fixed charges'!P161</f>
        <v>24.941346223170729</v>
      </c>
      <c r="Q23" s="123">
        <f>'Fixed charges'!Q161</f>
        <v>4.2796858862103067</v>
      </c>
      <c r="R23" s="123">
        <f>'Fixed charges'!R161</f>
        <v>174.33966634911576</v>
      </c>
      <c r="S23" s="123">
        <f>'Fixed charges'!S161</f>
        <v>3.353616541558083</v>
      </c>
      <c r="T23" s="123">
        <f>'Fixed charges'!T161</f>
        <v>6.6420806253499158</v>
      </c>
      <c r="U23" s="123">
        <f>'Fixed charges'!U161</f>
        <v>9.9566299822779722</v>
      </c>
      <c r="V23" s="123">
        <f>'Fixed charges'!V161</f>
        <v>7.7722196780955866</v>
      </c>
      <c r="W23" s="123">
        <f>'Fixed charges'!W161</f>
        <v>71.751854690784072</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44.905373277154183</v>
      </c>
      <c r="AN23" s="123">
        <f>'Fixed charges'!AN161</f>
        <v>44.905373277154183</v>
      </c>
      <c r="AO23" s="123">
        <f>'Fixed charges'!AO161</f>
        <v>44.905373277154183</v>
      </c>
      <c r="AP23" s="123">
        <f>'Fixed charges'!AP161</f>
        <v>44.905373277154183</v>
      </c>
    </row>
    <row r="24" spans="4:111" x14ac:dyDescent="0.25">
      <c r="D24"/>
      <c r="E24" s="91"/>
      <c r="F24" t="s">
        <v>197</v>
      </c>
      <c r="G24" t="s">
        <v>330</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2.7625667748892875</v>
      </c>
      <c r="V24" s="123">
        <f>'Capacity charges'!V256</f>
        <v>3.4405778262667734</v>
      </c>
      <c r="W24" s="123">
        <f>'Capacity charges'!W256</f>
        <v>4.195134106967072</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198</v>
      </c>
      <c r="G25" t="s">
        <v>330</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5.7933783768846823</v>
      </c>
      <c r="V25" s="123">
        <f>'Capacity charges'!V257</f>
        <v>5.341715898377883</v>
      </c>
      <c r="W25" s="123">
        <f>'Capacity charges'!W257</f>
        <v>6.2214974788040589</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199</v>
      </c>
      <c r="G26" s="37" t="s">
        <v>331</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0.14584572836479107</v>
      </c>
      <c r="V26" s="323">
        <f>'Reactive power charges'!V250</f>
        <v>0.10097946392192872</v>
      </c>
      <c r="W26" s="323">
        <f>'Reactive power charges'!W250</f>
        <v>5.2644561214017643E-2</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0.14015426890768115</v>
      </c>
      <c r="AF26" s="323">
        <f>'Reactive power charges'!AF250</f>
        <v>0</v>
      </c>
      <c r="AG26" s="323">
        <f>'Reactive power charges'!AG250</f>
        <v>0.14015426890768115</v>
      </c>
      <c r="AH26" s="323">
        <f>'Reactive power charges'!AH250</f>
        <v>0</v>
      </c>
      <c r="AI26" s="323">
        <f>'Reactive power charges'!AI250</f>
        <v>0.11870967116759318</v>
      </c>
      <c r="AJ26" s="323">
        <f>'Reactive power charges'!AJ250</f>
        <v>0</v>
      </c>
      <c r="AK26" s="323">
        <f>'Reactive power charges'!AK250</f>
        <v>0.11870967116759318</v>
      </c>
      <c r="AL26" s="323">
        <f>'Reactive power charges'!AL250</f>
        <v>0</v>
      </c>
      <c r="AM26" s="323">
        <f>'Reactive power charges'!AM250</f>
        <v>9.4983698732843916E-2</v>
      </c>
      <c r="AN26" s="323">
        <f>'Reactive power charges'!AN250</f>
        <v>0</v>
      </c>
      <c r="AO26" s="323">
        <f>'Reactive power charges'!AO250</f>
        <v>9.4983698732843916E-2</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862</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193</v>
      </c>
      <c r="G29" s="23" t="s">
        <v>244</v>
      </c>
      <c r="H29" s="23"/>
      <c r="I29" s="23"/>
      <c r="J29" s="127">
        <f>'Volume adjustments'!J66</f>
        <v>5883290.5674295351</v>
      </c>
      <c r="K29" s="127">
        <f>'Volume adjustments'!K66</f>
        <v>2253198.645069303</v>
      </c>
      <c r="L29" s="127">
        <f>'Volume adjustments'!L66</f>
        <v>23777.812108679751</v>
      </c>
      <c r="M29" s="127">
        <f>'Volume adjustments'!M66</f>
        <v>1161806.4742133119</v>
      </c>
      <c r="N29" s="127">
        <f>'Volume adjustments'!N66</f>
        <v>1502232.6626114759</v>
      </c>
      <c r="O29" s="127">
        <f>'Volume adjustments'!O66</f>
        <v>2608.5296353034564</v>
      </c>
      <c r="P29" s="127">
        <f>'Volume adjustments'!P66</f>
        <v>15312.991488043248</v>
      </c>
      <c r="Q29" s="127">
        <f>'Volume adjustments'!Q66</f>
        <v>0.43263699199999994</v>
      </c>
      <c r="R29" s="127">
        <f>'Volume adjustments'!R66</f>
        <v>2548.6086671293438</v>
      </c>
      <c r="S29" s="127">
        <f>'Volume adjustments'!S66</f>
        <v>2665.4131654318253</v>
      </c>
      <c r="T29" s="127">
        <f>'Volume adjustments'!T66</f>
        <v>19695.068082327467</v>
      </c>
      <c r="U29" s="127">
        <f>'Volume adjustments'!U66</f>
        <v>383446.71347459609</v>
      </c>
      <c r="V29" s="127">
        <f>'Volume adjustments'!V66</f>
        <v>31160.24243589109</v>
      </c>
      <c r="W29" s="127">
        <f>'Volume adjustments'!W66</f>
        <v>744455.58470461331</v>
      </c>
      <c r="X29" s="127">
        <f>'Volume adjustments'!X66</f>
        <v>29141.030527383642</v>
      </c>
      <c r="Y29" s="127">
        <f>'Volume adjustments'!Y66</f>
        <v>22896.214955475487</v>
      </c>
      <c r="Z29" s="127">
        <f>'Volume adjustments'!Z66</f>
        <v>395.39698261741404</v>
      </c>
      <c r="AA29" s="127">
        <f>'Volume adjustments'!AA66</f>
        <v>7682.0746191750686</v>
      </c>
      <c r="AB29" s="127">
        <f>'Volume adjustments'!AB66</f>
        <v>10625.864662770657</v>
      </c>
      <c r="AC29" s="127">
        <f>'Volume adjustments'!AC66</f>
        <v>1460.8327019999997</v>
      </c>
      <c r="AD29" s="127">
        <f>'Volume adjustments'!AD66</f>
        <v>0</v>
      </c>
      <c r="AE29" s="127">
        <f>'Volume adjustments'!AE66</f>
        <v>31099.870007600002</v>
      </c>
      <c r="AF29" s="127">
        <f>'Volume adjustments'!AF66</f>
        <v>0</v>
      </c>
      <c r="AG29" s="127">
        <f>'Volume adjustments'!AG66</f>
        <v>1530.0617253920277</v>
      </c>
      <c r="AH29" s="127">
        <f>'Volume adjustments'!AH66</f>
        <v>0</v>
      </c>
      <c r="AI29" s="127">
        <f>'Volume adjustments'!AI66</f>
        <v>3603.9466430000011</v>
      </c>
      <c r="AJ29" s="127">
        <f>'Volume adjustments'!AJ66</f>
        <v>0</v>
      </c>
      <c r="AK29" s="127">
        <f>'Volume adjustments'!AK66</f>
        <v>423.59616493048139</v>
      </c>
      <c r="AL29" s="127">
        <f>'Volume adjustments'!AL66</f>
        <v>0</v>
      </c>
      <c r="AM29" s="127">
        <f>'Volume adjustments'!AM66</f>
        <v>460937.71201500011</v>
      </c>
      <c r="AN29" s="127">
        <f>'Volume adjustments'!AN66</f>
        <v>0</v>
      </c>
      <c r="AO29" s="127">
        <f>'Volume adjustments'!AO66</f>
        <v>90502.303315318844</v>
      </c>
      <c r="AP29" s="127">
        <f>'Volume adjustments'!AP66</f>
        <v>0</v>
      </c>
    </row>
    <row r="30" spans="4:111" x14ac:dyDescent="0.25">
      <c r="D30" s="91"/>
      <c r="F30" t="s">
        <v>194</v>
      </c>
      <c r="G30" t="s">
        <v>244</v>
      </c>
      <c r="J30" s="123">
        <f>'Volume adjustments'!J77</f>
        <v>0</v>
      </c>
      <c r="K30" s="123">
        <f>'Volume adjustments'!K77</f>
        <v>1019036.5249223392</v>
      </c>
      <c r="L30" s="123">
        <f>'Volume adjustments'!L77</f>
        <v>0</v>
      </c>
      <c r="M30" s="123">
        <f>'Volume adjustments'!M77</f>
        <v>0</v>
      </c>
      <c r="N30" s="123">
        <f>'Volume adjustments'!N77</f>
        <v>451482.07597799349</v>
      </c>
      <c r="O30" s="123">
        <f>'Volume adjustments'!O77</f>
        <v>0</v>
      </c>
      <c r="P30" s="123">
        <f>'Volume adjustments'!P77</f>
        <v>4514.3531474235097</v>
      </c>
      <c r="Q30" s="123">
        <f>'Volume adjustments'!Q77</f>
        <v>0</v>
      </c>
      <c r="R30" s="123">
        <f>'Volume adjustments'!R77</f>
        <v>842.84934146739215</v>
      </c>
      <c r="S30" s="123">
        <f>'Volume adjustments'!S77</f>
        <v>8212.1579615585051</v>
      </c>
      <c r="T30" s="123">
        <f>'Volume adjustments'!T77</f>
        <v>78004.79777326365</v>
      </c>
      <c r="U30" s="123">
        <f>'Volume adjustments'!U77</f>
        <v>1531300.292687048</v>
      </c>
      <c r="V30" s="123">
        <f>'Volume adjustments'!V77</f>
        <v>120244.74578240186</v>
      </c>
      <c r="W30" s="123">
        <f>'Volume adjustments'!W77</f>
        <v>2837353.6691905577</v>
      </c>
      <c r="X30" s="123">
        <f>'Volume adjustments'!X77</f>
        <v>0</v>
      </c>
      <c r="Y30" s="123">
        <f>'Volume adjustments'!Y77</f>
        <v>0</v>
      </c>
      <c r="Z30" s="123">
        <f>'Volume adjustments'!Z77</f>
        <v>0</v>
      </c>
      <c r="AA30" s="123">
        <f>'Volume adjustments'!AA77</f>
        <v>0</v>
      </c>
      <c r="AB30" s="123">
        <f>'Volume adjustments'!AB77</f>
        <v>33031.440290376238</v>
      </c>
      <c r="AC30" s="123">
        <f>'Volume adjustments'!AC77</f>
        <v>0</v>
      </c>
      <c r="AD30" s="123">
        <f>'Volume adjustments'!AD77</f>
        <v>0</v>
      </c>
      <c r="AE30" s="123">
        <f>'Volume adjustments'!AE77</f>
        <v>0</v>
      </c>
      <c r="AF30" s="123">
        <f>'Volume adjustments'!AF77</f>
        <v>0</v>
      </c>
      <c r="AG30" s="123">
        <f>'Volume adjustments'!AG77</f>
        <v>6003.5671991277068</v>
      </c>
      <c r="AH30" s="123">
        <f>'Volume adjustments'!AH77</f>
        <v>0</v>
      </c>
      <c r="AI30" s="123">
        <f>'Volume adjustments'!AI77</f>
        <v>0</v>
      </c>
      <c r="AJ30" s="123">
        <f>'Volume adjustments'!AJ77</f>
        <v>0</v>
      </c>
      <c r="AK30" s="123">
        <f>'Volume adjustments'!AK77</f>
        <v>1386.3166215887916</v>
      </c>
      <c r="AL30" s="123">
        <f>'Volume adjustments'!AL77</f>
        <v>0</v>
      </c>
      <c r="AM30" s="123">
        <f>'Volume adjustments'!AM77</f>
        <v>0</v>
      </c>
      <c r="AN30" s="123">
        <f>'Volume adjustments'!AN77</f>
        <v>0</v>
      </c>
      <c r="AO30" s="123">
        <f>'Volume adjustments'!AO77</f>
        <v>234395.58417537581</v>
      </c>
      <c r="AP30" s="123">
        <f>'Volume adjustments'!AP77</f>
        <v>0</v>
      </c>
    </row>
    <row r="31" spans="4:111" x14ac:dyDescent="0.25">
      <c r="D31" s="91"/>
      <c r="F31" t="s">
        <v>195</v>
      </c>
      <c r="G31" t="s">
        <v>244</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13794.537224726715</v>
      </c>
      <c r="T31" s="123">
        <f>'Volume adjustments'!T88</f>
        <v>84563.498185875345</v>
      </c>
      <c r="U31" s="123">
        <f>'Volume adjustments'!U88</f>
        <v>1665693.0604758498</v>
      </c>
      <c r="V31" s="123">
        <f>'Volume adjustments'!V88</f>
        <v>141436.21101046051</v>
      </c>
      <c r="W31" s="123">
        <f>'Volume adjustments'!W88</f>
        <v>4088471.1518656551</v>
      </c>
      <c r="X31" s="123">
        <f>'Volume adjustments'!X88</f>
        <v>0</v>
      </c>
      <c r="Y31" s="123">
        <f>'Volume adjustments'!Y88</f>
        <v>0</v>
      </c>
      <c r="Z31" s="123">
        <f>'Volume adjustments'!Z88</f>
        <v>0</v>
      </c>
      <c r="AA31" s="123">
        <f>'Volume adjustments'!AA88</f>
        <v>0</v>
      </c>
      <c r="AB31" s="123">
        <f>'Volume adjustments'!AB88</f>
        <v>166291.0895487376</v>
      </c>
      <c r="AC31" s="123">
        <f>'Volume adjustments'!AC88</f>
        <v>0</v>
      </c>
      <c r="AD31" s="123">
        <f>'Volume adjustments'!AD88</f>
        <v>0</v>
      </c>
      <c r="AE31" s="123">
        <f>'Volume adjustments'!AE88</f>
        <v>0</v>
      </c>
      <c r="AF31" s="123">
        <f>'Volume adjustments'!AF88</f>
        <v>0</v>
      </c>
      <c r="AG31" s="123">
        <f>'Volume adjustments'!AG88</f>
        <v>8927.0882180837252</v>
      </c>
      <c r="AH31" s="123">
        <f>'Volume adjustments'!AH88</f>
        <v>0</v>
      </c>
      <c r="AI31" s="123">
        <f>'Volume adjustments'!AI88</f>
        <v>0</v>
      </c>
      <c r="AJ31" s="123">
        <f>'Volume adjustments'!AJ88</f>
        <v>0</v>
      </c>
      <c r="AK31" s="123">
        <f>'Volume adjustments'!AK88</f>
        <v>3100.3150081195781</v>
      </c>
      <c r="AL31" s="123">
        <f>'Volume adjustments'!AL88</f>
        <v>0</v>
      </c>
      <c r="AM31" s="123">
        <f>'Volume adjustments'!AM88</f>
        <v>0</v>
      </c>
      <c r="AN31" s="123">
        <f>'Volume adjustments'!AN88</f>
        <v>0</v>
      </c>
      <c r="AO31" s="123">
        <f>'Volume adjustments'!AO88</f>
        <v>405234.32478734496</v>
      </c>
      <c r="AP31" s="123">
        <f>'Volume adjustments'!AP88</f>
        <v>0</v>
      </c>
    </row>
    <row r="32" spans="4:111" x14ac:dyDescent="0.25">
      <c r="D32" s="91"/>
      <c r="F32" t="s">
        <v>249</v>
      </c>
      <c r="G32" t="s">
        <v>249</v>
      </c>
      <c r="J32" s="123">
        <f>'Volume adjustments'!J103</f>
        <v>1783033.6868262473</v>
      </c>
      <c r="K32" s="123">
        <f>'Volume adjustments'!K103</f>
        <v>745456.57596275606</v>
      </c>
      <c r="L32" s="123">
        <f>'Volume adjustments'!L103</f>
        <v>0</v>
      </c>
      <c r="M32" s="123">
        <f>'Volume adjustments'!M103</f>
        <v>97102.427883543351</v>
      </c>
      <c r="N32" s="123">
        <f>'Volume adjustments'!N103</f>
        <v>82324.027570563325</v>
      </c>
      <c r="O32" s="123">
        <f>'Volume adjustments'!O103</f>
        <v>0</v>
      </c>
      <c r="P32" s="123">
        <f>'Volume adjustments'!P103</f>
        <v>325.4825015624246</v>
      </c>
      <c r="Q32" s="123">
        <f>'Volume adjustments'!Q103</f>
        <v>0.83287671232876703</v>
      </c>
      <c r="R32" s="123">
        <f>'Volume adjustments'!R103</f>
        <v>36.832876712328769</v>
      </c>
      <c r="S32" s="123">
        <f>'Volume adjustments'!S103</f>
        <v>6670.3767165712325</v>
      </c>
      <c r="T32" s="123">
        <f>'Volume adjustments'!T103</f>
        <v>2713.0497280411923</v>
      </c>
      <c r="U32" s="123">
        <f>'Volume adjustments'!U103</f>
        <v>15240.860311099359</v>
      </c>
      <c r="V32" s="123">
        <f>'Volume adjustments'!V103</f>
        <v>383.68444090100576</v>
      </c>
      <c r="W32" s="123">
        <f>'Volume adjustments'!W103</f>
        <v>3565.7984845620308</v>
      </c>
      <c r="X32" s="123">
        <f>'Volume adjustments'!X103</f>
        <v>1612</v>
      </c>
      <c r="Y32" s="123">
        <f>'Volume adjustments'!Y103</f>
        <v>1312</v>
      </c>
      <c r="Z32" s="123">
        <f>'Volume adjustments'!Z103</f>
        <v>197</v>
      </c>
      <c r="AA32" s="123">
        <f>'Volume adjustments'!AA103</f>
        <v>240</v>
      </c>
      <c r="AB32" s="123">
        <f>'Volume adjustments'!AB103</f>
        <v>27.095890410958901</v>
      </c>
      <c r="AC32" s="123">
        <f>'Volume adjustments'!AC103</f>
        <v>0</v>
      </c>
      <c r="AD32" s="123">
        <f>'Volume adjustments'!AD103</f>
        <v>0</v>
      </c>
      <c r="AE32" s="123">
        <f>'Volume adjustments'!AE103</f>
        <v>529.51229260273976</v>
      </c>
      <c r="AF32" s="123">
        <f>'Volume adjustments'!AF103</f>
        <v>0</v>
      </c>
      <c r="AG32" s="123">
        <f>'Volume adjustments'!AG103</f>
        <v>104.10217808219178</v>
      </c>
      <c r="AH32" s="123">
        <f>'Volume adjustments'!AH103</f>
        <v>0</v>
      </c>
      <c r="AI32" s="123">
        <f>'Volume adjustments'!AI103</f>
        <v>28.933541095890419</v>
      </c>
      <c r="AJ32" s="123">
        <f>'Volume adjustments'!AJ103</f>
        <v>0</v>
      </c>
      <c r="AK32" s="123">
        <f>'Volume adjustments'!AK103</f>
        <v>6.8061575342465748</v>
      </c>
      <c r="AL32" s="123">
        <f>'Volume adjustments'!AL103</f>
        <v>0</v>
      </c>
      <c r="AM32" s="123">
        <f>'Volume adjustments'!AM103</f>
        <v>225.48004931506853</v>
      </c>
      <c r="AN32" s="123">
        <f>'Volume adjustments'!AN103</f>
        <v>0</v>
      </c>
      <c r="AO32" s="123">
        <f>'Volume adjustments'!AO103</f>
        <v>232.44540410958902</v>
      </c>
      <c r="AP32" s="123">
        <f>'Volume adjustments'!AP103</f>
        <v>0</v>
      </c>
    </row>
    <row r="33" spans="2:111" x14ac:dyDescent="0.25">
      <c r="D33" s="91"/>
      <c r="F33" t="s">
        <v>863</v>
      </c>
      <c r="G33" t="s">
        <v>302</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2079348.0494042593</v>
      </c>
      <c r="V33" s="123">
        <f>'Volume adjustments'!V114</f>
        <v>139408.40703008272</v>
      </c>
      <c r="W33" s="123">
        <f>'Volume adjustments'!W114</f>
        <v>2836286.6872894568</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303</v>
      </c>
      <c r="G34" t="s">
        <v>302</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42795.494899920915</v>
      </c>
      <c r="V34" s="123">
        <f>'Volume adjustments'!V125</f>
        <v>3005.9545846923684</v>
      </c>
      <c r="W34" s="123">
        <f>'Volume adjustments'!W125</f>
        <v>69142.948513646363</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252</v>
      </c>
      <c r="G35" s="67" t="s">
        <v>305</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379452.44271406013</v>
      </c>
      <c r="V35" s="128">
        <f>'Volume adjustments'!V136</f>
        <v>23290.456067140607</v>
      </c>
      <c r="W35" s="128">
        <f>'Volume adjustments'!W136</f>
        <v>630710.79642257281</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2681.9716808000007</v>
      </c>
      <c r="AF35" s="128">
        <f>'Volume adjustments'!AF136</f>
        <v>0</v>
      </c>
      <c r="AG35" s="128">
        <f>'Volume adjustments'!AG136</f>
        <v>769.16792807999991</v>
      </c>
      <c r="AH35" s="128">
        <f>'Volume adjustments'!AH136</f>
        <v>0</v>
      </c>
      <c r="AI35" s="128">
        <f>'Volume adjustments'!AI136</f>
        <v>324.85729100000009</v>
      </c>
      <c r="AJ35" s="128">
        <f>'Volume adjustments'!AJ136</f>
        <v>0</v>
      </c>
      <c r="AK35" s="128">
        <f>'Volume adjustments'!AK136</f>
        <v>334.46799999999996</v>
      </c>
      <c r="AL35" s="128">
        <f>'Volume adjustments'!AL136</f>
        <v>0</v>
      </c>
      <c r="AM35" s="128">
        <f>'Volume adjustments'!AM136</f>
        <v>6236.7726382500005</v>
      </c>
      <c r="AN35" s="128">
        <f>'Volume adjustments'!AN136</f>
        <v>0</v>
      </c>
      <c r="AO35" s="128">
        <f>'Volume adjustments'!AO136</f>
        <v>13294.739999999998</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864</v>
      </c>
      <c r="G37" t="s">
        <v>336</v>
      </c>
      <c r="H37" s="123">
        <f>'General inputs'!$H$85</f>
        <v>495608957.81586874</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865</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866</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867</v>
      </c>
      <c r="F44" s="32"/>
      <c r="H44" s="131" t="s">
        <v>658</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193</v>
      </c>
      <c r="G45" s="23" t="s">
        <v>336</v>
      </c>
      <c r="H45" s="163">
        <f t="shared" ref="H45:H51" si="0">SUM(J45:AP45)</f>
        <v>181958596.60526931</v>
      </c>
      <c r="I45" s="132"/>
      <c r="J45" s="129">
        <f t="shared" ref="J45:AP45" si="1">J29 * thousand * J20 / hundred</f>
        <v>76672970.550288156</v>
      </c>
      <c r="K45" s="129">
        <f t="shared" si="1"/>
        <v>35104448.177779965</v>
      </c>
      <c r="L45" s="129">
        <f t="shared" si="1"/>
        <v>100190.62352256537</v>
      </c>
      <c r="M45" s="129">
        <f t="shared" si="1"/>
        <v>13676226.684410157</v>
      </c>
      <c r="N45" s="129">
        <f t="shared" si="1"/>
        <v>20053337.919507757</v>
      </c>
      <c r="O45" s="129">
        <f t="shared" si="1"/>
        <v>5332.3761935344583</v>
      </c>
      <c r="P45" s="129">
        <f t="shared" si="1"/>
        <v>193952.80690269012</v>
      </c>
      <c r="Q45" s="129">
        <f t="shared" si="1"/>
        <v>3.6997300104690902</v>
      </c>
      <c r="R45" s="129">
        <f t="shared" si="1"/>
        <v>13082.094157393372</v>
      </c>
      <c r="S45" s="129">
        <f t="shared" si="1"/>
        <v>198417.14986310696</v>
      </c>
      <c r="T45" s="129">
        <f t="shared" si="1"/>
        <v>1363241.4687429017</v>
      </c>
      <c r="U45" s="129">
        <f t="shared" si="1"/>
        <v>18931463.789575659</v>
      </c>
      <c r="V45" s="129">
        <f t="shared" si="1"/>
        <v>1103090.1519161582</v>
      </c>
      <c r="W45" s="129">
        <f t="shared" si="1"/>
        <v>15829747.476721577</v>
      </c>
      <c r="X45" s="129">
        <f t="shared" si="1"/>
        <v>458075.78736797231</v>
      </c>
      <c r="Y45" s="129">
        <f t="shared" si="1"/>
        <v>413001.91391123837</v>
      </c>
      <c r="Z45" s="129">
        <f t="shared" si="1"/>
        <v>10697.628812577523</v>
      </c>
      <c r="AA45" s="129">
        <f t="shared" si="1"/>
        <v>102764.79812186491</v>
      </c>
      <c r="AB45" s="129">
        <f t="shared" si="1"/>
        <v>2169635.0873316745</v>
      </c>
      <c r="AC45" s="129">
        <f t="shared" si="1"/>
        <v>-9171.3710268760206</v>
      </c>
      <c r="AD45" s="129">
        <f t="shared" si="1"/>
        <v>0</v>
      </c>
      <c r="AE45" s="129">
        <f t="shared" si="1"/>
        <v>-195250.58984291088</v>
      </c>
      <c r="AF45" s="129">
        <f t="shared" si="1"/>
        <v>0</v>
      </c>
      <c r="AG45" s="129">
        <f t="shared" si="1"/>
        <v>-74904.405167552555</v>
      </c>
      <c r="AH45" s="129">
        <f t="shared" si="1"/>
        <v>0</v>
      </c>
      <c r="AI45" s="129">
        <f t="shared" si="1"/>
        <v>-19749.218286511266</v>
      </c>
      <c r="AJ45" s="129">
        <f t="shared" si="1"/>
        <v>0</v>
      </c>
      <c r="AK45" s="129">
        <f t="shared" si="1"/>
        <v>-18238.204844452688</v>
      </c>
      <c r="AL45" s="129">
        <f t="shared" si="1"/>
        <v>0</v>
      </c>
      <c r="AM45" s="129">
        <f t="shared" si="1"/>
        <v>-1581283.2861958533</v>
      </c>
      <c r="AN45" s="129">
        <f t="shared" si="1"/>
        <v>0</v>
      </c>
      <c r="AO45" s="129">
        <f t="shared" si="1"/>
        <v>-2542486.5042234943</v>
      </c>
      <c r="AP45" s="129">
        <f t="shared" si="1"/>
        <v>0</v>
      </c>
    </row>
    <row r="46" spans="2:111" x14ac:dyDescent="0.25">
      <c r="D46" s="91"/>
      <c r="F46" t="s">
        <v>194</v>
      </c>
      <c r="G46" t="s">
        <v>336</v>
      </c>
      <c r="H46" s="92">
        <f t="shared" si="0"/>
        <v>14667374.550757442</v>
      </c>
      <c r="I46" s="63"/>
      <c r="J46" s="101">
        <f t="shared" ref="J46:AP46" si="2">J30 * thousand * J21 / hundred</f>
        <v>0</v>
      </c>
      <c r="K46" s="101">
        <f t="shared" si="2"/>
        <v>537892.28814184631</v>
      </c>
      <c r="L46" s="101">
        <f t="shared" si="2"/>
        <v>0</v>
      </c>
      <c r="M46" s="101">
        <f t="shared" si="2"/>
        <v>0</v>
      </c>
      <c r="N46" s="101">
        <f t="shared" si="2"/>
        <v>217309.3710743697</v>
      </c>
      <c r="O46" s="101">
        <f t="shared" si="2"/>
        <v>0</v>
      </c>
      <c r="P46" s="101">
        <f t="shared" si="2"/>
        <v>1972.8684357836744</v>
      </c>
      <c r="Q46" s="101">
        <f t="shared" si="2"/>
        <v>0</v>
      </c>
      <c r="R46" s="101">
        <f t="shared" si="2"/>
        <v>86.293392431932716</v>
      </c>
      <c r="S46" s="101">
        <f t="shared" si="2"/>
        <v>68012.811905380964</v>
      </c>
      <c r="T46" s="101">
        <f t="shared" si="2"/>
        <v>600682.2266753834</v>
      </c>
      <c r="U46" s="101">
        <f t="shared" si="2"/>
        <v>8091123.2916960707</v>
      </c>
      <c r="V46" s="101">
        <f t="shared" si="2"/>
        <v>415473.46790793096</v>
      </c>
      <c r="W46" s="101">
        <f t="shared" si="2"/>
        <v>4936331.6826303592</v>
      </c>
      <c r="X46" s="101">
        <f t="shared" si="2"/>
        <v>0</v>
      </c>
      <c r="Y46" s="101">
        <f t="shared" si="2"/>
        <v>0</v>
      </c>
      <c r="Z46" s="101">
        <f t="shared" si="2"/>
        <v>0</v>
      </c>
      <c r="AA46" s="101">
        <f t="shared" si="2"/>
        <v>0</v>
      </c>
      <c r="AB46" s="101">
        <f t="shared" si="2"/>
        <v>463563.20403000875</v>
      </c>
      <c r="AC46" s="101">
        <f t="shared" si="2"/>
        <v>0</v>
      </c>
      <c r="AD46" s="101">
        <f t="shared" si="2"/>
        <v>0</v>
      </c>
      <c r="AE46" s="101">
        <f t="shared" si="2"/>
        <v>0</v>
      </c>
      <c r="AF46" s="101">
        <f t="shared" si="2"/>
        <v>0</v>
      </c>
      <c r="AG46" s="101">
        <f t="shared" si="2"/>
        <v>-32698.02866267331</v>
      </c>
      <c r="AH46" s="101">
        <f t="shared" si="2"/>
        <v>0</v>
      </c>
      <c r="AI46" s="101">
        <f t="shared" si="2"/>
        <v>0</v>
      </c>
      <c r="AJ46" s="101">
        <f t="shared" si="2"/>
        <v>0</v>
      </c>
      <c r="AK46" s="101">
        <f t="shared" si="2"/>
        <v>-6487.6926082417913</v>
      </c>
      <c r="AL46" s="101">
        <f t="shared" si="2"/>
        <v>0</v>
      </c>
      <c r="AM46" s="101">
        <f t="shared" si="2"/>
        <v>0</v>
      </c>
      <c r="AN46" s="101">
        <f t="shared" si="2"/>
        <v>0</v>
      </c>
      <c r="AO46" s="101">
        <f t="shared" si="2"/>
        <v>-625887.23386120948</v>
      </c>
      <c r="AP46" s="101">
        <f t="shared" si="2"/>
        <v>0</v>
      </c>
    </row>
    <row r="47" spans="2:111" x14ac:dyDescent="0.25">
      <c r="D47" s="91"/>
      <c r="F47" t="s">
        <v>195</v>
      </c>
      <c r="G47" t="s">
        <v>336</v>
      </c>
      <c r="H47" s="92">
        <f t="shared" si="0"/>
        <v>2089685.0580200839</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6966.2114938416553</v>
      </c>
      <c r="T47" s="101">
        <f t="shared" si="3"/>
        <v>39705.88928296636</v>
      </c>
      <c r="U47" s="101">
        <f t="shared" si="3"/>
        <v>519771.80373340304</v>
      </c>
      <c r="V47" s="101">
        <f t="shared" si="3"/>
        <v>26483.09999437564</v>
      </c>
      <c r="W47" s="101">
        <f t="shared" si="3"/>
        <v>310931.95921580581</v>
      </c>
      <c r="X47" s="101">
        <f t="shared" si="3"/>
        <v>0</v>
      </c>
      <c r="Y47" s="101">
        <f t="shared" si="3"/>
        <v>0</v>
      </c>
      <c r="Z47" s="101">
        <f t="shared" si="3"/>
        <v>0</v>
      </c>
      <c r="AA47" s="101">
        <f t="shared" si="3"/>
        <v>0</v>
      </c>
      <c r="AB47" s="101">
        <f t="shared" si="3"/>
        <v>1246714.0893947179</v>
      </c>
      <c r="AC47" s="101">
        <f t="shared" si="3"/>
        <v>0</v>
      </c>
      <c r="AD47" s="101">
        <f t="shared" si="3"/>
        <v>0</v>
      </c>
      <c r="AE47" s="101">
        <f t="shared" si="3"/>
        <v>0</v>
      </c>
      <c r="AF47" s="101">
        <f t="shared" si="3"/>
        <v>0</v>
      </c>
      <c r="AG47" s="101">
        <f t="shared" si="3"/>
        <v>-2964.6558762662899</v>
      </c>
      <c r="AH47" s="101">
        <f t="shared" si="3"/>
        <v>0</v>
      </c>
      <c r="AI47" s="101">
        <f t="shared" si="3"/>
        <v>0</v>
      </c>
      <c r="AJ47" s="101">
        <f t="shared" si="3"/>
        <v>0</v>
      </c>
      <c r="AK47" s="101">
        <f t="shared" si="3"/>
        <v>-868.09382383193554</v>
      </c>
      <c r="AL47" s="101">
        <f t="shared" si="3"/>
        <v>0</v>
      </c>
      <c r="AM47" s="101">
        <f t="shared" si="3"/>
        <v>0</v>
      </c>
      <c r="AN47" s="101">
        <f t="shared" si="3"/>
        <v>0</v>
      </c>
      <c r="AO47" s="101">
        <f t="shared" si="3"/>
        <v>-57055.245394928243</v>
      </c>
      <c r="AP47" s="101">
        <f t="shared" si="3"/>
        <v>0</v>
      </c>
    </row>
    <row r="48" spans="2:111" x14ac:dyDescent="0.25">
      <c r="D48" s="91"/>
      <c r="F48" t="s">
        <v>196</v>
      </c>
      <c r="G48" t="s">
        <v>336</v>
      </c>
      <c r="H48" s="92">
        <f t="shared" si="0"/>
        <v>37074621.532734297</v>
      </c>
      <c r="I48" s="63"/>
      <c r="J48" s="101">
        <f t="shared" ref="J48:AP48" si="4">J32 * J23 * days_in_year / hundred</f>
        <v>21825581.121979661</v>
      </c>
      <c r="K48" s="101">
        <f t="shared" si="4"/>
        <v>9124910.590191111</v>
      </c>
      <c r="L48" s="101">
        <f t="shared" si="4"/>
        <v>0</v>
      </c>
      <c r="M48" s="101">
        <f t="shared" si="4"/>
        <v>2354111.8654569807</v>
      </c>
      <c r="N48" s="101">
        <f t="shared" si="4"/>
        <v>1995830.3241243202</v>
      </c>
      <c r="O48" s="101">
        <f t="shared" si="4"/>
        <v>0</v>
      </c>
      <c r="P48" s="101">
        <f t="shared" si="4"/>
        <v>29630.596927840314</v>
      </c>
      <c r="Q48" s="101">
        <f t="shared" si="4"/>
        <v>13.01024509407933</v>
      </c>
      <c r="R48" s="101">
        <f t="shared" si="4"/>
        <v>23438.224743975123</v>
      </c>
      <c r="S48" s="101">
        <f t="shared" si="4"/>
        <v>81650.0827871777</v>
      </c>
      <c r="T48" s="101">
        <f t="shared" si="4"/>
        <v>65774.07687495141</v>
      </c>
      <c r="U48" s="101">
        <f t="shared" si="4"/>
        <v>553878.76456158829</v>
      </c>
      <c r="V48" s="101">
        <f t="shared" si="4"/>
        <v>10884.591130387136</v>
      </c>
      <c r="W48" s="101">
        <f t="shared" si="4"/>
        <v>933862.18973133201</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36957.220100811639</v>
      </c>
      <c r="AN48" s="101">
        <f t="shared" si="4"/>
        <v>0</v>
      </c>
      <c r="AO48" s="101">
        <f t="shared" si="4"/>
        <v>38098.873879065162</v>
      </c>
      <c r="AP48" s="101">
        <f t="shared" si="4"/>
        <v>0</v>
      </c>
    </row>
    <row r="49" spans="2:111" x14ac:dyDescent="0.25">
      <c r="D49" s="91"/>
      <c r="F49" t="s">
        <v>863</v>
      </c>
      <c r="G49" t="s">
        <v>336</v>
      </c>
      <c r="H49" s="92">
        <f t="shared" si="0"/>
        <v>66147440.096187428</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20966833.096709952</v>
      </c>
      <c r="V49" s="101">
        <f t="shared" si="5"/>
        <v>1750705.9801834957</v>
      </c>
      <c r="W49" s="101">
        <f t="shared" si="5"/>
        <v>43429901.019293979</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303</v>
      </c>
      <c r="G50" t="s">
        <v>336</v>
      </c>
      <c r="H50" s="92">
        <f t="shared" si="0"/>
        <v>2533684.4746126509</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904946.30595167389</v>
      </c>
      <c r="V50" s="101">
        <f t="shared" si="6"/>
        <v>58607.887191213857</v>
      </c>
      <c r="W50" s="101">
        <f t="shared" si="6"/>
        <v>1570130.2814697633</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252</v>
      </c>
      <c r="G51" s="67" t="s">
        <v>336</v>
      </c>
      <c r="H51" s="82">
        <f t="shared" si="0"/>
        <v>933140.04335694585</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553415.17887431255</v>
      </c>
      <c r="V51" s="103">
        <f t="shared" si="7"/>
        <v>23518.577681570907</v>
      </c>
      <c r="W51" s="103">
        <f t="shared" si="7"/>
        <v>332034.93130609958</v>
      </c>
      <c r="X51" s="103">
        <f t="shared" si="7"/>
        <v>0</v>
      </c>
      <c r="Y51" s="103">
        <f t="shared" si="7"/>
        <v>0</v>
      </c>
      <c r="Z51" s="103">
        <f t="shared" si="7"/>
        <v>0</v>
      </c>
      <c r="AA51" s="103">
        <f t="shared" si="7"/>
        <v>0</v>
      </c>
      <c r="AB51" s="103">
        <f t="shared" si="7"/>
        <v>0</v>
      </c>
      <c r="AC51" s="103">
        <f t="shared" si="7"/>
        <v>0</v>
      </c>
      <c r="AD51" s="103">
        <f t="shared" si="7"/>
        <v>0</v>
      </c>
      <c r="AE51" s="103">
        <f t="shared" si="7"/>
        <v>3758.8978015362891</v>
      </c>
      <c r="AF51" s="103">
        <f t="shared" si="7"/>
        <v>0</v>
      </c>
      <c r="AG51" s="103">
        <f t="shared" si="7"/>
        <v>1078.0216862728826</v>
      </c>
      <c r="AH51" s="103">
        <f t="shared" si="7"/>
        <v>0</v>
      </c>
      <c r="AI51" s="103">
        <f t="shared" si="7"/>
        <v>385.63702191005132</v>
      </c>
      <c r="AJ51" s="103">
        <f t="shared" si="7"/>
        <v>0</v>
      </c>
      <c r="AK51" s="103">
        <f t="shared" si="7"/>
        <v>397.04586296082545</v>
      </c>
      <c r="AL51" s="103">
        <f t="shared" si="7"/>
        <v>0</v>
      </c>
      <c r="AM51" s="103">
        <f t="shared" si="7"/>
        <v>5923.9173333678218</v>
      </c>
      <c r="AN51" s="103">
        <f t="shared" si="7"/>
        <v>0</v>
      </c>
      <c r="AO51" s="103">
        <f t="shared" si="7"/>
        <v>12627.835788914892</v>
      </c>
      <c r="AP51" s="103">
        <f t="shared" si="7"/>
        <v>0</v>
      </c>
    </row>
    <row r="52" spans="2:111" x14ac:dyDescent="0.25">
      <c r="D52"/>
      <c r="E52" s="29"/>
      <c r="F52" s="111" t="s">
        <v>102</v>
      </c>
      <c r="G52" s="156" t="s">
        <v>336</v>
      </c>
      <c r="H52" s="184">
        <f>SUM(J52:AP52)</f>
        <v>305404542.36093813</v>
      </c>
      <c r="I52" s="185"/>
      <c r="J52" s="157">
        <f t="shared" ref="J52:AP52" si="8">SUM(J45:J51)</f>
        <v>98498551.672267824</v>
      </c>
      <c r="K52" s="157">
        <f t="shared" si="8"/>
        <v>44767251.056112923</v>
      </c>
      <c r="L52" s="157">
        <f t="shared" si="8"/>
        <v>100190.62352256537</v>
      </c>
      <c r="M52" s="157">
        <f t="shared" si="8"/>
        <v>16030338.549867138</v>
      </c>
      <c r="N52" s="157">
        <f t="shared" si="8"/>
        <v>22266477.614706449</v>
      </c>
      <c r="O52" s="157">
        <f t="shared" si="8"/>
        <v>5332.3761935344583</v>
      </c>
      <c r="P52" s="157">
        <f t="shared" si="8"/>
        <v>225556.2722663141</v>
      </c>
      <c r="Q52" s="157">
        <f t="shared" si="8"/>
        <v>16.70997510454842</v>
      </c>
      <c r="R52" s="157">
        <f t="shared" si="8"/>
        <v>36606.612293800426</v>
      </c>
      <c r="S52" s="157">
        <f t="shared" si="8"/>
        <v>355046.2560495073</v>
      </c>
      <c r="T52" s="157">
        <f t="shared" si="8"/>
        <v>2069403.6615762028</v>
      </c>
      <c r="U52" s="157">
        <f t="shared" si="8"/>
        <v>50521432.231102668</v>
      </c>
      <c r="V52" s="157">
        <f t="shared" si="8"/>
        <v>3388763.7560051321</v>
      </c>
      <c r="W52" s="157">
        <f t="shared" si="8"/>
        <v>67342939.540368915</v>
      </c>
      <c r="X52" s="157">
        <f t="shared" si="8"/>
        <v>458075.78736797231</v>
      </c>
      <c r="Y52" s="157">
        <f t="shared" si="8"/>
        <v>413001.91391123837</v>
      </c>
      <c r="Z52" s="157">
        <f t="shared" si="8"/>
        <v>10697.628812577523</v>
      </c>
      <c r="AA52" s="157">
        <f t="shared" si="8"/>
        <v>102764.79812186491</v>
      </c>
      <c r="AB52" s="157">
        <f t="shared" si="8"/>
        <v>3879912.380756401</v>
      </c>
      <c r="AC52" s="157">
        <f t="shared" si="8"/>
        <v>-9171.3710268760206</v>
      </c>
      <c r="AD52" s="157">
        <f t="shared" si="8"/>
        <v>0</v>
      </c>
      <c r="AE52" s="157">
        <f t="shared" si="8"/>
        <v>-191491.6920413746</v>
      </c>
      <c r="AF52" s="157">
        <f t="shared" si="8"/>
        <v>0</v>
      </c>
      <c r="AG52" s="157">
        <f t="shared" si="8"/>
        <v>-109489.06802021927</v>
      </c>
      <c r="AH52" s="157">
        <f t="shared" si="8"/>
        <v>0</v>
      </c>
      <c r="AI52" s="157">
        <f t="shared" si="8"/>
        <v>-19363.581264601216</v>
      </c>
      <c r="AJ52" s="157">
        <f t="shared" si="8"/>
        <v>0</v>
      </c>
      <c r="AK52" s="157">
        <f t="shared" si="8"/>
        <v>-25196.945413565591</v>
      </c>
      <c r="AL52" s="157">
        <f t="shared" si="8"/>
        <v>0</v>
      </c>
      <c r="AM52" s="157">
        <f t="shared" si="8"/>
        <v>-1538402.1487616738</v>
      </c>
      <c r="AN52" s="157">
        <f t="shared" si="8"/>
        <v>0</v>
      </c>
      <c r="AO52" s="157">
        <f t="shared" si="8"/>
        <v>-3174702.2738116519</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868</v>
      </c>
      <c r="G54" t="s">
        <v>336</v>
      </c>
      <c r="H54" s="101">
        <f>H37 - H52</f>
        <v>190204415.4549306</v>
      </c>
      <c r="I54" s="236" t="s">
        <v>191</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869</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870</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871</v>
      </c>
    </row>
    <row r="59" spans="2:111" x14ac:dyDescent="0.25">
      <c r="C59" s="29" t="s">
        <v>872</v>
      </c>
    </row>
    <row r="60" spans="2:111" x14ac:dyDescent="0.25">
      <c r="C60" s="29" t="s">
        <v>873</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874</v>
      </c>
      <c r="H64" s="236"/>
      <c r="I64" s="236"/>
    </row>
    <row r="65" spans="3:111" x14ac:dyDescent="0.25">
      <c r="E65" s="29" t="s">
        <v>875</v>
      </c>
      <c r="H65" s="236"/>
      <c r="I65" s="236"/>
    </row>
    <row r="66" spans="3:111" x14ac:dyDescent="0.25">
      <c r="D66"/>
      <c r="E66" s="29" t="s">
        <v>876</v>
      </c>
      <c r="H66" s="236"/>
      <c r="I66" s="236"/>
    </row>
    <row r="67" spans="3:111" x14ac:dyDescent="0.25">
      <c r="D67"/>
      <c r="E67" s="29" t="s">
        <v>877</v>
      </c>
      <c r="H67" s="236"/>
      <c r="I67" s="236"/>
    </row>
    <row r="68" spans="3:111" x14ac:dyDescent="0.25">
      <c r="C68" s="91"/>
      <c r="F68" s="23" t="s">
        <v>878</v>
      </c>
      <c r="G68" s="23" t="s">
        <v>328</v>
      </c>
      <c r="H68" s="302"/>
      <c r="I68" s="302"/>
      <c r="J68" s="321">
        <f t="shared" ref="J68:AP68" si="9">-J20</f>
        <v>-1.3032327686610812</v>
      </c>
      <c r="K68" s="321">
        <f t="shared" si="9"/>
        <v>-1.5579828371812392</v>
      </c>
      <c r="L68" s="321">
        <f t="shared" si="9"/>
        <v>-0.42136182700338609</v>
      </c>
      <c r="M68" s="321">
        <f t="shared" si="9"/>
        <v>-1.1771518740821849</v>
      </c>
      <c r="N68" s="321">
        <f t="shared" si="9"/>
        <v>-1.3349022703744908</v>
      </c>
      <c r="O68" s="321">
        <f t="shared" si="9"/>
        <v>-0.20442076338205489</v>
      </c>
      <c r="P68" s="321">
        <f t="shared" si="9"/>
        <v>-1.2665899217284431</v>
      </c>
      <c r="Q68" s="321">
        <f t="shared" si="9"/>
        <v>-0.85515803754226605</v>
      </c>
      <c r="R68" s="321">
        <f t="shared" si="9"/>
        <v>-0.51330336925082132</v>
      </c>
      <c r="S68" s="321">
        <f t="shared" si="9"/>
        <v>-7.4441423354702021</v>
      </c>
      <c r="T68" s="321">
        <f t="shared" si="9"/>
        <v>-6.9217403212033002</v>
      </c>
      <c r="U68" s="321">
        <f t="shared" si="9"/>
        <v>-4.9371824361274381</v>
      </c>
      <c r="V68" s="321">
        <f t="shared" si="9"/>
        <v>-3.5400563849451738</v>
      </c>
      <c r="W68" s="321">
        <f t="shared" si="9"/>
        <v>-2.126352169552538</v>
      </c>
      <c r="X68" s="321">
        <f t="shared" si="9"/>
        <v>-1.5719272073701078</v>
      </c>
      <c r="Y68" s="321">
        <f t="shared" si="9"/>
        <v>-1.803799949967152</v>
      </c>
      <c r="Z68" s="321">
        <f t="shared" si="9"/>
        <v>-2.7055413376607742</v>
      </c>
      <c r="AA68" s="321">
        <f t="shared" si="9"/>
        <v>-1.3377219464304058</v>
      </c>
      <c r="AB68" s="321">
        <f t="shared" si="9"/>
        <v>-20.418433286971208</v>
      </c>
      <c r="AC68" s="321">
        <f t="shared" si="9"/>
        <v>0.62781802559045008</v>
      </c>
      <c r="AD68" s="321">
        <f t="shared" si="9"/>
        <v>0.5479886425308339</v>
      </c>
      <c r="AE68" s="321">
        <f t="shared" si="9"/>
        <v>0.62781802559045008</v>
      </c>
      <c r="AF68" s="321">
        <f t="shared" si="9"/>
        <v>0.62781802559045008</v>
      </c>
      <c r="AG68" s="321">
        <f t="shared" si="9"/>
        <v>4.8955152543509817</v>
      </c>
      <c r="AH68" s="321">
        <f t="shared" si="9"/>
        <v>4.8955152543509817</v>
      </c>
      <c r="AI68" s="321">
        <f t="shared" si="9"/>
        <v>0.5479886425308339</v>
      </c>
      <c r="AJ68" s="321">
        <f t="shared" si="9"/>
        <v>0.5479886425308339</v>
      </c>
      <c r="AK68" s="321">
        <f t="shared" si="9"/>
        <v>4.3055642034544519</v>
      </c>
      <c r="AL68" s="321">
        <f t="shared" si="9"/>
        <v>4.3055642034544519</v>
      </c>
      <c r="AM68" s="321">
        <f t="shared" si="9"/>
        <v>0.34305791107506395</v>
      </c>
      <c r="AN68" s="321">
        <f t="shared" si="9"/>
        <v>0.34305791107506395</v>
      </c>
      <c r="AO68" s="321">
        <f t="shared" si="9"/>
        <v>2.8093058530954993</v>
      </c>
      <c r="AP68" s="321">
        <f t="shared" si="9"/>
        <v>2.8093058530954993</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879</v>
      </c>
      <c r="G69" t="s">
        <v>328</v>
      </c>
      <c r="H69" s="304"/>
      <c r="I69" s="304"/>
      <c r="J69" s="322">
        <f t="shared" ref="J69:AP69" si="10">-J21</f>
        <v>0</v>
      </c>
      <c r="K69" s="322">
        <f t="shared" si="10"/>
        <v>-5.2784397319108771E-2</v>
      </c>
      <c r="L69" s="322">
        <f t="shared" si="10"/>
        <v>0</v>
      </c>
      <c r="M69" s="322">
        <f t="shared" si="10"/>
        <v>0</v>
      </c>
      <c r="N69" s="322">
        <f t="shared" si="10"/>
        <v>-4.8132447030956323E-2</v>
      </c>
      <c r="O69" s="322">
        <f t="shared" si="10"/>
        <v>0</v>
      </c>
      <c r="P69" s="322">
        <f t="shared" si="10"/>
        <v>-4.3702128995150843E-2</v>
      </c>
      <c r="Q69" s="322">
        <f t="shared" si="10"/>
        <v>-2.8708496633440037E-2</v>
      </c>
      <c r="R69" s="322">
        <f t="shared" si="10"/>
        <v>-1.0238293866576058E-2</v>
      </c>
      <c r="S69" s="322">
        <f t="shared" si="10"/>
        <v>-0.82819658637537308</v>
      </c>
      <c r="T69" s="322">
        <f t="shared" si="10"/>
        <v>-0.77005805261028304</v>
      </c>
      <c r="U69" s="322">
        <f t="shared" si="10"/>
        <v>-0.52838253413366609</v>
      </c>
      <c r="V69" s="322">
        <f t="shared" si="10"/>
        <v>-0.3455231787505984</v>
      </c>
      <c r="W69" s="322">
        <f t="shared" si="10"/>
        <v>-0.17397660842324955</v>
      </c>
      <c r="X69" s="322">
        <f t="shared" si="10"/>
        <v>0</v>
      </c>
      <c r="Y69" s="322">
        <f t="shared" si="10"/>
        <v>0</v>
      </c>
      <c r="Z69" s="322">
        <f t="shared" si="10"/>
        <v>0</v>
      </c>
      <c r="AA69" s="322">
        <f t="shared" si="10"/>
        <v>0</v>
      </c>
      <c r="AB69" s="322">
        <f t="shared" si="10"/>
        <v>-1.403399912189323</v>
      </c>
      <c r="AC69" s="322">
        <f t="shared" si="10"/>
        <v>0</v>
      </c>
      <c r="AD69" s="322">
        <f t="shared" si="10"/>
        <v>0</v>
      </c>
      <c r="AE69" s="322">
        <f t="shared" si="10"/>
        <v>0</v>
      </c>
      <c r="AF69" s="322">
        <f t="shared" si="10"/>
        <v>0</v>
      </c>
      <c r="AG69" s="322">
        <f t="shared" si="10"/>
        <v>0.54464333583913571</v>
      </c>
      <c r="AH69" s="322">
        <f t="shared" si="10"/>
        <v>0.54464333583913571</v>
      </c>
      <c r="AI69" s="322">
        <f t="shared" si="10"/>
        <v>0</v>
      </c>
      <c r="AJ69" s="322">
        <f t="shared" si="10"/>
        <v>0</v>
      </c>
      <c r="AK69" s="322">
        <f t="shared" si="10"/>
        <v>0.46798058302197632</v>
      </c>
      <c r="AL69" s="322">
        <f t="shared" si="10"/>
        <v>0.46798058302197632</v>
      </c>
      <c r="AM69" s="322">
        <f t="shared" si="10"/>
        <v>0</v>
      </c>
      <c r="AN69" s="322">
        <f t="shared" si="10"/>
        <v>0</v>
      </c>
      <c r="AO69" s="322">
        <f t="shared" si="10"/>
        <v>0.26702176837636921</v>
      </c>
      <c r="AP69" s="322">
        <f t="shared" si="10"/>
        <v>0.26702176837636921</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880</v>
      </c>
      <c r="G70" s="37" t="s">
        <v>328</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-5.0499783938780622E-2</v>
      </c>
      <c r="T70" s="324">
        <f t="shared" si="11"/>
        <v>-4.6953934185280009E-2</v>
      </c>
      <c r="U70" s="324">
        <f t="shared" si="11"/>
        <v>-3.1204536782119766E-2</v>
      </c>
      <c r="V70" s="324">
        <f t="shared" si="11"/>
        <v>-1.8724412797241134E-2</v>
      </c>
      <c r="W70" s="324">
        <f t="shared" si="11"/>
        <v>-7.6050911860762677E-3</v>
      </c>
      <c r="X70" s="324">
        <f t="shared" si="11"/>
        <v>0</v>
      </c>
      <c r="Y70" s="324">
        <f t="shared" si="11"/>
        <v>0</v>
      </c>
      <c r="Z70" s="324">
        <f t="shared" si="11"/>
        <v>0</v>
      </c>
      <c r="AA70" s="324">
        <f t="shared" si="11"/>
        <v>0</v>
      </c>
      <c r="AB70" s="324">
        <f t="shared" si="11"/>
        <v>-0.74971791499948259</v>
      </c>
      <c r="AC70" s="324">
        <f t="shared" si="11"/>
        <v>0</v>
      </c>
      <c r="AD70" s="324">
        <f t="shared" si="11"/>
        <v>0</v>
      </c>
      <c r="AE70" s="324">
        <f t="shared" si="11"/>
        <v>0</v>
      </c>
      <c r="AF70" s="324">
        <f t="shared" si="11"/>
        <v>0</v>
      </c>
      <c r="AG70" s="324">
        <f t="shared" si="11"/>
        <v>3.3209662589205137E-2</v>
      </c>
      <c r="AH70" s="324">
        <f t="shared" si="11"/>
        <v>3.3209662589205137E-2</v>
      </c>
      <c r="AI70" s="324">
        <f t="shared" si="11"/>
        <v>0</v>
      </c>
      <c r="AJ70" s="324">
        <f t="shared" si="11"/>
        <v>0</v>
      </c>
      <c r="AK70" s="324">
        <f t="shared" si="11"/>
        <v>2.8000181322170133E-2</v>
      </c>
      <c r="AL70" s="324">
        <f t="shared" si="11"/>
        <v>2.8000181322170133E-2</v>
      </c>
      <c r="AM70" s="324">
        <f t="shared" si="11"/>
        <v>0</v>
      </c>
      <c r="AN70" s="324">
        <f t="shared" si="11"/>
        <v>0</v>
      </c>
      <c r="AO70" s="324">
        <f t="shared" si="11"/>
        <v>1.4079568759351556E-2</v>
      </c>
      <c r="AP70" s="324">
        <f t="shared" si="11"/>
        <v>1.4079568759351556E-2</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881</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882</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883</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884</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885</v>
      </c>
      <c r="G76" s="23" t="s">
        <v>244</v>
      </c>
      <c r="H76" s="23"/>
      <c r="I76" s="23"/>
      <c r="J76" s="129">
        <f t="shared" ref="J76:AB76" si="12">J29</f>
        <v>5883290.5674295351</v>
      </c>
      <c r="K76" s="129">
        <f t="shared" si="12"/>
        <v>2253198.645069303</v>
      </c>
      <c r="L76" s="129">
        <f t="shared" si="12"/>
        <v>23777.812108679751</v>
      </c>
      <c r="M76" s="129">
        <f t="shared" si="12"/>
        <v>1161806.4742133119</v>
      </c>
      <c r="N76" s="129">
        <f t="shared" si="12"/>
        <v>1502232.6626114759</v>
      </c>
      <c r="O76" s="129">
        <f t="shared" si="12"/>
        <v>2608.5296353034564</v>
      </c>
      <c r="P76" s="129">
        <f t="shared" si="12"/>
        <v>15312.991488043248</v>
      </c>
      <c r="Q76" s="129">
        <f t="shared" si="12"/>
        <v>0.43263699199999994</v>
      </c>
      <c r="R76" s="129">
        <f t="shared" si="12"/>
        <v>2548.6086671293438</v>
      </c>
      <c r="S76" s="129">
        <f t="shared" si="12"/>
        <v>2665.4131654318253</v>
      </c>
      <c r="T76" s="129">
        <f t="shared" si="12"/>
        <v>19695.068082327467</v>
      </c>
      <c r="U76" s="129">
        <f t="shared" si="12"/>
        <v>383446.71347459609</v>
      </c>
      <c r="V76" s="129">
        <f t="shared" si="12"/>
        <v>31160.24243589109</v>
      </c>
      <c r="W76" s="129">
        <f t="shared" si="12"/>
        <v>744455.58470461331</v>
      </c>
      <c r="X76" s="129">
        <f t="shared" si="12"/>
        <v>29141.030527383642</v>
      </c>
      <c r="Y76" s="129">
        <f t="shared" si="12"/>
        <v>22896.214955475487</v>
      </c>
      <c r="Z76" s="129">
        <f t="shared" si="12"/>
        <v>395.39698261741404</v>
      </c>
      <c r="AA76" s="129">
        <f t="shared" si="12"/>
        <v>7682.0746191750686</v>
      </c>
      <c r="AB76" s="129">
        <f t="shared" si="12"/>
        <v>10625.864662770657</v>
      </c>
      <c r="AC76" s="83"/>
      <c r="AD76" s="83"/>
      <c r="AE76" s="83"/>
      <c r="AF76" s="83"/>
      <c r="AG76" s="83"/>
      <c r="AH76" s="83"/>
      <c r="AI76" s="83"/>
      <c r="AJ76" s="83"/>
      <c r="AK76" s="83"/>
      <c r="AL76" s="83"/>
      <c r="AM76" s="83"/>
      <c r="AN76" s="83"/>
      <c r="AO76" s="83"/>
      <c r="AP76" s="83"/>
    </row>
    <row r="77" spans="3:111" x14ac:dyDescent="0.25">
      <c r="C77" s="91"/>
      <c r="F77" t="s">
        <v>886</v>
      </c>
      <c r="G77" t="s">
        <v>244</v>
      </c>
      <c r="J77" s="101">
        <f t="shared" ref="J77:AB77" si="13">J30</f>
        <v>0</v>
      </c>
      <c r="K77" s="101">
        <f t="shared" si="13"/>
        <v>1019036.5249223392</v>
      </c>
      <c r="L77" s="101">
        <f t="shared" si="13"/>
        <v>0</v>
      </c>
      <c r="M77" s="101">
        <f t="shared" si="13"/>
        <v>0</v>
      </c>
      <c r="N77" s="101">
        <f t="shared" si="13"/>
        <v>451482.07597799349</v>
      </c>
      <c r="O77" s="101">
        <f t="shared" si="13"/>
        <v>0</v>
      </c>
      <c r="P77" s="101">
        <f t="shared" si="13"/>
        <v>4514.3531474235097</v>
      </c>
      <c r="Q77" s="101">
        <f t="shared" si="13"/>
        <v>0</v>
      </c>
      <c r="R77" s="101">
        <f t="shared" si="13"/>
        <v>842.84934146739215</v>
      </c>
      <c r="S77" s="101">
        <f t="shared" si="13"/>
        <v>8212.1579615585051</v>
      </c>
      <c r="T77" s="101">
        <f t="shared" si="13"/>
        <v>78004.79777326365</v>
      </c>
      <c r="U77" s="101">
        <f t="shared" si="13"/>
        <v>1531300.292687048</v>
      </c>
      <c r="V77" s="101">
        <f t="shared" si="13"/>
        <v>120244.74578240186</v>
      </c>
      <c r="W77" s="101">
        <f t="shared" si="13"/>
        <v>2837353.6691905577</v>
      </c>
      <c r="X77" s="101">
        <f t="shared" si="13"/>
        <v>0</v>
      </c>
      <c r="Y77" s="101">
        <f t="shared" si="13"/>
        <v>0</v>
      </c>
      <c r="Z77" s="101">
        <f t="shared" si="13"/>
        <v>0</v>
      </c>
      <c r="AA77" s="101">
        <f t="shared" si="13"/>
        <v>0</v>
      </c>
      <c r="AB77" s="101">
        <f t="shared" si="13"/>
        <v>33031.440290376238</v>
      </c>
      <c r="AC77" s="79"/>
      <c r="AD77" s="79"/>
      <c r="AE77" s="79"/>
      <c r="AF77" s="79"/>
      <c r="AG77" s="79"/>
      <c r="AH77" s="79"/>
      <c r="AI77" s="79"/>
      <c r="AJ77" s="79"/>
      <c r="AK77" s="79"/>
      <c r="AL77" s="79"/>
      <c r="AM77" s="79"/>
      <c r="AN77" s="79"/>
      <c r="AO77" s="79"/>
      <c r="AP77" s="79"/>
    </row>
    <row r="78" spans="3:111" x14ac:dyDescent="0.25">
      <c r="C78" s="91"/>
      <c r="F78" s="37" t="s">
        <v>887</v>
      </c>
      <c r="G78" s="37" t="s">
        <v>244</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13794.537224726715</v>
      </c>
      <c r="T78" s="103">
        <f t="shared" si="14"/>
        <v>84563.498185875345</v>
      </c>
      <c r="U78" s="103">
        <f t="shared" si="14"/>
        <v>1665693.0604758498</v>
      </c>
      <c r="V78" s="103">
        <f t="shared" si="14"/>
        <v>141436.21101046051</v>
      </c>
      <c r="W78" s="103">
        <f t="shared" si="14"/>
        <v>4088471.1518656551</v>
      </c>
      <c r="X78" s="103">
        <f t="shared" si="14"/>
        <v>0</v>
      </c>
      <c r="Y78" s="103">
        <f t="shared" si="14"/>
        <v>0</v>
      </c>
      <c r="Z78" s="103">
        <f t="shared" si="14"/>
        <v>0</v>
      </c>
      <c r="AA78" s="103">
        <f t="shared" si="14"/>
        <v>0</v>
      </c>
      <c r="AB78" s="103">
        <f t="shared" si="14"/>
        <v>166291.0895487376</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888</v>
      </c>
      <c r="H80" s="236"/>
      <c r="I80" s="236" t="s">
        <v>191</v>
      </c>
      <c r="DG80" t="s">
        <v>889</v>
      </c>
    </row>
    <row r="81" spans="3:111" x14ac:dyDescent="0.25">
      <c r="E81" s="29" t="s">
        <v>890</v>
      </c>
      <c r="H81" s="236"/>
      <c r="I81" s="236"/>
    </row>
    <row r="82" spans="3:111" x14ac:dyDescent="0.25">
      <c r="D82"/>
      <c r="E82" s="29" t="s">
        <v>891</v>
      </c>
      <c r="H82" s="236"/>
      <c r="I82" s="236"/>
    </row>
    <row r="83" spans="3:111" x14ac:dyDescent="0.25">
      <c r="D83"/>
      <c r="E83" s="29" t="s">
        <v>892</v>
      </c>
      <c r="H83" s="236"/>
      <c r="I83" s="236"/>
    </row>
    <row r="84" spans="3:111" x14ac:dyDescent="0.25">
      <c r="E84" s="91"/>
      <c r="F84" t="s">
        <v>893</v>
      </c>
      <c r="G84" t="s">
        <v>328</v>
      </c>
      <c r="H84" s="322">
        <f>H54/SUM(J76:AP78)/ten</f>
        <v>0.78140895094962992</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894</v>
      </c>
      <c r="E88"/>
      <c r="I88" t="s">
        <v>191</v>
      </c>
      <c r="DG88" t="s">
        <v>889</v>
      </c>
    </row>
    <row r="89" spans="3:111" x14ac:dyDescent="0.25">
      <c r="D89" s="29" t="s">
        <v>895</v>
      </c>
      <c r="E89"/>
    </row>
    <row r="90" spans="3:111" x14ac:dyDescent="0.25">
      <c r="D90" s="29" t="s">
        <v>896</v>
      </c>
      <c r="E90"/>
    </row>
    <row r="91" spans="3:111" outlineLevel="1" x14ac:dyDescent="0.25"/>
    <row r="92" spans="3:111" outlineLevel="1" x14ac:dyDescent="0.25">
      <c r="D92" s="32" t="s">
        <v>897</v>
      </c>
      <c r="E92"/>
      <c r="H92" s="236"/>
      <c r="I92" s="236"/>
    </row>
    <row r="93" spans="3:111" outlineLevel="1" x14ac:dyDescent="0.25">
      <c r="D93" s="32" t="s">
        <v>898</v>
      </c>
      <c r="E93"/>
      <c r="H93" s="236"/>
      <c r="I93" s="236"/>
    </row>
    <row r="94" spans="3:111" outlineLevel="1" x14ac:dyDescent="0.25">
      <c r="D94" s="32"/>
      <c r="E94"/>
      <c r="H94" s="236"/>
      <c r="I94" s="236"/>
    </row>
    <row r="95" spans="3:111" ht="75" outlineLevel="1" x14ac:dyDescent="0.25">
      <c r="D95"/>
      <c r="E95" s="237" t="s">
        <v>899</v>
      </c>
      <c r="F95" s="237"/>
      <c r="G95" s="237"/>
      <c r="H95" s="238"/>
      <c r="I95" s="237"/>
      <c r="J95" s="61" t="s">
        <v>900</v>
      </c>
      <c r="K95" s="61" t="s">
        <v>901</v>
      </c>
      <c r="L95" s="61" t="s">
        <v>902</v>
      </c>
      <c r="M95" s="61" t="s">
        <v>903</v>
      </c>
      <c r="N95" s="61" t="s">
        <v>904</v>
      </c>
      <c r="O95" s="61" t="s">
        <v>905</v>
      </c>
      <c r="P95" s="61" t="s">
        <v>906</v>
      </c>
      <c r="Q95" s="61" t="s">
        <v>907</v>
      </c>
      <c r="R95" s="61" t="s">
        <v>908</v>
      </c>
      <c r="S95" s="61" t="s">
        <v>909</v>
      </c>
      <c r="T95" s="61" t="s">
        <v>910</v>
      </c>
      <c r="U95" s="61" t="s">
        <v>911</v>
      </c>
      <c r="V95" s="61" t="s">
        <v>912</v>
      </c>
      <c r="W95" s="61" t="s">
        <v>913</v>
      </c>
      <c r="X95" s="61" t="s">
        <v>914</v>
      </c>
      <c r="Y95" s="61" t="s">
        <v>915</v>
      </c>
      <c r="Z95" s="61" t="s">
        <v>916</v>
      </c>
      <c r="AA95" s="61" t="s">
        <v>917</v>
      </c>
      <c r="AB95" s="61" t="s">
        <v>918</v>
      </c>
      <c r="AC95" s="61" t="s">
        <v>919</v>
      </c>
      <c r="AD95" s="61" t="s">
        <v>920</v>
      </c>
      <c r="AE95" s="61" t="s">
        <v>921</v>
      </c>
      <c r="AF95" s="61" t="s">
        <v>922</v>
      </c>
      <c r="AG95" s="61" t="s">
        <v>923</v>
      </c>
      <c r="AH95" s="61" t="s">
        <v>924</v>
      </c>
      <c r="AI95" s="61" t="s">
        <v>925</v>
      </c>
      <c r="AJ95" s="61" t="s">
        <v>926</v>
      </c>
      <c r="AK95" s="61" t="s">
        <v>927</v>
      </c>
      <c r="AL95" s="61" t="s">
        <v>928</v>
      </c>
      <c r="AM95" s="61" t="s">
        <v>929</v>
      </c>
      <c r="AN95" s="61" t="s">
        <v>930</v>
      </c>
      <c r="AO95" s="61" t="s">
        <v>931</v>
      </c>
      <c r="AP95" s="61" t="s">
        <v>932</v>
      </c>
      <c r="AQ95" s="61" t="s">
        <v>933</v>
      </c>
      <c r="AR95" s="61" t="s">
        <v>934</v>
      </c>
      <c r="AS95" s="61" t="s">
        <v>935</v>
      </c>
      <c r="AT95" s="61" t="s">
        <v>936</v>
      </c>
      <c r="AU95" s="61" t="s">
        <v>937</v>
      </c>
      <c r="AV95" s="61" t="s">
        <v>938</v>
      </c>
      <c r="AW95" s="61" t="s">
        <v>939</v>
      </c>
      <c r="AX95" s="61" t="s">
        <v>940</v>
      </c>
      <c r="AY95" s="61" t="s">
        <v>941</v>
      </c>
      <c r="AZ95" s="61" t="s">
        <v>942</v>
      </c>
      <c r="BA95" s="61" t="s">
        <v>943</v>
      </c>
      <c r="BB95" s="61" t="s">
        <v>944</v>
      </c>
      <c r="BC95" s="61" t="s">
        <v>945</v>
      </c>
      <c r="BD95" s="61" t="s">
        <v>946</v>
      </c>
      <c r="BE95" s="61" t="s">
        <v>947</v>
      </c>
      <c r="BF95" s="61" t="s">
        <v>948</v>
      </c>
      <c r="BG95" s="61" t="s">
        <v>949</v>
      </c>
      <c r="BH95" s="61" t="s">
        <v>950</v>
      </c>
      <c r="BI95" s="61" t="s">
        <v>951</v>
      </c>
      <c r="BJ95" s="61" t="s">
        <v>952</v>
      </c>
      <c r="BK95" s="61" t="s">
        <v>953</v>
      </c>
      <c r="BL95" s="61" t="s">
        <v>954</v>
      </c>
      <c r="BM95" s="61" t="s">
        <v>955</v>
      </c>
      <c r="BN95" s="61" t="s">
        <v>956</v>
      </c>
      <c r="BO95" s="61" t="s">
        <v>957</v>
      </c>
      <c r="BP95" s="61" t="s">
        <v>958</v>
      </c>
      <c r="BQ95" s="61" t="s">
        <v>959</v>
      </c>
      <c r="BR95" s="61" t="s">
        <v>960</v>
      </c>
      <c r="BS95" s="61" t="s">
        <v>961</v>
      </c>
      <c r="BT95" s="61" t="s">
        <v>962</v>
      </c>
      <c r="BU95" s="61" t="s">
        <v>963</v>
      </c>
      <c r="BV95" s="61" t="s">
        <v>964</v>
      </c>
      <c r="BW95" s="61" t="s">
        <v>965</v>
      </c>
      <c r="BX95" s="61" t="s">
        <v>966</v>
      </c>
      <c r="BY95" s="61" t="s">
        <v>967</v>
      </c>
      <c r="BZ95" s="61" t="s">
        <v>968</v>
      </c>
      <c r="CA95" s="61" t="s">
        <v>969</v>
      </c>
      <c r="CB95" s="61" t="s">
        <v>970</v>
      </c>
      <c r="CC95" s="61" t="s">
        <v>971</v>
      </c>
      <c r="CD95" s="61" t="s">
        <v>972</v>
      </c>
      <c r="CE95" s="61" t="s">
        <v>973</v>
      </c>
      <c r="CF95" s="61" t="s">
        <v>974</v>
      </c>
      <c r="CG95" s="61" t="s">
        <v>975</v>
      </c>
      <c r="CH95" s="61" t="s">
        <v>976</v>
      </c>
      <c r="CI95" s="61" t="s">
        <v>977</v>
      </c>
      <c r="CJ95" s="61" t="s">
        <v>978</v>
      </c>
      <c r="CK95" s="61" t="s">
        <v>979</v>
      </c>
      <c r="CL95" s="61" t="s">
        <v>980</v>
      </c>
      <c r="CM95" s="61" t="s">
        <v>981</v>
      </c>
      <c r="CN95" s="61" t="s">
        <v>982</v>
      </c>
      <c r="CO95" s="61" t="s">
        <v>983</v>
      </c>
      <c r="CP95" s="61" t="s">
        <v>984</v>
      </c>
      <c r="CQ95" s="61" t="s">
        <v>985</v>
      </c>
      <c r="CR95" s="61" t="s">
        <v>986</v>
      </c>
      <c r="CS95" s="61" t="s">
        <v>987</v>
      </c>
      <c r="CT95" s="61" t="s">
        <v>988</v>
      </c>
      <c r="CU95" s="61" t="s">
        <v>989</v>
      </c>
      <c r="CV95" s="61" t="s">
        <v>990</v>
      </c>
      <c r="CW95" s="61" t="s">
        <v>991</v>
      </c>
      <c r="CX95" s="61" t="s">
        <v>992</v>
      </c>
      <c r="CY95" s="61" t="s">
        <v>993</v>
      </c>
      <c r="CZ95" s="61" t="s">
        <v>994</v>
      </c>
      <c r="DA95" s="61" t="s">
        <v>995</v>
      </c>
      <c r="DB95" s="61" t="s">
        <v>996</v>
      </c>
      <c r="DC95" s="61" t="s">
        <v>997</v>
      </c>
      <c r="DD95" s="61" t="s">
        <v>998</v>
      </c>
    </row>
    <row r="96" spans="3:111" outlineLevel="1" x14ac:dyDescent="0.25">
      <c r="C96" s="91"/>
      <c r="E96" t="s">
        <v>999</v>
      </c>
      <c r="G96" t="s">
        <v>328</v>
      </c>
      <c r="H96" s="304"/>
      <c r="I96" s="304"/>
      <c r="J96" s="304">
        <f t="shared" ref="J96:AP96" si="15">J68</f>
        <v>-1.3032327686610812</v>
      </c>
      <c r="K96" s="304">
        <f t="shared" si="15"/>
        <v>-1.5579828371812392</v>
      </c>
      <c r="L96" s="304">
        <f t="shared" si="15"/>
        <v>-0.42136182700338609</v>
      </c>
      <c r="M96" s="304">
        <f t="shared" si="15"/>
        <v>-1.1771518740821849</v>
      </c>
      <c r="N96" s="304">
        <f t="shared" si="15"/>
        <v>-1.3349022703744908</v>
      </c>
      <c r="O96" s="304">
        <f t="shared" si="15"/>
        <v>-0.20442076338205489</v>
      </c>
      <c r="P96" s="304">
        <f t="shared" si="15"/>
        <v>-1.2665899217284431</v>
      </c>
      <c r="Q96" s="304">
        <f t="shared" si="15"/>
        <v>-0.85515803754226605</v>
      </c>
      <c r="R96" s="304">
        <f t="shared" si="15"/>
        <v>-0.51330336925082132</v>
      </c>
      <c r="S96" s="304">
        <f t="shared" si="15"/>
        <v>-7.4441423354702021</v>
      </c>
      <c r="T96" s="304">
        <f t="shared" si="15"/>
        <v>-6.9217403212033002</v>
      </c>
      <c r="U96" s="304">
        <f t="shared" si="15"/>
        <v>-4.9371824361274381</v>
      </c>
      <c r="V96" s="304">
        <f t="shared" si="15"/>
        <v>-3.5400563849451738</v>
      </c>
      <c r="W96" s="304">
        <f t="shared" si="15"/>
        <v>-2.126352169552538</v>
      </c>
      <c r="X96" s="304">
        <f t="shared" si="15"/>
        <v>-1.5719272073701078</v>
      </c>
      <c r="Y96" s="304">
        <f t="shared" si="15"/>
        <v>-1.803799949967152</v>
      </c>
      <c r="Z96" s="304">
        <f t="shared" si="15"/>
        <v>-2.7055413376607742</v>
      </c>
      <c r="AA96" s="304">
        <f t="shared" si="15"/>
        <v>-1.3377219464304058</v>
      </c>
      <c r="AB96" s="304">
        <f t="shared" si="15"/>
        <v>-20.418433286971208</v>
      </c>
      <c r="AC96" s="304">
        <f t="shared" si="15"/>
        <v>0.62781802559045008</v>
      </c>
      <c r="AD96" s="304">
        <f t="shared" si="15"/>
        <v>0.5479886425308339</v>
      </c>
      <c r="AE96" s="304">
        <f t="shared" si="15"/>
        <v>0.62781802559045008</v>
      </c>
      <c r="AF96" s="304">
        <f t="shared" si="15"/>
        <v>0.62781802559045008</v>
      </c>
      <c r="AG96" s="304">
        <f t="shared" si="15"/>
        <v>4.8955152543509817</v>
      </c>
      <c r="AH96" s="304">
        <f t="shared" si="15"/>
        <v>4.8955152543509817</v>
      </c>
      <c r="AI96" s="304">
        <f t="shared" si="15"/>
        <v>0.5479886425308339</v>
      </c>
      <c r="AJ96" s="304">
        <f t="shared" si="15"/>
        <v>0.5479886425308339</v>
      </c>
      <c r="AK96" s="304">
        <f t="shared" si="15"/>
        <v>4.3055642034544519</v>
      </c>
      <c r="AL96" s="304">
        <f t="shared" si="15"/>
        <v>4.3055642034544519</v>
      </c>
      <c r="AM96" s="304">
        <f t="shared" si="15"/>
        <v>0.34305791107506395</v>
      </c>
      <c r="AN96" s="304">
        <f t="shared" si="15"/>
        <v>0.34305791107506395</v>
      </c>
      <c r="AO96" s="304">
        <f t="shared" si="15"/>
        <v>2.8093058530954993</v>
      </c>
      <c r="AP96" s="325">
        <f t="shared" si="15"/>
        <v>2.8093058530954993</v>
      </c>
      <c r="AQ96" s="304">
        <f t="shared" ref="AQ96:BW96" si="16">J69</f>
        <v>0</v>
      </c>
      <c r="AR96" s="304">
        <f t="shared" si="16"/>
        <v>-5.2784397319108771E-2</v>
      </c>
      <c r="AS96" s="304">
        <f t="shared" si="16"/>
        <v>0</v>
      </c>
      <c r="AT96" s="304">
        <f t="shared" si="16"/>
        <v>0</v>
      </c>
      <c r="AU96" s="304">
        <f t="shared" si="16"/>
        <v>-4.8132447030956323E-2</v>
      </c>
      <c r="AV96" s="304">
        <f t="shared" si="16"/>
        <v>0</v>
      </c>
      <c r="AW96" s="304">
        <f t="shared" si="16"/>
        <v>-4.3702128995150843E-2</v>
      </c>
      <c r="AX96" s="304">
        <f t="shared" si="16"/>
        <v>-2.8708496633440037E-2</v>
      </c>
      <c r="AY96" s="304">
        <f t="shared" si="16"/>
        <v>-1.0238293866576058E-2</v>
      </c>
      <c r="AZ96" s="304">
        <f t="shared" si="16"/>
        <v>-0.82819658637537308</v>
      </c>
      <c r="BA96" s="304">
        <f t="shared" si="16"/>
        <v>-0.77005805261028304</v>
      </c>
      <c r="BB96" s="304">
        <f t="shared" si="16"/>
        <v>-0.52838253413366609</v>
      </c>
      <c r="BC96" s="304">
        <f t="shared" si="16"/>
        <v>-0.3455231787505984</v>
      </c>
      <c r="BD96" s="304">
        <f t="shared" si="16"/>
        <v>-0.17397660842324955</v>
      </c>
      <c r="BE96" s="304">
        <f t="shared" si="16"/>
        <v>0</v>
      </c>
      <c r="BF96" s="304">
        <f t="shared" si="16"/>
        <v>0</v>
      </c>
      <c r="BG96" s="304">
        <f t="shared" si="16"/>
        <v>0</v>
      </c>
      <c r="BH96" s="304">
        <f t="shared" si="16"/>
        <v>0</v>
      </c>
      <c r="BI96" s="304">
        <f t="shared" si="16"/>
        <v>-1.403399912189323</v>
      </c>
      <c r="BJ96" s="304">
        <f t="shared" si="16"/>
        <v>0</v>
      </c>
      <c r="BK96" s="304">
        <f t="shared" si="16"/>
        <v>0</v>
      </c>
      <c r="BL96" s="304">
        <f t="shared" si="16"/>
        <v>0</v>
      </c>
      <c r="BM96" s="304">
        <f t="shared" si="16"/>
        <v>0</v>
      </c>
      <c r="BN96" s="304">
        <f t="shared" si="16"/>
        <v>0.54464333583913571</v>
      </c>
      <c r="BO96" s="304">
        <f t="shared" si="16"/>
        <v>0.54464333583913571</v>
      </c>
      <c r="BP96" s="304">
        <f t="shared" si="16"/>
        <v>0</v>
      </c>
      <c r="BQ96" s="304">
        <f t="shared" si="16"/>
        <v>0</v>
      </c>
      <c r="BR96" s="304">
        <f t="shared" si="16"/>
        <v>0.46798058302197632</v>
      </c>
      <c r="BS96" s="304">
        <f t="shared" si="16"/>
        <v>0.46798058302197632</v>
      </c>
      <c r="BT96" s="304">
        <f t="shared" si="16"/>
        <v>0</v>
      </c>
      <c r="BU96" s="304">
        <f t="shared" si="16"/>
        <v>0</v>
      </c>
      <c r="BV96" s="304">
        <f t="shared" si="16"/>
        <v>0.26702176837636921</v>
      </c>
      <c r="BW96" s="325">
        <f t="shared" si="16"/>
        <v>0.26702176837636921</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-5.0499783938780622E-2</v>
      </c>
      <c r="CH96" s="304">
        <f t="shared" si="17"/>
        <v>-4.6953934185280009E-2</v>
      </c>
      <c r="CI96" s="304">
        <f t="shared" si="17"/>
        <v>-3.1204536782119766E-2</v>
      </c>
      <c r="CJ96" s="304">
        <f t="shared" si="17"/>
        <v>-1.8724412797241134E-2</v>
      </c>
      <c r="CK96" s="304">
        <f t="shared" si="17"/>
        <v>-7.6050911860762677E-3</v>
      </c>
      <c r="CL96" s="304">
        <f t="shared" si="17"/>
        <v>0</v>
      </c>
      <c r="CM96" s="304">
        <f t="shared" si="17"/>
        <v>0</v>
      </c>
      <c r="CN96" s="304">
        <f t="shared" si="17"/>
        <v>0</v>
      </c>
      <c r="CO96" s="304">
        <f t="shared" si="17"/>
        <v>0</v>
      </c>
      <c r="CP96" s="304">
        <f t="shared" si="17"/>
        <v>-0.74971791499948259</v>
      </c>
      <c r="CQ96" s="304">
        <f t="shared" si="17"/>
        <v>0</v>
      </c>
      <c r="CR96" s="304">
        <f t="shared" si="17"/>
        <v>0</v>
      </c>
      <c r="CS96" s="304">
        <f t="shared" si="17"/>
        <v>0</v>
      </c>
      <c r="CT96" s="304">
        <f t="shared" si="17"/>
        <v>0</v>
      </c>
      <c r="CU96" s="304">
        <f t="shared" si="17"/>
        <v>3.3209662589205137E-2</v>
      </c>
      <c r="CV96" s="304">
        <f t="shared" si="17"/>
        <v>3.3209662589205137E-2</v>
      </c>
      <c r="CW96" s="304">
        <f t="shared" si="17"/>
        <v>0</v>
      </c>
      <c r="CX96" s="304">
        <f t="shared" si="17"/>
        <v>0</v>
      </c>
      <c r="CY96" s="304">
        <f t="shared" si="17"/>
        <v>2.8000181322170133E-2</v>
      </c>
      <c r="CZ96" s="304">
        <f t="shared" si="17"/>
        <v>2.8000181322170133E-2</v>
      </c>
      <c r="DA96" s="304">
        <f t="shared" si="17"/>
        <v>0</v>
      </c>
      <c r="DB96" s="304">
        <f t="shared" si="17"/>
        <v>0</v>
      </c>
      <c r="DC96" s="304">
        <f t="shared" si="17"/>
        <v>1.4079568759351556E-2</v>
      </c>
      <c r="DD96" s="304">
        <f t="shared" si="17"/>
        <v>1.4079568759351556E-2</v>
      </c>
      <c r="DE96" s="304"/>
      <c r="DF96" s="304"/>
      <c r="DG96" s="304"/>
    </row>
    <row r="97" spans="3:111" outlineLevel="1" x14ac:dyDescent="0.25">
      <c r="C97" s="91"/>
      <c r="E97" t="s">
        <v>1000</v>
      </c>
      <c r="G97" t="s">
        <v>244</v>
      </c>
      <c r="J97" s="101">
        <f t="shared" ref="J97:AP97" si="18">J76</f>
        <v>5883290.5674295351</v>
      </c>
      <c r="K97" s="101">
        <f t="shared" si="18"/>
        <v>2253198.645069303</v>
      </c>
      <c r="L97" s="101">
        <f t="shared" si="18"/>
        <v>23777.812108679751</v>
      </c>
      <c r="M97" s="101">
        <f t="shared" si="18"/>
        <v>1161806.4742133119</v>
      </c>
      <c r="N97" s="101">
        <f t="shared" si="18"/>
        <v>1502232.6626114759</v>
      </c>
      <c r="O97" s="101">
        <f t="shared" si="18"/>
        <v>2608.5296353034564</v>
      </c>
      <c r="P97" s="101">
        <f t="shared" si="18"/>
        <v>15312.991488043248</v>
      </c>
      <c r="Q97" s="101">
        <f t="shared" si="18"/>
        <v>0.43263699199999994</v>
      </c>
      <c r="R97" s="101">
        <f t="shared" si="18"/>
        <v>2548.6086671293438</v>
      </c>
      <c r="S97" s="101">
        <f t="shared" si="18"/>
        <v>2665.4131654318253</v>
      </c>
      <c r="T97" s="101">
        <f t="shared" si="18"/>
        <v>19695.068082327467</v>
      </c>
      <c r="U97" s="101">
        <f t="shared" si="18"/>
        <v>383446.71347459609</v>
      </c>
      <c r="V97" s="101">
        <f t="shared" si="18"/>
        <v>31160.24243589109</v>
      </c>
      <c r="W97" s="101">
        <f t="shared" si="18"/>
        <v>744455.58470461331</v>
      </c>
      <c r="X97" s="101">
        <f t="shared" si="18"/>
        <v>29141.030527383642</v>
      </c>
      <c r="Y97" s="101">
        <f t="shared" si="18"/>
        <v>22896.214955475487</v>
      </c>
      <c r="Z97" s="101">
        <f t="shared" si="18"/>
        <v>395.39698261741404</v>
      </c>
      <c r="AA97" s="101">
        <f t="shared" si="18"/>
        <v>7682.0746191750686</v>
      </c>
      <c r="AB97" s="101">
        <f t="shared" si="18"/>
        <v>10625.864662770657</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1019036.5249223392</v>
      </c>
      <c r="AS97" s="101">
        <f t="shared" si="19"/>
        <v>0</v>
      </c>
      <c r="AT97" s="101">
        <f t="shared" si="19"/>
        <v>0</v>
      </c>
      <c r="AU97" s="101">
        <f t="shared" si="19"/>
        <v>451482.07597799349</v>
      </c>
      <c r="AV97" s="101">
        <f t="shared" si="19"/>
        <v>0</v>
      </c>
      <c r="AW97" s="101">
        <f t="shared" si="19"/>
        <v>4514.3531474235097</v>
      </c>
      <c r="AX97" s="101">
        <f t="shared" si="19"/>
        <v>0</v>
      </c>
      <c r="AY97" s="101">
        <f t="shared" si="19"/>
        <v>842.84934146739215</v>
      </c>
      <c r="AZ97" s="101">
        <f t="shared" si="19"/>
        <v>8212.1579615585051</v>
      </c>
      <c r="BA97" s="101">
        <f t="shared" si="19"/>
        <v>78004.79777326365</v>
      </c>
      <c r="BB97" s="101">
        <f t="shared" si="19"/>
        <v>1531300.292687048</v>
      </c>
      <c r="BC97" s="101">
        <f t="shared" si="19"/>
        <v>120244.74578240186</v>
      </c>
      <c r="BD97" s="101">
        <f t="shared" si="19"/>
        <v>2837353.6691905577</v>
      </c>
      <c r="BE97" s="101">
        <f t="shared" si="19"/>
        <v>0</v>
      </c>
      <c r="BF97" s="101">
        <f t="shared" si="19"/>
        <v>0</v>
      </c>
      <c r="BG97" s="101">
        <f t="shared" si="19"/>
        <v>0</v>
      </c>
      <c r="BH97" s="101">
        <f t="shared" si="19"/>
        <v>0</v>
      </c>
      <c r="BI97" s="101">
        <f t="shared" si="19"/>
        <v>33031.440290376238</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13794.537224726715</v>
      </c>
      <c r="CH97" s="101">
        <f t="shared" si="20"/>
        <v>84563.498185875345</v>
      </c>
      <c r="CI97" s="101">
        <f t="shared" si="20"/>
        <v>1665693.0604758498</v>
      </c>
      <c r="CJ97" s="101">
        <f t="shared" si="20"/>
        <v>141436.21101046051</v>
      </c>
      <c r="CK97" s="101">
        <f t="shared" si="20"/>
        <v>4088471.1518656551</v>
      </c>
      <c r="CL97" s="101">
        <f t="shared" si="20"/>
        <v>0</v>
      </c>
      <c r="CM97" s="101">
        <f t="shared" si="20"/>
        <v>0</v>
      </c>
      <c r="CN97" s="101">
        <f t="shared" si="20"/>
        <v>0</v>
      </c>
      <c r="CO97" s="101">
        <f t="shared" si="20"/>
        <v>0</v>
      </c>
      <c r="CP97" s="101">
        <f t="shared" si="20"/>
        <v>166291.0895487376</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1001</v>
      </c>
      <c r="E99"/>
      <c r="H99" s="236"/>
      <c r="I99" s="236"/>
    </row>
    <row r="100" spans="3:111" outlineLevel="1" x14ac:dyDescent="0.25">
      <c r="D100" s="32" t="s">
        <v>1002</v>
      </c>
      <c r="E100"/>
      <c r="H100" s="236"/>
      <c r="I100" s="236"/>
    </row>
    <row r="101" spans="3:111" outlineLevel="1" x14ac:dyDescent="0.25">
      <c r="D101" s="32"/>
      <c r="E101"/>
      <c r="H101" s="236"/>
      <c r="I101" s="236"/>
    </row>
    <row r="102" spans="3:111" ht="75" outlineLevel="1" x14ac:dyDescent="0.25">
      <c r="D102"/>
      <c r="E102" s="237" t="s">
        <v>899</v>
      </c>
      <c r="F102" s="237"/>
      <c r="G102" s="237"/>
      <c r="H102" s="237"/>
      <c r="I102" s="237"/>
      <c r="J102" s="61" t="s">
        <v>900</v>
      </c>
      <c r="K102" s="61" t="s">
        <v>901</v>
      </c>
      <c r="L102" s="61" t="s">
        <v>902</v>
      </c>
      <c r="M102" s="61" t="s">
        <v>903</v>
      </c>
      <c r="N102" s="61" t="s">
        <v>904</v>
      </c>
      <c r="O102" s="61" t="s">
        <v>905</v>
      </c>
      <c r="P102" s="61" t="s">
        <v>906</v>
      </c>
      <c r="Q102" s="61" t="s">
        <v>907</v>
      </c>
      <c r="R102" s="61" t="s">
        <v>908</v>
      </c>
      <c r="S102" s="61" t="s">
        <v>909</v>
      </c>
      <c r="T102" s="61" t="s">
        <v>910</v>
      </c>
      <c r="U102" s="61" t="s">
        <v>911</v>
      </c>
      <c r="V102" s="61" t="s">
        <v>912</v>
      </c>
      <c r="W102" s="61" t="s">
        <v>913</v>
      </c>
      <c r="X102" s="61" t="s">
        <v>914</v>
      </c>
      <c r="Y102" s="61" t="s">
        <v>915</v>
      </c>
      <c r="Z102" s="61" t="s">
        <v>916</v>
      </c>
      <c r="AA102" s="61" t="s">
        <v>917</v>
      </c>
      <c r="AB102" s="61" t="s">
        <v>918</v>
      </c>
      <c r="AC102" s="61" t="s">
        <v>919</v>
      </c>
      <c r="AD102" s="61" t="s">
        <v>920</v>
      </c>
      <c r="AE102" s="61" t="s">
        <v>921</v>
      </c>
      <c r="AF102" s="61" t="s">
        <v>922</v>
      </c>
      <c r="AG102" s="61" t="s">
        <v>923</v>
      </c>
      <c r="AH102" s="61" t="s">
        <v>924</v>
      </c>
      <c r="AI102" s="61" t="s">
        <v>925</v>
      </c>
      <c r="AJ102" s="61" t="s">
        <v>926</v>
      </c>
      <c r="AK102" s="61" t="s">
        <v>927</v>
      </c>
      <c r="AL102" s="61" t="s">
        <v>928</v>
      </c>
      <c r="AM102" s="61" t="s">
        <v>929</v>
      </c>
      <c r="AN102" s="61" t="s">
        <v>930</v>
      </c>
      <c r="AO102" s="61" t="s">
        <v>931</v>
      </c>
      <c r="AP102" s="61" t="s">
        <v>932</v>
      </c>
      <c r="AQ102" s="61" t="s">
        <v>933</v>
      </c>
      <c r="AR102" s="61" t="s">
        <v>934</v>
      </c>
      <c r="AS102" s="61" t="s">
        <v>935</v>
      </c>
      <c r="AT102" s="61" t="s">
        <v>936</v>
      </c>
      <c r="AU102" s="61" t="s">
        <v>937</v>
      </c>
      <c r="AV102" s="61" t="s">
        <v>938</v>
      </c>
      <c r="AW102" s="61" t="s">
        <v>939</v>
      </c>
      <c r="AX102" s="61" t="s">
        <v>940</v>
      </c>
      <c r="AY102" s="61" t="s">
        <v>941</v>
      </c>
      <c r="AZ102" s="61" t="s">
        <v>942</v>
      </c>
      <c r="BA102" s="61" t="s">
        <v>943</v>
      </c>
      <c r="BB102" s="61" t="s">
        <v>944</v>
      </c>
      <c r="BC102" s="61" t="s">
        <v>945</v>
      </c>
      <c r="BD102" s="61" t="s">
        <v>946</v>
      </c>
      <c r="BE102" s="61" t="s">
        <v>947</v>
      </c>
      <c r="BF102" s="61" t="s">
        <v>948</v>
      </c>
      <c r="BG102" s="61" t="s">
        <v>949</v>
      </c>
      <c r="BH102" s="61" t="s">
        <v>950</v>
      </c>
      <c r="BI102" s="61" t="s">
        <v>951</v>
      </c>
      <c r="BJ102" s="61" t="s">
        <v>952</v>
      </c>
      <c r="BK102" s="61" t="s">
        <v>953</v>
      </c>
      <c r="BL102" s="61" t="s">
        <v>954</v>
      </c>
      <c r="BM102" s="61" t="s">
        <v>955</v>
      </c>
      <c r="BN102" s="61" t="s">
        <v>956</v>
      </c>
      <c r="BO102" s="61" t="s">
        <v>957</v>
      </c>
      <c r="BP102" s="61" t="s">
        <v>958</v>
      </c>
      <c r="BQ102" s="61" t="s">
        <v>959</v>
      </c>
      <c r="BR102" s="61" t="s">
        <v>960</v>
      </c>
      <c r="BS102" s="61" t="s">
        <v>961</v>
      </c>
      <c r="BT102" s="61" t="s">
        <v>962</v>
      </c>
      <c r="BU102" s="61" t="s">
        <v>963</v>
      </c>
      <c r="BV102" s="61" t="s">
        <v>964</v>
      </c>
      <c r="BW102" s="61" t="s">
        <v>965</v>
      </c>
      <c r="BX102" s="61" t="s">
        <v>966</v>
      </c>
      <c r="BY102" s="61" t="s">
        <v>967</v>
      </c>
      <c r="BZ102" s="61" t="s">
        <v>968</v>
      </c>
      <c r="CA102" s="61" t="s">
        <v>969</v>
      </c>
      <c r="CB102" s="61" t="s">
        <v>970</v>
      </c>
      <c r="CC102" s="61" t="s">
        <v>971</v>
      </c>
      <c r="CD102" s="61" t="s">
        <v>972</v>
      </c>
      <c r="CE102" s="61" t="s">
        <v>973</v>
      </c>
      <c r="CF102" s="61" t="s">
        <v>974</v>
      </c>
      <c r="CG102" s="61" t="s">
        <v>975</v>
      </c>
      <c r="CH102" s="61" t="s">
        <v>976</v>
      </c>
      <c r="CI102" s="61" t="s">
        <v>977</v>
      </c>
      <c r="CJ102" s="61" t="s">
        <v>978</v>
      </c>
      <c r="CK102" s="61" t="s">
        <v>979</v>
      </c>
      <c r="CL102" s="61" t="s">
        <v>980</v>
      </c>
      <c r="CM102" s="61" t="s">
        <v>981</v>
      </c>
      <c r="CN102" s="61" t="s">
        <v>982</v>
      </c>
      <c r="CO102" s="61" t="s">
        <v>983</v>
      </c>
      <c r="CP102" s="61" t="s">
        <v>984</v>
      </c>
      <c r="CQ102" s="61" t="s">
        <v>985</v>
      </c>
      <c r="CR102" s="61" t="s">
        <v>986</v>
      </c>
      <c r="CS102" s="61" t="s">
        <v>987</v>
      </c>
      <c r="CT102" s="61" t="s">
        <v>988</v>
      </c>
      <c r="CU102" s="61" t="s">
        <v>989</v>
      </c>
      <c r="CV102" s="61" t="s">
        <v>990</v>
      </c>
      <c r="CW102" s="61" t="s">
        <v>991</v>
      </c>
      <c r="CX102" s="61" t="s">
        <v>992</v>
      </c>
      <c r="CY102" s="61" t="s">
        <v>993</v>
      </c>
      <c r="CZ102" s="61" t="s">
        <v>994</v>
      </c>
      <c r="DA102" s="61" t="s">
        <v>995</v>
      </c>
      <c r="DB102" s="61" t="s">
        <v>996</v>
      </c>
      <c r="DC102" s="61" t="s">
        <v>997</v>
      </c>
      <c r="DD102" s="61" t="s">
        <v>998</v>
      </c>
    </row>
    <row r="103" spans="3:111" outlineLevel="1" x14ac:dyDescent="0.25">
      <c r="C103" s="91"/>
      <c r="E103" t="s">
        <v>1003</v>
      </c>
      <c r="G103" t="s">
        <v>684</v>
      </c>
      <c r="J103" s="92">
        <f t="shared" ref="J103:AO103" si="21">RANK(J96,$J$96:$DD$96,1)</f>
        <v>14</v>
      </c>
      <c r="K103" s="92">
        <f t="shared" si="21"/>
        <v>10</v>
      </c>
      <c r="L103" s="92">
        <f t="shared" si="21"/>
        <v>23</v>
      </c>
      <c r="M103" s="92">
        <f t="shared" si="21"/>
        <v>16</v>
      </c>
      <c r="N103" s="92">
        <f t="shared" si="21"/>
        <v>13</v>
      </c>
      <c r="O103" s="92">
        <f t="shared" si="21"/>
        <v>25</v>
      </c>
      <c r="P103" s="92">
        <f t="shared" si="21"/>
        <v>15</v>
      </c>
      <c r="Q103" s="92">
        <f t="shared" si="21"/>
        <v>17</v>
      </c>
      <c r="R103" s="92">
        <f t="shared" si="21"/>
        <v>22</v>
      </c>
      <c r="S103" s="92">
        <f t="shared" si="21"/>
        <v>2</v>
      </c>
      <c r="T103" s="92">
        <f t="shared" si="21"/>
        <v>3</v>
      </c>
      <c r="U103" s="92">
        <f t="shared" si="21"/>
        <v>4</v>
      </c>
      <c r="V103" s="92">
        <f t="shared" si="21"/>
        <v>5</v>
      </c>
      <c r="W103" s="92">
        <f t="shared" si="21"/>
        <v>7</v>
      </c>
      <c r="X103" s="92">
        <f t="shared" si="21"/>
        <v>9</v>
      </c>
      <c r="Y103" s="92">
        <f t="shared" si="21"/>
        <v>8</v>
      </c>
      <c r="Z103" s="92">
        <f t="shared" si="21"/>
        <v>6</v>
      </c>
      <c r="AA103" s="92">
        <f t="shared" si="21"/>
        <v>12</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82</v>
      </c>
      <c r="AN103" s="92">
        <f t="shared" si="21"/>
        <v>82</v>
      </c>
      <c r="AO103" s="92">
        <f t="shared" si="21"/>
        <v>94</v>
      </c>
      <c r="AP103" s="92">
        <f t="shared" ref="AP103:BU103" si="22">RANK(AP96,$J$96:$DD$96,1)</f>
        <v>94</v>
      </c>
      <c r="AQ103" s="92">
        <f t="shared" si="22"/>
        <v>37</v>
      </c>
      <c r="AR103" s="92">
        <f t="shared" si="22"/>
        <v>27</v>
      </c>
      <c r="AS103" s="92">
        <f t="shared" si="22"/>
        <v>37</v>
      </c>
      <c r="AT103" s="92">
        <f t="shared" si="22"/>
        <v>37</v>
      </c>
      <c r="AU103" s="92">
        <f t="shared" si="22"/>
        <v>29</v>
      </c>
      <c r="AV103" s="92">
        <f t="shared" si="22"/>
        <v>37</v>
      </c>
      <c r="AW103" s="92">
        <f t="shared" si="22"/>
        <v>31</v>
      </c>
      <c r="AX103" s="92">
        <f t="shared" si="22"/>
        <v>33</v>
      </c>
      <c r="AY103" s="92">
        <f t="shared" si="22"/>
        <v>35</v>
      </c>
      <c r="AZ103" s="92">
        <f t="shared" si="22"/>
        <v>18</v>
      </c>
      <c r="BA103" s="92">
        <f t="shared" si="22"/>
        <v>19</v>
      </c>
      <c r="BB103" s="92">
        <f t="shared" si="22"/>
        <v>21</v>
      </c>
      <c r="BC103" s="92">
        <f t="shared" si="22"/>
        <v>24</v>
      </c>
      <c r="BD103" s="92">
        <f t="shared" si="22"/>
        <v>26</v>
      </c>
      <c r="BE103" s="92">
        <f t="shared" si="22"/>
        <v>37</v>
      </c>
      <c r="BF103" s="92">
        <f t="shared" si="22"/>
        <v>37</v>
      </c>
      <c r="BG103" s="92">
        <f t="shared" si="22"/>
        <v>37</v>
      </c>
      <c r="BH103" s="92">
        <f t="shared" si="22"/>
        <v>37</v>
      </c>
      <c r="BI103" s="92">
        <f t="shared" si="22"/>
        <v>11</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84</v>
      </c>
      <c r="BS103" s="92">
        <f t="shared" si="22"/>
        <v>84</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28</v>
      </c>
      <c r="CH103" s="92">
        <f t="shared" si="23"/>
        <v>30</v>
      </c>
      <c r="CI103" s="92">
        <f t="shared" si="23"/>
        <v>32</v>
      </c>
      <c r="CJ103" s="92">
        <f t="shared" si="23"/>
        <v>34</v>
      </c>
      <c r="CK103" s="92">
        <f t="shared" si="23"/>
        <v>36</v>
      </c>
      <c r="CL103" s="92">
        <f t="shared" si="23"/>
        <v>37</v>
      </c>
      <c r="CM103" s="92">
        <f t="shared" si="23"/>
        <v>37</v>
      </c>
      <c r="CN103" s="92">
        <f t="shared" si="23"/>
        <v>37</v>
      </c>
      <c r="CO103" s="92">
        <f t="shared" si="23"/>
        <v>37</v>
      </c>
      <c r="CP103" s="92">
        <f t="shared" si="23"/>
        <v>20</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1004</v>
      </c>
      <c r="G104" t="s">
        <v>684</v>
      </c>
      <c r="J104" s="101">
        <f>J103+(COUNT($J$103:J$103)/COUNT($J$103:$DD$103))</f>
        <v>14.01010101010101</v>
      </c>
      <c r="K104" s="101">
        <f>K103+(COUNT($J$103:K$103)/COUNT($J$103:$DD$103))</f>
        <v>10.020202020202021</v>
      </c>
      <c r="L104" s="101">
        <f>L103+(COUNT($J$103:L$103)/COUNT($J$103:$DD$103))</f>
        <v>23.030303030303031</v>
      </c>
      <c r="M104" s="101">
        <f>M103+(COUNT($J$103:M$103)/COUNT($J$103:$DD$103))</f>
        <v>16.040404040404042</v>
      </c>
      <c r="N104" s="101">
        <f>N103+(COUNT($J$103:N$103)/COUNT($J$103:$DD$103))</f>
        <v>13.05050505050505</v>
      </c>
      <c r="O104" s="101">
        <f>O103+(COUNT($J$103:O$103)/COUNT($J$103:$DD$103))</f>
        <v>25.060606060606062</v>
      </c>
      <c r="P104" s="101">
        <f>P103+(COUNT($J$103:P$103)/COUNT($J$103:$DD$103))</f>
        <v>15.070707070707071</v>
      </c>
      <c r="Q104" s="101">
        <f>Q103+(COUNT($J$103:Q$103)/COUNT($J$103:$DD$103))</f>
        <v>17.08080808080808</v>
      </c>
      <c r="R104" s="101">
        <f>R103+(COUNT($J$103:R$103)/COUNT($J$103:$DD$103))</f>
        <v>22.09090909090909</v>
      </c>
      <c r="S104" s="101">
        <f>S103+(COUNT($J$103:S$103)/COUNT($J$103:$DD$103))</f>
        <v>2.1010101010101012</v>
      </c>
      <c r="T104" s="101">
        <f>T103+(COUNT($J$103:T$103)/COUNT($J$103:$DD$103))</f>
        <v>3.1111111111111112</v>
      </c>
      <c r="U104" s="101">
        <f>U103+(COUNT($J$103:U$103)/COUNT($J$103:$DD$103))</f>
        <v>4.1212121212121211</v>
      </c>
      <c r="V104" s="101">
        <f>V103+(COUNT($J$103:V$103)/COUNT($J$103:$DD$103))</f>
        <v>5.1313131313131315</v>
      </c>
      <c r="W104" s="101">
        <f>W103+(COUNT($J$103:W$103)/COUNT($J$103:$DD$103))</f>
        <v>7.141414141414141</v>
      </c>
      <c r="X104" s="101">
        <f>X103+(COUNT($J$103:X$103)/COUNT($J$103:$DD$103))</f>
        <v>9.1515151515151523</v>
      </c>
      <c r="Y104" s="101">
        <f>Y103+(COUNT($J$103:Y$103)/COUNT($J$103:$DD$103))</f>
        <v>8.1616161616161609</v>
      </c>
      <c r="Z104" s="101">
        <f>Z103+(COUNT($J$103:Z$103)/COUNT($J$103:$DD$103))</f>
        <v>6.1717171717171713</v>
      </c>
      <c r="AA104" s="101">
        <f>AA103+(COUNT($J$103:AA$103)/COUNT($J$103:$DD$103))</f>
        <v>12.181818181818182</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82.303030303030297</v>
      </c>
      <c r="AN104" s="101">
        <f>AN103+(COUNT($J$103:AN$103)/COUNT($J$103:$DD$103))</f>
        <v>82.313131313131308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27.353535353535353</v>
      </c>
      <c r="AS104" s="101">
        <f>AS103+(COUNT($J$103:AS$103)/COUNT($J$103:$DD$103))</f>
        <v>37.363636363636367</v>
      </c>
      <c r="AT104" s="101">
        <f>AT103+(COUNT($J$103:AT$103)/COUNT($J$103:$DD$103))</f>
        <v>37.373737373737377</v>
      </c>
      <c r="AU104" s="101">
        <f>AU103+(COUNT($J$103:AU$103)/COUNT($J$103:$DD$103))</f>
        <v>29.383838383838384</v>
      </c>
      <c r="AV104" s="101">
        <f>AV103+(COUNT($J$103:AV$103)/COUNT($J$103:$DD$103))</f>
        <v>37.393939393939391</v>
      </c>
      <c r="AW104" s="101">
        <f>AW103+(COUNT($J$103:AW$103)/COUNT($J$103:$DD$103))</f>
        <v>31.404040404040405</v>
      </c>
      <c r="AX104" s="101">
        <f>AX103+(COUNT($J$103:AX$103)/COUNT($J$103:$DD$103))</f>
        <v>33.414141414141412</v>
      </c>
      <c r="AY104" s="101">
        <f>AY103+(COUNT($J$103:AY$103)/COUNT($J$103:$DD$103))</f>
        <v>35.424242424242422</v>
      </c>
      <c r="AZ104" s="101">
        <f>AZ103+(COUNT($J$103:AZ$103)/COUNT($J$103:$DD$103))</f>
        <v>18.434343434343436</v>
      </c>
      <c r="BA104" s="101">
        <f>BA103+(COUNT($J$103:BA$103)/COUNT($J$103:$DD$103))</f>
        <v>19.444444444444443</v>
      </c>
      <c r="BB104" s="101">
        <f>BB103+(COUNT($J$103:BB$103)/COUNT($J$103:$DD$103))</f>
        <v>21.454545454545453</v>
      </c>
      <c r="BC104" s="101">
        <f>BC103+(COUNT($J$103:BC$103)/COUNT($J$103:$DD$103))</f>
        <v>24.464646464646464</v>
      </c>
      <c r="BD104" s="101">
        <f>BD103+(COUNT($J$103:BD$103)/COUNT($J$103:$DD$103))</f>
        <v>26.474747474747474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11.525252525252526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84.616161616161619</v>
      </c>
      <c r="BS104" s="101">
        <f>BS103+(COUNT($J$103:BS$103)/COUNT($J$103:$DD$103))</f>
        <v>84.62626262626263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28.767676767676768</v>
      </c>
      <c r="CH104" s="101">
        <f>CH103+(COUNT($J$103:CH$103)/COUNT($J$103:$DD$103))</f>
        <v>30.777777777777779</v>
      </c>
      <c r="CI104" s="101">
        <f>CI103+(COUNT($J$103:CI$103)/COUNT($J$103:$DD$103))</f>
        <v>32.787878787878789</v>
      </c>
      <c r="CJ104" s="101">
        <f>CJ103+(COUNT($J$103:CJ$103)/COUNT($J$103:$DD$103))</f>
        <v>34.797979797979799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20.858585858585858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1005</v>
      </c>
      <c r="G105" t="s">
        <v>684</v>
      </c>
      <c r="J105" s="92">
        <f t="shared" ref="J105:AO105" si="24">RANK(J104,$J$104:$DD$104,1)</f>
        <v>14</v>
      </c>
      <c r="K105" s="92">
        <f t="shared" si="24"/>
        <v>10</v>
      </c>
      <c r="L105" s="92">
        <f t="shared" si="24"/>
        <v>23</v>
      </c>
      <c r="M105" s="92">
        <f t="shared" si="24"/>
        <v>16</v>
      </c>
      <c r="N105" s="92">
        <f t="shared" si="24"/>
        <v>13</v>
      </c>
      <c r="O105" s="92">
        <f t="shared" si="24"/>
        <v>25</v>
      </c>
      <c r="P105" s="92">
        <f t="shared" si="24"/>
        <v>15</v>
      </c>
      <c r="Q105" s="92">
        <f t="shared" si="24"/>
        <v>17</v>
      </c>
      <c r="R105" s="92">
        <f t="shared" si="24"/>
        <v>22</v>
      </c>
      <c r="S105" s="92">
        <f t="shared" si="24"/>
        <v>2</v>
      </c>
      <c r="T105" s="92">
        <f t="shared" si="24"/>
        <v>3</v>
      </c>
      <c r="U105" s="92">
        <f t="shared" si="24"/>
        <v>4</v>
      </c>
      <c r="V105" s="92">
        <f t="shared" si="24"/>
        <v>5</v>
      </c>
      <c r="W105" s="92">
        <f t="shared" si="24"/>
        <v>7</v>
      </c>
      <c r="X105" s="92">
        <f t="shared" si="24"/>
        <v>9</v>
      </c>
      <c r="Y105" s="92">
        <f t="shared" si="24"/>
        <v>8</v>
      </c>
      <c r="Z105" s="92">
        <f t="shared" si="24"/>
        <v>6</v>
      </c>
      <c r="AA105" s="92">
        <f t="shared" si="24"/>
        <v>12</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82</v>
      </c>
      <c r="AN105" s="92">
        <f t="shared" si="24"/>
        <v>83</v>
      </c>
      <c r="AO105" s="92">
        <f t="shared" si="24"/>
        <v>94</v>
      </c>
      <c r="AP105" s="92">
        <f t="shared" ref="AP105:BU105" si="25">RANK(AP104,$J$104:$DD$104,1)</f>
        <v>95</v>
      </c>
      <c r="AQ105" s="92">
        <f t="shared" si="25"/>
        <v>37</v>
      </c>
      <c r="AR105" s="92">
        <f t="shared" si="25"/>
        <v>27</v>
      </c>
      <c r="AS105" s="92">
        <f t="shared" si="25"/>
        <v>38</v>
      </c>
      <c r="AT105" s="92">
        <f t="shared" si="25"/>
        <v>39</v>
      </c>
      <c r="AU105" s="92">
        <f t="shared" si="25"/>
        <v>29</v>
      </c>
      <c r="AV105" s="92">
        <f t="shared" si="25"/>
        <v>40</v>
      </c>
      <c r="AW105" s="92">
        <f t="shared" si="25"/>
        <v>31</v>
      </c>
      <c r="AX105" s="92">
        <f t="shared" si="25"/>
        <v>33</v>
      </c>
      <c r="AY105" s="92">
        <f t="shared" si="25"/>
        <v>35</v>
      </c>
      <c r="AZ105" s="92">
        <f t="shared" si="25"/>
        <v>18</v>
      </c>
      <c r="BA105" s="92">
        <f t="shared" si="25"/>
        <v>19</v>
      </c>
      <c r="BB105" s="92">
        <f t="shared" si="25"/>
        <v>21</v>
      </c>
      <c r="BC105" s="92">
        <f t="shared" si="25"/>
        <v>24</v>
      </c>
      <c r="BD105" s="92">
        <f t="shared" si="25"/>
        <v>26</v>
      </c>
      <c r="BE105" s="92">
        <f t="shared" si="25"/>
        <v>41</v>
      </c>
      <c r="BF105" s="92">
        <f t="shared" si="25"/>
        <v>42</v>
      </c>
      <c r="BG105" s="92">
        <f t="shared" si="25"/>
        <v>43</v>
      </c>
      <c r="BH105" s="92">
        <f t="shared" si="25"/>
        <v>44</v>
      </c>
      <c r="BI105" s="92">
        <f t="shared" si="25"/>
        <v>11</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84</v>
      </c>
      <c r="BS105" s="92">
        <f t="shared" si="25"/>
        <v>85</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28</v>
      </c>
      <c r="CH105" s="92">
        <f t="shared" si="26"/>
        <v>30</v>
      </c>
      <c r="CI105" s="92">
        <f t="shared" si="26"/>
        <v>32</v>
      </c>
      <c r="CJ105" s="92">
        <f t="shared" si="26"/>
        <v>34</v>
      </c>
      <c r="CK105" s="92">
        <f t="shared" si="26"/>
        <v>36</v>
      </c>
      <c r="CL105" s="92">
        <f t="shared" si="26"/>
        <v>62</v>
      </c>
      <c r="CM105" s="92">
        <f t="shared" si="26"/>
        <v>63</v>
      </c>
      <c r="CN105" s="92">
        <f t="shared" si="26"/>
        <v>64</v>
      </c>
      <c r="CO105" s="92">
        <f t="shared" si="26"/>
        <v>65</v>
      </c>
      <c r="CP105" s="92">
        <f t="shared" si="26"/>
        <v>20</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1006</v>
      </c>
      <c r="E107"/>
      <c r="H107" s="236"/>
      <c r="I107" s="236"/>
    </row>
    <row r="108" spans="3:111" outlineLevel="1" x14ac:dyDescent="0.25">
      <c r="D108" s="32" t="s">
        <v>1007</v>
      </c>
      <c r="E108"/>
      <c r="H108" s="236"/>
      <c r="I108" s="236"/>
    </row>
    <row r="109" spans="3:111" outlineLevel="1" x14ac:dyDescent="0.25">
      <c r="D109" s="32"/>
      <c r="E109"/>
      <c r="H109" s="236"/>
      <c r="I109" s="236"/>
    </row>
    <row r="110" spans="3:111" outlineLevel="1" x14ac:dyDescent="0.25">
      <c r="D110"/>
      <c r="E110" s="237" t="s">
        <v>1008</v>
      </c>
      <c r="F110" s="237"/>
      <c r="G110" s="237"/>
      <c r="H110" s="237" t="s">
        <v>1009</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1010</v>
      </c>
      <c r="G111" t="s">
        <v>328</v>
      </c>
      <c r="H111" s="322"/>
      <c r="I111" s="304"/>
      <c r="J111" s="322">
        <f t="shared" ref="J111:AO111" si="30">INDEX($J$96:$DD$96,1,MATCH(J110,$J$105:$DD$105,0))</f>
        <v>-20.418433286971208</v>
      </c>
      <c r="K111" s="322">
        <f t="shared" si="30"/>
        <v>-7.4441423354702021</v>
      </c>
      <c r="L111" s="322">
        <f t="shared" si="30"/>
        <v>-6.9217403212033002</v>
      </c>
      <c r="M111" s="322">
        <f t="shared" si="30"/>
        <v>-4.9371824361274381</v>
      </c>
      <c r="N111" s="322">
        <f t="shared" si="30"/>
        <v>-3.5400563849451738</v>
      </c>
      <c r="O111" s="322">
        <f t="shared" si="30"/>
        <v>-2.7055413376607742</v>
      </c>
      <c r="P111" s="322">
        <f t="shared" si="30"/>
        <v>-2.126352169552538</v>
      </c>
      <c r="Q111" s="322">
        <f t="shared" si="30"/>
        <v>-1.803799949967152</v>
      </c>
      <c r="R111" s="322">
        <f t="shared" si="30"/>
        <v>-1.5719272073701078</v>
      </c>
      <c r="S111" s="322">
        <f t="shared" si="30"/>
        <v>-1.5579828371812392</v>
      </c>
      <c r="T111" s="322">
        <f t="shared" si="30"/>
        <v>-1.403399912189323</v>
      </c>
      <c r="U111" s="322">
        <f t="shared" si="30"/>
        <v>-1.3377219464304058</v>
      </c>
      <c r="V111" s="322">
        <f t="shared" si="30"/>
        <v>-1.3349022703744908</v>
      </c>
      <c r="W111" s="322">
        <f t="shared" si="30"/>
        <v>-1.3032327686610812</v>
      </c>
      <c r="X111" s="322">
        <f t="shared" si="30"/>
        <v>-1.2665899217284431</v>
      </c>
      <c r="Y111" s="322">
        <f t="shared" si="30"/>
        <v>-1.1771518740821849</v>
      </c>
      <c r="Z111" s="322">
        <f t="shared" si="30"/>
        <v>-0.85515803754226605</v>
      </c>
      <c r="AA111" s="322">
        <f t="shared" si="30"/>
        <v>-0.82819658637537308</v>
      </c>
      <c r="AB111" s="322">
        <f t="shared" si="30"/>
        <v>-0.77005805261028304</v>
      </c>
      <c r="AC111" s="322">
        <f t="shared" si="30"/>
        <v>-0.74971791499948259</v>
      </c>
      <c r="AD111" s="322">
        <f t="shared" si="30"/>
        <v>-0.52838253413366609</v>
      </c>
      <c r="AE111" s="322">
        <f t="shared" si="30"/>
        <v>-0.51330336925082132</v>
      </c>
      <c r="AF111" s="322">
        <f t="shared" si="30"/>
        <v>-0.42136182700338609</v>
      </c>
      <c r="AG111" s="322">
        <f t="shared" si="30"/>
        <v>-0.3455231787505984</v>
      </c>
      <c r="AH111" s="322">
        <f t="shared" si="30"/>
        <v>-0.20442076338205489</v>
      </c>
      <c r="AI111" s="322">
        <f t="shared" si="30"/>
        <v>-0.17397660842324955</v>
      </c>
      <c r="AJ111" s="322">
        <f t="shared" si="30"/>
        <v>-5.2784397319108771E-2</v>
      </c>
      <c r="AK111" s="322">
        <f t="shared" si="30"/>
        <v>-5.0499783938780622E-2</v>
      </c>
      <c r="AL111" s="322">
        <f t="shared" si="30"/>
        <v>-4.8132447030956323E-2</v>
      </c>
      <c r="AM111" s="322">
        <f t="shared" si="30"/>
        <v>-4.6953934185280009E-2</v>
      </c>
      <c r="AN111" s="322">
        <f t="shared" si="30"/>
        <v>-4.3702128995150843E-2</v>
      </c>
      <c r="AO111" s="322">
        <f t="shared" si="30"/>
        <v>-3.1204536782119766E-2</v>
      </c>
      <c r="AP111" s="322">
        <f t="shared" ref="AP111:BU111" si="31">INDEX($J$96:$DD$96,1,MATCH(AP110,$J$105:$DD$105,0))</f>
        <v>-2.8708496633440037E-2</v>
      </c>
      <c r="AQ111" s="322">
        <f t="shared" si="31"/>
        <v>-1.8724412797241134E-2</v>
      </c>
      <c r="AR111" s="322">
        <f t="shared" si="31"/>
        <v>-1.0238293866576058E-2</v>
      </c>
      <c r="AS111" s="322">
        <f t="shared" si="31"/>
        <v>-7.6050911860762677E-3</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1.4079568759351556E-2</v>
      </c>
      <c r="CF111" s="322">
        <f t="shared" si="32"/>
        <v>1.4079568759351556E-2</v>
      </c>
      <c r="CG111" s="322">
        <f t="shared" si="32"/>
        <v>2.8000181322170133E-2</v>
      </c>
      <c r="CH111" s="322">
        <f t="shared" si="32"/>
        <v>2.8000181322170133E-2</v>
      </c>
      <c r="CI111" s="322">
        <f t="shared" si="32"/>
        <v>3.3209662589205137E-2</v>
      </c>
      <c r="CJ111" s="322">
        <f t="shared" si="32"/>
        <v>3.3209662589205137E-2</v>
      </c>
      <c r="CK111" s="322">
        <f t="shared" si="32"/>
        <v>0.26702176837636921</v>
      </c>
      <c r="CL111" s="322">
        <f t="shared" si="32"/>
        <v>0.26702176837636921</v>
      </c>
      <c r="CM111" s="322">
        <f t="shared" si="32"/>
        <v>0.34305791107506395</v>
      </c>
      <c r="CN111" s="322">
        <f t="shared" si="32"/>
        <v>0.34305791107506395</v>
      </c>
      <c r="CO111" s="322">
        <f t="shared" si="32"/>
        <v>0.46798058302197632</v>
      </c>
      <c r="CP111" s="322">
        <f t="shared" si="32"/>
        <v>0.46798058302197632</v>
      </c>
      <c r="CQ111" s="322">
        <f t="shared" si="32"/>
        <v>0.54464333583913571</v>
      </c>
      <c r="CR111" s="322">
        <f t="shared" si="32"/>
        <v>0.54464333583913571</v>
      </c>
      <c r="CS111" s="322">
        <f t="shared" si="32"/>
        <v>0.5479886425308339</v>
      </c>
      <c r="CT111" s="322">
        <f t="shared" si="32"/>
        <v>0.5479886425308339</v>
      </c>
      <c r="CU111" s="322">
        <f t="shared" si="32"/>
        <v>0.5479886425308339</v>
      </c>
      <c r="CV111" s="322">
        <f t="shared" si="32"/>
        <v>0.62781802559045008</v>
      </c>
      <c r="CW111" s="322">
        <f t="shared" si="32"/>
        <v>0.62781802559045008</v>
      </c>
      <c r="CX111" s="322">
        <f t="shared" si="32"/>
        <v>0.62781802559045008</v>
      </c>
      <c r="CY111" s="322">
        <f t="shared" si="32"/>
        <v>2.8093058530954993</v>
      </c>
      <c r="CZ111" s="322">
        <f t="shared" si="32"/>
        <v>2.8093058530954993</v>
      </c>
      <c r="DA111" s="322">
        <f t="shared" si="32"/>
        <v>4.3055642034544519</v>
      </c>
      <c r="DB111" s="322">
        <f t="shared" ref="DB111:DD111" si="33">INDEX($J$96:$DD$96,1,MATCH(DB110,$J$105:$DD$105,0))</f>
        <v>4.3055642034544519</v>
      </c>
      <c r="DC111" s="322">
        <f t="shared" si="33"/>
        <v>4.8955152543509817</v>
      </c>
      <c r="DD111" s="322">
        <f t="shared" si="33"/>
        <v>4.8955152543509817</v>
      </c>
      <c r="DE111" s="304"/>
      <c r="DF111" s="304"/>
      <c r="DG111" s="304"/>
    </row>
    <row r="112" spans="3:111" outlineLevel="1" x14ac:dyDescent="0.25">
      <c r="C112" s="91"/>
      <c r="E112" t="s">
        <v>1011</v>
      </c>
      <c r="G112" t="s">
        <v>244</v>
      </c>
      <c r="H112" s="63"/>
      <c r="J112" s="101">
        <f t="shared" ref="J112:AO112" si="34">I112+INDEX($J$97:$DD$97,1,MATCH(J110,$J$105:$DD$105,0))</f>
        <v>10625.864662770657</v>
      </c>
      <c r="K112" s="101">
        <f t="shared" si="34"/>
        <v>13291.277828202481</v>
      </c>
      <c r="L112" s="101">
        <f t="shared" si="34"/>
        <v>32986.345910529948</v>
      </c>
      <c r="M112" s="101">
        <f t="shared" si="34"/>
        <v>416433.05938512605</v>
      </c>
      <c r="N112" s="101">
        <f t="shared" si="34"/>
        <v>447593.30182101711</v>
      </c>
      <c r="O112" s="101">
        <f t="shared" si="34"/>
        <v>447988.6988036345</v>
      </c>
      <c r="P112" s="101">
        <f t="shared" si="34"/>
        <v>1192444.2835082477</v>
      </c>
      <c r="Q112" s="101">
        <f t="shared" si="34"/>
        <v>1215340.4984637231</v>
      </c>
      <c r="R112" s="101">
        <f t="shared" si="34"/>
        <v>1244481.5289911067</v>
      </c>
      <c r="S112" s="101">
        <f t="shared" si="34"/>
        <v>3497680.1740604099</v>
      </c>
      <c r="T112" s="101">
        <f t="shared" si="34"/>
        <v>3530711.614350786</v>
      </c>
      <c r="U112" s="101">
        <f t="shared" si="34"/>
        <v>3538393.6889699609</v>
      </c>
      <c r="V112" s="101">
        <f t="shared" si="34"/>
        <v>5040626.3515814366</v>
      </c>
      <c r="W112" s="101">
        <f t="shared" si="34"/>
        <v>10923916.919010971</v>
      </c>
      <c r="X112" s="101">
        <f t="shared" si="34"/>
        <v>10939229.910499014</v>
      </c>
      <c r="Y112" s="101">
        <f t="shared" si="34"/>
        <v>12101036.384712325</v>
      </c>
      <c r="Z112" s="101">
        <f t="shared" si="34"/>
        <v>12101036.817349317</v>
      </c>
      <c r="AA112" s="101">
        <f t="shared" si="34"/>
        <v>12109248.975310875</v>
      </c>
      <c r="AB112" s="101">
        <f t="shared" si="34"/>
        <v>12187253.773084139</v>
      </c>
      <c r="AC112" s="101">
        <f t="shared" si="34"/>
        <v>12353544.862632876</v>
      </c>
      <c r="AD112" s="101">
        <f t="shared" si="34"/>
        <v>13884845.155319924</v>
      </c>
      <c r="AE112" s="101">
        <f t="shared" si="34"/>
        <v>13887393.763987053</v>
      </c>
      <c r="AF112" s="101">
        <f t="shared" si="34"/>
        <v>13911171.576095734</v>
      </c>
      <c r="AG112" s="101">
        <f t="shared" si="34"/>
        <v>14031416.321878135</v>
      </c>
      <c r="AH112" s="101">
        <f t="shared" si="34"/>
        <v>14034024.851513438</v>
      </c>
      <c r="AI112" s="101">
        <f t="shared" si="34"/>
        <v>16871378.520703994</v>
      </c>
      <c r="AJ112" s="101">
        <f t="shared" si="34"/>
        <v>17890415.045626335</v>
      </c>
      <c r="AK112" s="101">
        <f t="shared" si="34"/>
        <v>17904209.58285106</v>
      </c>
      <c r="AL112" s="101">
        <f t="shared" si="34"/>
        <v>18355691.658829052</v>
      </c>
      <c r="AM112" s="101">
        <f t="shared" si="34"/>
        <v>18440255.157014929</v>
      </c>
      <c r="AN112" s="101">
        <f t="shared" si="34"/>
        <v>18444769.510162354</v>
      </c>
      <c r="AO112" s="101">
        <f t="shared" si="34"/>
        <v>20110462.570638202</v>
      </c>
      <c r="AP112" s="101">
        <f t="shared" ref="AP112:BU112" si="35">AO112+INDEX($J$97:$DD$97,1,MATCH(AP110,$J$105:$DD$105,0))</f>
        <v>20110462.570638202</v>
      </c>
      <c r="AQ112" s="101">
        <f t="shared" si="35"/>
        <v>20251898.781648662</v>
      </c>
      <c r="AR112" s="101">
        <f t="shared" si="35"/>
        <v>20252741.630990129</v>
      </c>
      <c r="AS112" s="101">
        <f t="shared" si="35"/>
        <v>24341212.782855783</v>
      </c>
      <c r="AT112" s="101">
        <f t="shared" si="35"/>
        <v>24341212.782855783</v>
      </c>
      <c r="AU112" s="101">
        <f t="shared" si="35"/>
        <v>24341212.782855783</v>
      </c>
      <c r="AV112" s="101">
        <f t="shared" si="35"/>
        <v>24341212.782855783</v>
      </c>
      <c r="AW112" s="101">
        <f t="shared" si="35"/>
        <v>24341212.782855783</v>
      </c>
      <c r="AX112" s="101">
        <f t="shared" si="35"/>
        <v>24341212.782855783</v>
      </c>
      <c r="AY112" s="101">
        <f t="shared" si="35"/>
        <v>24341212.782855783</v>
      </c>
      <c r="AZ112" s="101">
        <f t="shared" si="35"/>
        <v>24341212.782855783</v>
      </c>
      <c r="BA112" s="101">
        <f t="shared" si="35"/>
        <v>24341212.782855783</v>
      </c>
      <c r="BB112" s="101">
        <f t="shared" si="35"/>
        <v>24341212.782855783</v>
      </c>
      <c r="BC112" s="101">
        <f t="shared" si="35"/>
        <v>24341212.782855783</v>
      </c>
      <c r="BD112" s="101">
        <f t="shared" si="35"/>
        <v>24341212.782855783</v>
      </c>
      <c r="BE112" s="101">
        <f t="shared" si="35"/>
        <v>24341212.782855783</v>
      </c>
      <c r="BF112" s="101">
        <f t="shared" si="35"/>
        <v>24341212.782855783</v>
      </c>
      <c r="BG112" s="101">
        <f t="shared" si="35"/>
        <v>24341212.782855783</v>
      </c>
      <c r="BH112" s="101">
        <f t="shared" si="35"/>
        <v>24341212.782855783</v>
      </c>
      <c r="BI112" s="101">
        <f t="shared" si="35"/>
        <v>24341212.782855783</v>
      </c>
      <c r="BJ112" s="101">
        <f t="shared" si="35"/>
        <v>24341212.782855783</v>
      </c>
      <c r="BK112" s="101">
        <f t="shared" si="35"/>
        <v>24341212.782855783</v>
      </c>
      <c r="BL112" s="101">
        <f t="shared" si="35"/>
        <v>24341212.782855783</v>
      </c>
      <c r="BM112" s="101">
        <f t="shared" si="35"/>
        <v>24341212.782855783</v>
      </c>
      <c r="BN112" s="101">
        <f t="shared" si="35"/>
        <v>24341212.782855783</v>
      </c>
      <c r="BO112" s="101">
        <f t="shared" si="35"/>
        <v>24341212.782855783</v>
      </c>
      <c r="BP112" s="101">
        <f t="shared" si="35"/>
        <v>24341212.782855783</v>
      </c>
      <c r="BQ112" s="101">
        <f t="shared" si="35"/>
        <v>24341212.782855783</v>
      </c>
      <c r="BR112" s="101">
        <f t="shared" si="35"/>
        <v>24341212.782855783</v>
      </c>
      <c r="BS112" s="101">
        <f t="shared" si="35"/>
        <v>24341212.782855783</v>
      </c>
      <c r="BT112" s="101">
        <f t="shared" si="35"/>
        <v>24341212.782855783</v>
      </c>
      <c r="BU112" s="101">
        <f t="shared" si="35"/>
        <v>24341212.782855783</v>
      </c>
      <c r="BV112" s="101">
        <f t="shared" ref="BV112:DD112" si="36">BU112+INDEX($J$97:$DD$97,1,MATCH(BV110,$J$105:$DD$105,0))</f>
        <v>24341212.782855783</v>
      </c>
      <c r="BW112" s="101">
        <f t="shared" si="36"/>
        <v>24341212.782855783</v>
      </c>
      <c r="BX112" s="101">
        <f t="shared" si="36"/>
        <v>24341212.782855783</v>
      </c>
      <c r="BY112" s="101">
        <f t="shared" si="36"/>
        <v>24341212.782855783</v>
      </c>
      <c r="BZ112" s="101">
        <f t="shared" si="36"/>
        <v>24341212.782855783</v>
      </c>
      <c r="CA112" s="101">
        <f t="shared" si="36"/>
        <v>24341212.782855783</v>
      </c>
      <c r="CB112" s="101">
        <f t="shared" si="36"/>
        <v>24341212.782855783</v>
      </c>
      <c r="CC112" s="101">
        <f t="shared" si="36"/>
        <v>24341212.782855783</v>
      </c>
      <c r="CD112" s="101">
        <f t="shared" si="36"/>
        <v>24341212.782855783</v>
      </c>
      <c r="CE112" s="101">
        <f t="shared" si="36"/>
        <v>24341212.782855783</v>
      </c>
      <c r="CF112" s="101">
        <f t="shared" si="36"/>
        <v>24341212.782855783</v>
      </c>
      <c r="CG112" s="101">
        <f t="shared" si="36"/>
        <v>24341212.782855783</v>
      </c>
      <c r="CH112" s="101">
        <f t="shared" si="36"/>
        <v>24341212.782855783</v>
      </c>
      <c r="CI112" s="101">
        <f t="shared" si="36"/>
        <v>24341212.782855783</v>
      </c>
      <c r="CJ112" s="101">
        <f t="shared" si="36"/>
        <v>24341212.782855783</v>
      </c>
      <c r="CK112" s="101">
        <f t="shared" si="36"/>
        <v>24341212.782855783</v>
      </c>
      <c r="CL112" s="101">
        <f t="shared" si="36"/>
        <v>24341212.782855783</v>
      </c>
      <c r="CM112" s="101">
        <f t="shared" si="36"/>
        <v>24341212.782855783</v>
      </c>
      <c r="CN112" s="101">
        <f t="shared" si="36"/>
        <v>24341212.782855783</v>
      </c>
      <c r="CO112" s="101">
        <f t="shared" si="36"/>
        <v>24341212.782855783</v>
      </c>
      <c r="CP112" s="101">
        <f t="shared" si="36"/>
        <v>24341212.782855783</v>
      </c>
      <c r="CQ112" s="101">
        <f t="shared" si="36"/>
        <v>24341212.782855783</v>
      </c>
      <c r="CR112" s="101">
        <f t="shared" si="36"/>
        <v>24341212.782855783</v>
      </c>
      <c r="CS112" s="101">
        <f t="shared" si="36"/>
        <v>24341212.782855783</v>
      </c>
      <c r="CT112" s="101">
        <f t="shared" si="36"/>
        <v>24341212.782855783</v>
      </c>
      <c r="CU112" s="101">
        <f t="shared" si="36"/>
        <v>24341212.782855783</v>
      </c>
      <c r="CV112" s="101">
        <f t="shared" si="36"/>
        <v>24341212.782855783</v>
      </c>
      <c r="CW112" s="101">
        <f t="shared" si="36"/>
        <v>24341212.782855783</v>
      </c>
      <c r="CX112" s="101">
        <f t="shared" si="36"/>
        <v>24341212.782855783</v>
      </c>
      <c r="CY112" s="101">
        <f t="shared" si="36"/>
        <v>24341212.782855783</v>
      </c>
      <c r="CZ112" s="101">
        <f t="shared" si="36"/>
        <v>24341212.782855783</v>
      </c>
      <c r="DA112" s="101">
        <f t="shared" si="36"/>
        <v>24341212.782855783</v>
      </c>
      <c r="DB112" s="101">
        <f t="shared" si="36"/>
        <v>24341212.782855783</v>
      </c>
      <c r="DC112" s="101">
        <f t="shared" si="36"/>
        <v>24341212.782855783</v>
      </c>
      <c r="DD112" s="101">
        <f t="shared" si="36"/>
        <v>24341212.782855783</v>
      </c>
    </row>
    <row r="113" spans="2:111" outlineLevel="1" x14ac:dyDescent="0.25">
      <c r="C113" s="91"/>
      <c r="E113" t="s">
        <v>1012</v>
      </c>
      <c r="G113" t="s">
        <v>336</v>
      </c>
      <c r="H113" s="63"/>
      <c r="J113" s="101">
        <f>SUM($J$48:$AP$51,$AC$45:$AP$47)</f>
        <v>101521841.6170765</v>
      </c>
      <c r="K113" s="101">
        <f t="shared" ref="K113:BV113" si="37">SUM($J$48:$AP$51,$AC$45:$AP$47)</f>
        <v>101521841.6170765</v>
      </c>
      <c r="L113" s="101">
        <f t="shared" si="37"/>
        <v>101521841.6170765</v>
      </c>
      <c r="M113" s="101">
        <f t="shared" si="37"/>
        <v>101521841.6170765</v>
      </c>
      <c r="N113" s="101">
        <f t="shared" si="37"/>
        <v>101521841.6170765</v>
      </c>
      <c r="O113" s="101">
        <f t="shared" si="37"/>
        <v>101521841.6170765</v>
      </c>
      <c r="P113" s="101">
        <f t="shared" si="37"/>
        <v>101521841.6170765</v>
      </c>
      <c r="Q113" s="101">
        <f t="shared" si="37"/>
        <v>101521841.6170765</v>
      </c>
      <c r="R113" s="101">
        <f t="shared" si="37"/>
        <v>101521841.6170765</v>
      </c>
      <c r="S113" s="101">
        <f t="shared" si="37"/>
        <v>101521841.6170765</v>
      </c>
      <c r="T113" s="101">
        <f t="shared" si="37"/>
        <v>101521841.6170765</v>
      </c>
      <c r="U113" s="101">
        <f t="shared" si="37"/>
        <v>101521841.6170765</v>
      </c>
      <c r="V113" s="101">
        <f t="shared" si="37"/>
        <v>101521841.6170765</v>
      </c>
      <c r="W113" s="101">
        <f t="shared" si="37"/>
        <v>101521841.6170765</v>
      </c>
      <c r="X113" s="101">
        <f t="shared" si="37"/>
        <v>101521841.6170765</v>
      </c>
      <c r="Y113" s="101">
        <f t="shared" si="37"/>
        <v>101521841.6170765</v>
      </c>
      <c r="Z113" s="101">
        <f t="shared" si="37"/>
        <v>101521841.6170765</v>
      </c>
      <c r="AA113" s="101">
        <f t="shared" si="37"/>
        <v>101521841.6170765</v>
      </c>
      <c r="AB113" s="101">
        <f t="shared" si="37"/>
        <v>101521841.6170765</v>
      </c>
      <c r="AC113" s="101">
        <f t="shared" si="37"/>
        <v>101521841.6170765</v>
      </c>
      <c r="AD113" s="101">
        <f t="shared" si="37"/>
        <v>101521841.6170765</v>
      </c>
      <c r="AE113" s="101">
        <f t="shared" si="37"/>
        <v>101521841.6170765</v>
      </c>
      <c r="AF113" s="101">
        <f t="shared" si="37"/>
        <v>101521841.6170765</v>
      </c>
      <c r="AG113" s="101">
        <f t="shared" si="37"/>
        <v>101521841.6170765</v>
      </c>
      <c r="AH113" s="101">
        <f t="shared" si="37"/>
        <v>101521841.6170765</v>
      </c>
      <c r="AI113" s="101">
        <f t="shared" si="37"/>
        <v>101521841.6170765</v>
      </c>
      <c r="AJ113" s="101">
        <f t="shared" si="37"/>
        <v>101521841.6170765</v>
      </c>
      <c r="AK113" s="101">
        <f t="shared" si="37"/>
        <v>101521841.6170765</v>
      </c>
      <c r="AL113" s="101">
        <f t="shared" si="37"/>
        <v>101521841.6170765</v>
      </c>
      <c r="AM113" s="101">
        <f t="shared" si="37"/>
        <v>101521841.6170765</v>
      </c>
      <c r="AN113" s="101">
        <f t="shared" si="37"/>
        <v>101521841.6170765</v>
      </c>
      <c r="AO113" s="101">
        <f t="shared" si="37"/>
        <v>101521841.6170765</v>
      </c>
      <c r="AP113" s="101">
        <f t="shared" si="37"/>
        <v>101521841.6170765</v>
      </c>
      <c r="AQ113" s="101">
        <f t="shared" si="37"/>
        <v>101521841.6170765</v>
      </c>
      <c r="AR113" s="101">
        <f t="shared" si="37"/>
        <v>101521841.6170765</v>
      </c>
      <c r="AS113" s="101">
        <f t="shared" si="37"/>
        <v>101521841.6170765</v>
      </c>
      <c r="AT113" s="101">
        <f t="shared" si="37"/>
        <v>101521841.6170765</v>
      </c>
      <c r="AU113" s="101">
        <f t="shared" si="37"/>
        <v>101521841.6170765</v>
      </c>
      <c r="AV113" s="101">
        <f t="shared" si="37"/>
        <v>101521841.6170765</v>
      </c>
      <c r="AW113" s="101">
        <f t="shared" si="37"/>
        <v>101521841.6170765</v>
      </c>
      <c r="AX113" s="101">
        <f t="shared" si="37"/>
        <v>101521841.6170765</v>
      </c>
      <c r="AY113" s="101">
        <f t="shared" si="37"/>
        <v>101521841.6170765</v>
      </c>
      <c r="AZ113" s="101">
        <f t="shared" si="37"/>
        <v>101521841.6170765</v>
      </c>
      <c r="BA113" s="101">
        <f t="shared" si="37"/>
        <v>101521841.6170765</v>
      </c>
      <c r="BB113" s="101">
        <f t="shared" si="37"/>
        <v>101521841.6170765</v>
      </c>
      <c r="BC113" s="101">
        <f t="shared" si="37"/>
        <v>101521841.6170765</v>
      </c>
      <c r="BD113" s="101">
        <f t="shared" si="37"/>
        <v>101521841.6170765</v>
      </c>
      <c r="BE113" s="101">
        <f t="shared" si="37"/>
        <v>101521841.6170765</v>
      </c>
      <c r="BF113" s="101">
        <f t="shared" si="37"/>
        <v>101521841.6170765</v>
      </c>
      <c r="BG113" s="101">
        <f t="shared" si="37"/>
        <v>101521841.6170765</v>
      </c>
      <c r="BH113" s="101">
        <f t="shared" si="37"/>
        <v>101521841.6170765</v>
      </c>
      <c r="BI113" s="101">
        <f t="shared" si="37"/>
        <v>101521841.6170765</v>
      </c>
      <c r="BJ113" s="101">
        <f t="shared" si="37"/>
        <v>101521841.6170765</v>
      </c>
      <c r="BK113" s="101">
        <f t="shared" si="37"/>
        <v>101521841.6170765</v>
      </c>
      <c r="BL113" s="101">
        <f t="shared" si="37"/>
        <v>101521841.6170765</v>
      </c>
      <c r="BM113" s="101">
        <f t="shared" si="37"/>
        <v>101521841.6170765</v>
      </c>
      <c r="BN113" s="101">
        <f t="shared" si="37"/>
        <v>101521841.6170765</v>
      </c>
      <c r="BO113" s="101">
        <f t="shared" si="37"/>
        <v>101521841.6170765</v>
      </c>
      <c r="BP113" s="101">
        <f t="shared" si="37"/>
        <v>101521841.6170765</v>
      </c>
      <c r="BQ113" s="101">
        <f t="shared" si="37"/>
        <v>101521841.6170765</v>
      </c>
      <c r="BR113" s="101">
        <f t="shared" si="37"/>
        <v>101521841.6170765</v>
      </c>
      <c r="BS113" s="101">
        <f t="shared" si="37"/>
        <v>101521841.6170765</v>
      </c>
      <c r="BT113" s="101">
        <f t="shared" si="37"/>
        <v>101521841.6170765</v>
      </c>
      <c r="BU113" s="101">
        <f t="shared" si="37"/>
        <v>101521841.6170765</v>
      </c>
      <c r="BV113" s="101">
        <f t="shared" si="37"/>
        <v>101521841.6170765</v>
      </c>
      <c r="BW113" s="101">
        <f t="shared" ref="BW113:DD113" si="38">SUM($J$48:$AP$51,$AC$45:$AP$47)</f>
        <v>101521841.6170765</v>
      </c>
      <c r="BX113" s="101">
        <f t="shared" si="38"/>
        <v>101521841.6170765</v>
      </c>
      <c r="BY113" s="101">
        <f t="shared" si="38"/>
        <v>101521841.6170765</v>
      </c>
      <c r="BZ113" s="101">
        <f t="shared" si="38"/>
        <v>101521841.6170765</v>
      </c>
      <c r="CA113" s="101">
        <f t="shared" si="38"/>
        <v>101521841.6170765</v>
      </c>
      <c r="CB113" s="101">
        <f t="shared" si="38"/>
        <v>101521841.6170765</v>
      </c>
      <c r="CC113" s="101">
        <f t="shared" si="38"/>
        <v>101521841.6170765</v>
      </c>
      <c r="CD113" s="101">
        <f t="shared" si="38"/>
        <v>101521841.6170765</v>
      </c>
      <c r="CE113" s="101">
        <f t="shared" si="38"/>
        <v>101521841.6170765</v>
      </c>
      <c r="CF113" s="101">
        <f t="shared" si="38"/>
        <v>101521841.6170765</v>
      </c>
      <c r="CG113" s="101">
        <f t="shared" si="38"/>
        <v>101521841.6170765</v>
      </c>
      <c r="CH113" s="101">
        <f t="shared" si="38"/>
        <v>101521841.6170765</v>
      </c>
      <c r="CI113" s="101">
        <f t="shared" si="38"/>
        <v>101521841.6170765</v>
      </c>
      <c r="CJ113" s="101">
        <f t="shared" si="38"/>
        <v>101521841.6170765</v>
      </c>
      <c r="CK113" s="101">
        <f t="shared" si="38"/>
        <v>101521841.6170765</v>
      </c>
      <c r="CL113" s="101">
        <f t="shared" si="38"/>
        <v>101521841.6170765</v>
      </c>
      <c r="CM113" s="101">
        <f t="shared" si="38"/>
        <v>101521841.6170765</v>
      </c>
      <c r="CN113" s="101">
        <f t="shared" si="38"/>
        <v>101521841.6170765</v>
      </c>
      <c r="CO113" s="101">
        <f t="shared" si="38"/>
        <v>101521841.6170765</v>
      </c>
      <c r="CP113" s="101">
        <f t="shared" si="38"/>
        <v>101521841.6170765</v>
      </c>
      <c r="CQ113" s="101">
        <f t="shared" si="38"/>
        <v>101521841.6170765</v>
      </c>
      <c r="CR113" s="101">
        <f t="shared" si="38"/>
        <v>101521841.6170765</v>
      </c>
      <c r="CS113" s="101">
        <f t="shared" si="38"/>
        <v>101521841.6170765</v>
      </c>
      <c r="CT113" s="101">
        <f t="shared" si="38"/>
        <v>101521841.6170765</v>
      </c>
      <c r="CU113" s="101">
        <f t="shared" si="38"/>
        <v>101521841.6170765</v>
      </c>
      <c r="CV113" s="101">
        <f t="shared" si="38"/>
        <v>101521841.6170765</v>
      </c>
      <c r="CW113" s="101">
        <f t="shared" si="38"/>
        <v>101521841.6170765</v>
      </c>
      <c r="CX113" s="101">
        <f t="shared" si="38"/>
        <v>101521841.6170765</v>
      </c>
      <c r="CY113" s="101">
        <f t="shared" si="38"/>
        <v>101521841.6170765</v>
      </c>
      <c r="CZ113" s="101">
        <f t="shared" si="38"/>
        <v>101521841.6170765</v>
      </c>
      <c r="DA113" s="101">
        <f t="shared" si="38"/>
        <v>101521841.6170765</v>
      </c>
      <c r="DB113" s="101">
        <f t="shared" si="38"/>
        <v>101521841.6170765</v>
      </c>
      <c r="DC113" s="101">
        <f t="shared" si="38"/>
        <v>101521841.6170765</v>
      </c>
      <c r="DD113" s="101">
        <f t="shared" si="38"/>
        <v>101521841.6170765</v>
      </c>
    </row>
    <row r="114" spans="2:111" outlineLevel="1" x14ac:dyDescent="0.25">
      <c r="C114" s="91"/>
      <c r="E114" t="s">
        <v>1013</v>
      </c>
      <c r="G114" t="s">
        <v>336</v>
      </c>
      <c r="H114" s="63"/>
      <c r="J114" s="79"/>
      <c r="K114" s="101">
        <f t="shared" ref="K114:AP114" si="39">J114+J112*(K111-J111)*ten</f>
        <v>1378630.5974605961</v>
      </c>
      <c r="L114" s="101">
        <f t="shared" si="39"/>
        <v>1448064.500556936</v>
      </c>
      <c r="M114" s="101">
        <f t="shared" si="39"/>
        <v>2102697.629322757</v>
      </c>
      <c r="N114" s="101">
        <f t="shared" si="39"/>
        <v>7920792.387727662</v>
      </c>
      <c r="O114" s="101">
        <f t="shared" si="39"/>
        <v>11656025.842061128</v>
      </c>
      <c r="P114" s="101">
        <f t="shared" si="39"/>
        <v>14250727.859880811</v>
      </c>
      <c r="Q114" s="101">
        <f t="shared" si="39"/>
        <v>18096983.363655716</v>
      </c>
      <c r="R114" s="101">
        <f t="shared" si="39"/>
        <v>20915026.709336139</v>
      </c>
      <c r="S114" s="101">
        <f t="shared" si="39"/>
        <v>21088561.82067075</v>
      </c>
      <c r="T114" s="101">
        <f t="shared" si="39"/>
        <v>26495378.140595675</v>
      </c>
      <c r="U114" s="101">
        <f t="shared" si="39"/>
        <v>28814277.705715097</v>
      </c>
      <c r="V114" s="101">
        <f t="shared" si="39"/>
        <v>28914048.945326988</v>
      </c>
      <c r="W114" s="101">
        <f t="shared" si="39"/>
        <v>30510390.194107648</v>
      </c>
      <c r="X114" s="101">
        <f t="shared" si="39"/>
        <v>34513224.349789396</v>
      </c>
      <c r="Y114" s="101">
        <f t="shared" si="39"/>
        <v>44297058.009275228</v>
      </c>
      <c r="Z114" s="101">
        <f t="shared" si="39"/>
        <v>83261649.325501949</v>
      </c>
      <c r="AA114" s="101">
        <f t="shared" si="39"/>
        <v>86524264.457699329</v>
      </c>
      <c r="AB114" s="101">
        <f t="shared" si="39"/>
        <v>93564404.261909261</v>
      </c>
      <c r="AC114" s="101">
        <f t="shared" si="39"/>
        <v>96043308.450332046</v>
      </c>
      <c r="AD114" s="101">
        <f t="shared" si="39"/>
        <v>123386074.02247003</v>
      </c>
      <c r="AE114" s="101">
        <f t="shared" si="39"/>
        <v>125479792.71716841</v>
      </c>
      <c r="AF114" s="101">
        <f t="shared" si="39"/>
        <v>138248076.72175226</v>
      </c>
      <c r="AG114" s="101">
        <f t="shared" si="39"/>
        <v>148798121.20118928</v>
      </c>
      <c r="AH114" s="101">
        <f t="shared" si="39"/>
        <v>168596788.54177538</v>
      </c>
      <c r="AI114" s="101">
        <f t="shared" si="39"/>
        <v>172869328.81452739</v>
      </c>
      <c r="AJ114" s="101">
        <f t="shared" si="39"/>
        <v>193316125.48751765</v>
      </c>
      <c r="AK114" s="101">
        <f t="shared" si="39"/>
        <v>193724852.30344626</v>
      </c>
      <c r="AL114" s="101">
        <f t="shared" si="39"/>
        <v>194148705.26495531</v>
      </c>
      <c r="AM114" s="101">
        <f t="shared" si="39"/>
        <v>194365029.44906735</v>
      </c>
      <c r="AN114" s="101">
        <f t="shared" si="39"/>
        <v>194964670.62333623</v>
      </c>
      <c r="AO114" s="101">
        <f t="shared" si="39"/>
        <v>197269822.70134979</v>
      </c>
      <c r="AP114" s="101">
        <f t="shared" si="39"/>
        <v>197771787.92119813</v>
      </c>
      <c r="AQ114" s="101">
        <f t="shared" ref="AQ114:BV114" si="40">AP114+AP112*(AQ111-AP111)*ten</f>
        <v>199779633.36409804</v>
      </c>
      <c r="AR114" s="101">
        <f t="shared" si="40"/>
        <v>201498233.58042666</v>
      </c>
      <c r="AS114" s="101">
        <f t="shared" si="40"/>
        <v>202031529.31592858</v>
      </c>
      <c r="AT114" s="101">
        <f t="shared" si="40"/>
        <v>203882700.74386162</v>
      </c>
      <c r="AU114" s="101">
        <f t="shared" si="40"/>
        <v>203882700.74386162</v>
      </c>
      <c r="AV114" s="101">
        <f t="shared" si="40"/>
        <v>203882700.74386162</v>
      </c>
      <c r="AW114" s="101">
        <f t="shared" si="40"/>
        <v>203882700.74386162</v>
      </c>
      <c r="AX114" s="101">
        <f t="shared" si="40"/>
        <v>203882700.74386162</v>
      </c>
      <c r="AY114" s="101">
        <f t="shared" si="40"/>
        <v>203882700.74386162</v>
      </c>
      <c r="AZ114" s="101">
        <f t="shared" si="40"/>
        <v>203882700.74386162</v>
      </c>
      <c r="BA114" s="101">
        <f t="shared" si="40"/>
        <v>203882700.74386162</v>
      </c>
      <c r="BB114" s="101">
        <f t="shared" si="40"/>
        <v>203882700.74386162</v>
      </c>
      <c r="BC114" s="101">
        <f t="shared" si="40"/>
        <v>203882700.74386162</v>
      </c>
      <c r="BD114" s="101">
        <f t="shared" si="40"/>
        <v>203882700.74386162</v>
      </c>
      <c r="BE114" s="101">
        <f t="shared" si="40"/>
        <v>203882700.74386162</v>
      </c>
      <c r="BF114" s="101">
        <f t="shared" si="40"/>
        <v>203882700.74386162</v>
      </c>
      <c r="BG114" s="101">
        <f t="shared" si="40"/>
        <v>203882700.74386162</v>
      </c>
      <c r="BH114" s="101">
        <f t="shared" si="40"/>
        <v>203882700.74386162</v>
      </c>
      <c r="BI114" s="101">
        <f t="shared" si="40"/>
        <v>203882700.74386162</v>
      </c>
      <c r="BJ114" s="101">
        <f t="shared" si="40"/>
        <v>203882700.74386162</v>
      </c>
      <c r="BK114" s="101">
        <f t="shared" si="40"/>
        <v>203882700.74386162</v>
      </c>
      <c r="BL114" s="101">
        <f t="shared" si="40"/>
        <v>203882700.74386162</v>
      </c>
      <c r="BM114" s="101">
        <f t="shared" si="40"/>
        <v>203882700.74386162</v>
      </c>
      <c r="BN114" s="101">
        <f t="shared" si="40"/>
        <v>203882700.74386162</v>
      </c>
      <c r="BO114" s="101">
        <f t="shared" si="40"/>
        <v>203882700.74386162</v>
      </c>
      <c r="BP114" s="101">
        <f t="shared" si="40"/>
        <v>203882700.74386162</v>
      </c>
      <c r="BQ114" s="101">
        <f t="shared" si="40"/>
        <v>203882700.74386162</v>
      </c>
      <c r="BR114" s="101">
        <f t="shared" si="40"/>
        <v>203882700.74386162</v>
      </c>
      <c r="BS114" s="101">
        <f t="shared" si="40"/>
        <v>203882700.74386162</v>
      </c>
      <c r="BT114" s="101">
        <f t="shared" si="40"/>
        <v>203882700.74386162</v>
      </c>
      <c r="BU114" s="101">
        <f t="shared" si="40"/>
        <v>203882700.74386162</v>
      </c>
      <c r="BV114" s="101">
        <f t="shared" si="40"/>
        <v>203882700.74386162</v>
      </c>
      <c r="BW114" s="101">
        <f t="shared" ref="BW114:DD114" si="41">BV114+BV112*(BW111-BV111)*ten</f>
        <v>203882700.74386162</v>
      </c>
      <c r="BX114" s="101">
        <f t="shared" si="41"/>
        <v>203882700.74386162</v>
      </c>
      <c r="BY114" s="101">
        <f t="shared" si="41"/>
        <v>203882700.74386162</v>
      </c>
      <c r="BZ114" s="101">
        <f t="shared" si="41"/>
        <v>203882700.74386162</v>
      </c>
      <c r="CA114" s="101">
        <f t="shared" si="41"/>
        <v>203882700.74386162</v>
      </c>
      <c r="CB114" s="101">
        <f t="shared" si="41"/>
        <v>203882700.74386162</v>
      </c>
      <c r="CC114" s="101">
        <f t="shared" si="41"/>
        <v>203882700.74386162</v>
      </c>
      <c r="CD114" s="101">
        <f t="shared" si="41"/>
        <v>203882700.74386162</v>
      </c>
      <c r="CE114" s="101">
        <f t="shared" si="41"/>
        <v>207309838.53448388</v>
      </c>
      <c r="CF114" s="101">
        <f t="shared" si="41"/>
        <v>207309838.53448388</v>
      </c>
      <c r="CG114" s="101">
        <f t="shared" si="41"/>
        <v>210698284.45907649</v>
      </c>
      <c r="CH114" s="101">
        <f t="shared" si="41"/>
        <v>210698284.45907649</v>
      </c>
      <c r="CI114" s="101">
        <f t="shared" si="41"/>
        <v>211966335.37916851</v>
      </c>
      <c r="CJ114" s="101">
        <f t="shared" si="41"/>
        <v>211966335.37916851</v>
      </c>
      <c r="CK114" s="101">
        <f t="shared" si="41"/>
        <v>268879037.56089795</v>
      </c>
      <c r="CL114" s="101">
        <f t="shared" si="41"/>
        <v>268879037.56089795</v>
      </c>
      <c r="CM114" s="101">
        <f t="shared" si="41"/>
        <v>287387156.84706306</v>
      </c>
      <c r="CN114" s="101">
        <f t="shared" si="41"/>
        <v>287387156.84706306</v>
      </c>
      <c r="CO114" s="101">
        <f t="shared" si="41"/>
        <v>317794850.23968989</v>
      </c>
      <c r="CP114" s="101">
        <f t="shared" si="41"/>
        <v>317794850.23968989</v>
      </c>
      <c r="CQ114" s="101">
        <f t="shared" si="41"/>
        <v>336455494.02810943</v>
      </c>
      <c r="CR114" s="101">
        <f t="shared" si="41"/>
        <v>336455494.02810943</v>
      </c>
      <c r="CS114" s="101">
        <f t="shared" si="41"/>
        <v>337269782.24817479</v>
      </c>
      <c r="CT114" s="101">
        <f t="shared" si="41"/>
        <v>337269782.24817479</v>
      </c>
      <c r="CU114" s="101">
        <f t="shared" si="41"/>
        <v>337269782.24817479</v>
      </c>
      <c r="CV114" s="101">
        <f t="shared" si="41"/>
        <v>356701222.24195701</v>
      </c>
      <c r="CW114" s="101">
        <f t="shared" si="41"/>
        <v>356701222.24195701</v>
      </c>
      <c r="CX114" s="101">
        <f t="shared" si="41"/>
        <v>356701222.24195701</v>
      </c>
      <c r="CY114" s="101">
        <f t="shared" si="41"/>
        <v>887701816.16705894</v>
      </c>
      <c r="CZ114" s="101">
        <f t="shared" si="41"/>
        <v>887701816.16705894</v>
      </c>
      <c r="DA114" s="101">
        <f t="shared" si="41"/>
        <v>1251909245.0091794</v>
      </c>
      <c r="DB114" s="101">
        <f t="shared" si="41"/>
        <v>1251909245.0091794</v>
      </c>
      <c r="DC114" s="101">
        <f t="shared" si="41"/>
        <v>1395510485.6225975</v>
      </c>
      <c r="DD114" s="101">
        <f t="shared" si="41"/>
        <v>1395510485.6225975</v>
      </c>
    </row>
    <row r="115" spans="2:111" outlineLevel="1" x14ac:dyDescent="0.25">
      <c r="C115" s="91"/>
      <c r="E115" t="s">
        <v>1014</v>
      </c>
      <c r="G115" t="s">
        <v>336</v>
      </c>
      <c r="H115" s="63"/>
      <c r="J115" s="101">
        <f>SUM(J113:J114)</f>
        <v>101521841.6170765</v>
      </c>
      <c r="K115" s="101">
        <f t="shared" ref="K115:BV115" si="42">SUM(K113:K114)</f>
        <v>102900472.2145371</v>
      </c>
      <c r="L115" s="101">
        <f t="shared" si="42"/>
        <v>102969906.11763343</v>
      </c>
      <c r="M115" s="101">
        <f t="shared" si="42"/>
        <v>103624539.24639925</v>
      </c>
      <c r="N115" s="101">
        <f t="shared" si="42"/>
        <v>109442634.00480416</v>
      </c>
      <c r="O115" s="101">
        <f t="shared" si="42"/>
        <v>113177867.45913763</v>
      </c>
      <c r="P115" s="101">
        <f t="shared" si="42"/>
        <v>115772569.47695731</v>
      </c>
      <c r="Q115" s="101">
        <f t="shared" si="42"/>
        <v>119618824.98073222</v>
      </c>
      <c r="R115" s="101">
        <f t="shared" si="42"/>
        <v>122436868.32641265</v>
      </c>
      <c r="S115" s="101">
        <f t="shared" si="42"/>
        <v>122610403.43774725</v>
      </c>
      <c r="T115" s="101">
        <f t="shared" si="42"/>
        <v>128017219.75767218</v>
      </c>
      <c r="U115" s="101">
        <f t="shared" si="42"/>
        <v>130336119.32279161</v>
      </c>
      <c r="V115" s="101">
        <f t="shared" si="42"/>
        <v>130435890.56240349</v>
      </c>
      <c r="W115" s="101">
        <f t="shared" si="42"/>
        <v>132032231.81118415</v>
      </c>
      <c r="X115" s="101">
        <f t="shared" si="42"/>
        <v>136035065.9668659</v>
      </c>
      <c r="Y115" s="101">
        <f t="shared" si="42"/>
        <v>145818899.62635171</v>
      </c>
      <c r="Z115" s="101">
        <f t="shared" si="42"/>
        <v>184783490.94257843</v>
      </c>
      <c r="AA115" s="101">
        <f t="shared" si="42"/>
        <v>188046106.07477582</v>
      </c>
      <c r="AB115" s="101">
        <f t="shared" si="42"/>
        <v>195086245.87898576</v>
      </c>
      <c r="AC115" s="101">
        <f t="shared" si="42"/>
        <v>197565150.06740856</v>
      </c>
      <c r="AD115" s="101">
        <f t="shared" si="42"/>
        <v>224907915.63954651</v>
      </c>
      <c r="AE115" s="101">
        <f t="shared" si="42"/>
        <v>227001634.33424491</v>
      </c>
      <c r="AF115" s="101">
        <f t="shared" si="42"/>
        <v>239769918.33882874</v>
      </c>
      <c r="AG115" s="101">
        <f t="shared" si="42"/>
        <v>250319962.8182658</v>
      </c>
      <c r="AH115" s="101">
        <f t="shared" si="42"/>
        <v>270118630.15885186</v>
      </c>
      <c r="AI115" s="101">
        <f t="shared" si="42"/>
        <v>274391170.43160391</v>
      </c>
      <c r="AJ115" s="101">
        <f t="shared" si="42"/>
        <v>294837967.10459417</v>
      </c>
      <c r="AK115" s="101">
        <f t="shared" si="42"/>
        <v>295246693.92052275</v>
      </c>
      <c r="AL115" s="101">
        <f t="shared" si="42"/>
        <v>295670546.8820318</v>
      </c>
      <c r="AM115" s="101">
        <f t="shared" si="42"/>
        <v>295886871.06614387</v>
      </c>
      <c r="AN115" s="101">
        <f t="shared" si="42"/>
        <v>296486512.24041271</v>
      </c>
      <c r="AO115" s="101">
        <f t="shared" si="42"/>
        <v>298791664.31842631</v>
      </c>
      <c r="AP115" s="101">
        <f t="shared" si="42"/>
        <v>299293629.53827465</v>
      </c>
      <c r="AQ115" s="101">
        <f t="shared" si="42"/>
        <v>301301474.98117453</v>
      </c>
      <c r="AR115" s="101">
        <f t="shared" si="42"/>
        <v>303020075.19750315</v>
      </c>
      <c r="AS115" s="101">
        <f t="shared" si="42"/>
        <v>303553370.93300509</v>
      </c>
      <c r="AT115" s="101">
        <f t="shared" si="42"/>
        <v>305404542.36093813</v>
      </c>
      <c r="AU115" s="101">
        <f t="shared" si="42"/>
        <v>305404542.36093813</v>
      </c>
      <c r="AV115" s="101">
        <f t="shared" si="42"/>
        <v>305404542.36093813</v>
      </c>
      <c r="AW115" s="101">
        <f t="shared" si="42"/>
        <v>305404542.36093813</v>
      </c>
      <c r="AX115" s="101">
        <f t="shared" si="42"/>
        <v>305404542.36093813</v>
      </c>
      <c r="AY115" s="101">
        <f t="shared" si="42"/>
        <v>305404542.36093813</v>
      </c>
      <c r="AZ115" s="101">
        <f t="shared" si="42"/>
        <v>305404542.36093813</v>
      </c>
      <c r="BA115" s="101">
        <f t="shared" si="42"/>
        <v>305404542.36093813</v>
      </c>
      <c r="BB115" s="101">
        <f t="shared" si="42"/>
        <v>305404542.36093813</v>
      </c>
      <c r="BC115" s="101">
        <f t="shared" si="42"/>
        <v>305404542.36093813</v>
      </c>
      <c r="BD115" s="101">
        <f t="shared" si="42"/>
        <v>305404542.36093813</v>
      </c>
      <c r="BE115" s="101">
        <f t="shared" si="42"/>
        <v>305404542.36093813</v>
      </c>
      <c r="BF115" s="101">
        <f t="shared" si="42"/>
        <v>305404542.36093813</v>
      </c>
      <c r="BG115" s="101">
        <f t="shared" si="42"/>
        <v>305404542.36093813</v>
      </c>
      <c r="BH115" s="101">
        <f t="shared" si="42"/>
        <v>305404542.36093813</v>
      </c>
      <c r="BI115" s="101">
        <f t="shared" si="42"/>
        <v>305404542.36093813</v>
      </c>
      <c r="BJ115" s="101">
        <f t="shared" si="42"/>
        <v>305404542.36093813</v>
      </c>
      <c r="BK115" s="101">
        <f t="shared" si="42"/>
        <v>305404542.36093813</v>
      </c>
      <c r="BL115" s="101">
        <f t="shared" si="42"/>
        <v>305404542.36093813</v>
      </c>
      <c r="BM115" s="101">
        <f t="shared" si="42"/>
        <v>305404542.36093813</v>
      </c>
      <c r="BN115" s="101">
        <f t="shared" si="42"/>
        <v>305404542.36093813</v>
      </c>
      <c r="BO115" s="101">
        <f t="shared" si="42"/>
        <v>305404542.36093813</v>
      </c>
      <c r="BP115" s="101">
        <f t="shared" si="42"/>
        <v>305404542.36093813</v>
      </c>
      <c r="BQ115" s="101">
        <f t="shared" si="42"/>
        <v>305404542.36093813</v>
      </c>
      <c r="BR115" s="101">
        <f t="shared" si="42"/>
        <v>305404542.36093813</v>
      </c>
      <c r="BS115" s="101">
        <f t="shared" si="42"/>
        <v>305404542.36093813</v>
      </c>
      <c r="BT115" s="101">
        <f t="shared" si="42"/>
        <v>305404542.36093813</v>
      </c>
      <c r="BU115" s="101">
        <f t="shared" si="42"/>
        <v>305404542.36093813</v>
      </c>
      <c r="BV115" s="101">
        <f t="shared" si="42"/>
        <v>305404542.36093813</v>
      </c>
      <c r="BW115" s="101">
        <f t="shared" ref="BW115:DD115" si="43">SUM(BW113:BW114)</f>
        <v>305404542.36093813</v>
      </c>
      <c r="BX115" s="101">
        <f t="shared" si="43"/>
        <v>305404542.36093813</v>
      </c>
      <c r="BY115" s="101">
        <f t="shared" si="43"/>
        <v>305404542.36093813</v>
      </c>
      <c r="BZ115" s="101">
        <f t="shared" si="43"/>
        <v>305404542.36093813</v>
      </c>
      <c r="CA115" s="101">
        <f t="shared" si="43"/>
        <v>305404542.36093813</v>
      </c>
      <c r="CB115" s="101">
        <f t="shared" si="43"/>
        <v>305404542.36093813</v>
      </c>
      <c r="CC115" s="101">
        <f t="shared" si="43"/>
        <v>305404542.36093813</v>
      </c>
      <c r="CD115" s="101">
        <f t="shared" si="43"/>
        <v>305404542.36093813</v>
      </c>
      <c r="CE115" s="101">
        <f t="shared" si="43"/>
        <v>308831680.15156037</v>
      </c>
      <c r="CF115" s="101">
        <f t="shared" si="43"/>
        <v>308831680.15156037</v>
      </c>
      <c r="CG115" s="101">
        <f t="shared" si="43"/>
        <v>312220126.07615298</v>
      </c>
      <c r="CH115" s="101">
        <f t="shared" si="43"/>
        <v>312220126.07615298</v>
      </c>
      <c r="CI115" s="101">
        <f t="shared" si="43"/>
        <v>313488176.99624503</v>
      </c>
      <c r="CJ115" s="101">
        <f t="shared" si="43"/>
        <v>313488176.99624503</v>
      </c>
      <c r="CK115" s="101">
        <f t="shared" si="43"/>
        <v>370400879.17797446</v>
      </c>
      <c r="CL115" s="101">
        <f t="shared" si="43"/>
        <v>370400879.17797446</v>
      </c>
      <c r="CM115" s="101">
        <f t="shared" si="43"/>
        <v>388908998.46413958</v>
      </c>
      <c r="CN115" s="101">
        <f t="shared" si="43"/>
        <v>388908998.46413958</v>
      </c>
      <c r="CO115" s="101">
        <f t="shared" si="43"/>
        <v>419316691.8567664</v>
      </c>
      <c r="CP115" s="101">
        <f t="shared" si="43"/>
        <v>419316691.8567664</v>
      </c>
      <c r="CQ115" s="101">
        <f t="shared" si="43"/>
        <v>437977335.64518595</v>
      </c>
      <c r="CR115" s="101">
        <f t="shared" si="43"/>
        <v>437977335.64518595</v>
      </c>
      <c r="CS115" s="101">
        <f t="shared" si="43"/>
        <v>438791623.8652513</v>
      </c>
      <c r="CT115" s="101">
        <f t="shared" si="43"/>
        <v>438791623.8652513</v>
      </c>
      <c r="CU115" s="101">
        <f t="shared" si="43"/>
        <v>438791623.8652513</v>
      </c>
      <c r="CV115" s="101">
        <f t="shared" si="43"/>
        <v>458223063.85903352</v>
      </c>
      <c r="CW115" s="101">
        <f t="shared" si="43"/>
        <v>458223063.85903352</v>
      </c>
      <c r="CX115" s="101">
        <f t="shared" si="43"/>
        <v>458223063.85903352</v>
      </c>
      <c r="CY115" s="101">
        <f t="shared" si="43"/>
        <v>989223657.78413546</v>
      </c>
      <c r="CZ115" s="101">
        <f t="shared" si="43"/>
        <v>989223657.78413546</v>
      </c>
      <c r="DA115" s="101">
        <f t="shared" si="43"/>
        <v>1353431086.6262558</v>
      </c>
      <c r="DB115" s="101">
        <f t="shared" si="43"/>
        <v>1353431086.6262558</v>
      </c>
      <c r="DC115" s="101">
        <f t="shared" si="43"/>
        <v>1497032327.2396739</v>
      </c>
      <c r="DD115" s="101">
        <f t="shared" si="43"/>
        <v>1497032327.2396739</v>
      </c>
    </row>
    <row r="116" spans="2:111" outlineLevel="1" x14ac:dyDescent="0.25">
      <c r="C116" s="91"/>
      <c r="E116" t="s">
        <v>864</v>
      </c>
      <c r="G116" t="s">
        <v>336</v>
      </c>
      <c r="H116" s="63"/>
      <c r="J116" s="101">
        <f t="shared" ref="J116:AO116" si="44">$H$37</f>
        <v>495608957.81586874</v>
      </c>
      <c r="K116" s="101">
        <f t="shared" si="44"/>
        <v>495608957.81586874</v>
      </c>
      <c r="L116" s="101">
        <f t="shared" si="44"/>
        <v>495608957.81586874</v>
      </c>
      <c r="M116" s="101">
        <f t="shared" si="44"/>
        <v>495608957.81586874</v>
      </c>
      <c r="N116" s="101">
        <f t="shared" si="44"/>
        <v>495608957.81586874</v>
      </c>
      <c r="O116" s="101">
        <f t="shared" si="44"/>
        <v>495608957.81586874</v>
      </c>
      <c r="P116" s="101">
        <f t="shared" si="44"/>
        <v>495608957.81586874</v>
      </c>
      <c r="Q116" s="101">
        <f t="shared" si="44"/>
        <v>495608957.81586874</v>
      </c>
      <c r="R116" s="101">
        <f t="shared" si="44"/>
        <v>495608957.81586874</v>
      </c>
      <c r="S116" s="101">
        <f t="shared" si="44"/>
        <v>495608957.81586874</v>
      </c>
      <c r="T116" s="101">
        <f t="shared" si="44"/>
        <v>495608957.81586874</v>
      </c>
      <c r="U116" s="101">
        <f t="shared" si="44"/>
        <v>495608957.81586874</v>
      </c>
      <c r="V116" s="101">
        <f t="shared" si="44"/>
        <v>495608957.81586874</v>
      </c>
      <c r="W116" s="101">
        <f t="shared" si="44"/>
        <v>495608957.81586874</v>
      </c>
      <c r="X116" s="101">
        <f t="shared" si="44"/>
        <v>495608957.81586874</v>
      </c>
      <c r="Y116" s="101">
        <f t="shared" si="44"/>
        <v>495608957.81586874</v>
      </c>
      <c r="Z116" s="101">
        <f t="shared" si="44"/>
        <v>495608957.81586874</v>
      </c>
      <c r="AA116" s="101">
        <f t="shared" si="44"/>
        <v>495608957.81586874</v>
      </c>
      <c r="AB116" s="101">
        <f t="shared" si="44"/>
        <v>495608957.81586874</v>
      </c>
      <c r="AC116" s="101">
        <f t="shared" si="44"/>
        <v>495608957.81586874</v>
      </c>
      <c r="AD116" s="101">
        <f t="shared" si="44"/>
        <v>495608957.81586874</v>
      </c>
      <c r="AE116" s="101">
        <f t="shared" si="44"/>
        <v>495608957.81586874</v>
      </c>
      <c r="AF116" s="101">
        <f t="shared" si="44"/>
        <v>495608957.81586874</v>
      </c>
      <c r="AG116" s="101">
        <f t="shared" si="44"/>
        <v>495608957.81586874</v>
      </c>
      <c r="AH116" s="101">
        <f t="shared" si="44"/>
        <v>495608957.81586874</v>
      </c>
      <c r="AI116" s="101">
        <f t="shared" si="44"/>
        <v>495608957.81586874</v>
      </c>
      <c r="AJ116" s="101">
        <f t="shared" si="44"/>
        <v>495608957.81586874</v>
      </c>
      <c r="AK116" s="101">
        <f t="shared" si="44"/>
        <v>495608957.81586874</v>
      </c>
      <c r="AL116" s="101">
        <f t="shared" si="44"/>
        <v>495608957.81586874</v>
      </c>
      <c r="AM116" s="101">
        <f t="shared" si="44"/>
        <v>495608957.81586874</v>
      </c>
      <c r="AN116" s="101">
        <f t="shared" si="44"/>
        <v>495608957.81586874</v>
      </c>
      <c r="AO116" s="101">
        <f t="shared" si="44"/>
        <v>495608957.81586874</v>
      </c>
      <c r="AP116" s="101">
        <f t="shared" ref="AP116:BU116" si="45">$H$37</f>
        <v>495608957.81586874</v>
      </c>
      <c r="AQ116" s="101">
        <f t="shared" si="45"/>
        <v>495608957.81586874</v>
      </c>
      <c r="AR116" s="101">
        <f t="shared" si="45"/>
        <v>495608957.81586874</v>
      </c>
      <c r="AS116" s="101">
        <f t="shared" si="45"/>
        <v>495608957.81586874</v>
      </c>
      <c r="AT116" s="101">
        <f t="shared" si="45"/>
        <v>495608957.81586874</v>
      </c>
      <c r="AU116" s="101">
        <f t="shared" si="45"/>
        <v>495608957.81586874</v>
      </c>
      <c r="AV116" s="101">
        <f t="shared" si="45"/>
        <v>495608957.81586874</v>
      </c>
      <c r="AW116" s="101">
        <f t="shared" si="45"/>
        <v>495608957.81586874</v>
      </c>
      <c r="AX116" s="101">
        <f t="shared" si="45"/>
        <v>495608957.81586874</v>
      </c>
      <c r="AY116" s="101">
        <f t="shared" si="45"/>
        <v>495608957.81586874</v>
      </c>
      <c r="AZ116" s="101">
        <f t="shared" si="45"/>
        <v>495608957.81586874</v>
      </c>
      <c r="BA116" s="101">
        <f t="shared" si="45"/>
        <v>495608957.81586874</v>
      </c>
      <c r="BB116" s="101">
        <f t="shared" si="45"/>
        <v>495608957.81586874</v>
      </c>
      <c r="BC116" s="101">
        <f t="shared" si="45"/>
        <v>495608957.81586874</v>
      </c>
      <c r="BD116" s="101">
        <f t="shared" si="45"/>
        <v>495608957.81586874</v>
      </c>
      <c r="BE116" s="101">
        <f t="shared" si="45"/>
        <v>495608957.81586874</v>
      </c>
      <c r="BF116" s="101">
        <f t="shared" si="45"/>
        <v>495608957.81586874</v>
      </c>
      <c r="BG116" s="101">
        <f t="shared" si="45"/>
        <v>495608957.81586874</v>
      </c>
      <c r="BH116" s="101">
        <f t="shared" si="45"/>
        <v>495608957.81586874</v>
      </c>
      <c r="BI116" s="101">
        <f t="shared" si="45"/>
        <v>495608957.81586874</v>
      </c>
      <c r="BJ116" s="101">
        <f t="shared" si="45"/>
        <v>495608957.81586874</v>
      </c>
      <c r="BK116" s="101">
        <f t="shared" si="45"/>
        <v>495608957.81586874</v>
      </c>
      <c r="BL116" s="101">
        <f t="shared" si="45"/>
        <v>495608957.81586874</v>
      </c>
      <c r="BM116" s="101">
        <f t="shared" si="45"/>
        <v>495608957.81586874</v>
      </c>
      <c r="BN116" s="101">
        <f t="shared" si="45"/>
        <v>495608957.81586874</v>
      </c>
      <c r="BO116" s="101">
        <f t="shared" si="45"/>
        <v>495608957.81586874</v>
      </c>
      <c r="BP116" s="101">
        <f t="shared" si="45"/>
        <v>495608957.81586874</v>
      </c>
      <c r="BQ116" s="101">
        <f t="shared" si="45"/>
        <v>495608957.81586874</v>
      </c>
      <c r="BR116" s="101">
        <f t="shared" si="45"/>
        <v>495608957.81586874</v>
      </c>
      <c r="BS116" s="101">
        <f t="shared" si="45"/>
        <v>495608957.81586874</v>
      </c>
      <c r="BT116" s="101">
        <f t="shared" si="45"/>
        <v>495608957.81586874</v>
      </c>
      <c r="BU116" s="101">
        <f t="shared" si="45"/>
        <v>495608957.81586874</v>
      </c>
      <c r="BV116" s="101">
        <f t="shared" ref="BV116:DD116" si="46">$H$37</f>
        <v>495608957.81586874</v>
      </c>
      <c r="BW116" s="101">
        <f t="shared" si="46"/>
        <v>495608957.81586874</v>
      </c>
      <c r="BX116" s="101">
        <f t="shared" si="46"/>
        <v>495608957.81586874</v>
      </c>
      <c r="BY116" s="101">
        <f t="shared" si="46"/>
        <v>495608957.81586874</v>
      </c>
      <c r="BZ116" s="101">
        <f t="shared" si="46"/>
        <v>495608957.81586874</v>
      </c>
      <c r="CA116" s="101">
        <f t="shared" si="46"/>
        <v>495608957.81586874</v>
      </c>
      <c r="CB116" s="101">
        <f t="shared" si="46"/>
        <v>495608957.81586874</v>
      </c>
      <c r="CC116" s="101">
        <f t="shared" si="46"/>
        <v>495608957.81586874</v>
      </c>
      <c r="CD116" s="101">
        <f t="shared" si="46"/>
        <v>495608957.81586874</v>
      </c>
      <c r="CE116" s="101">
        <f t="shared" si="46"/>
        <v>495608957.81586874</v>
      </c>
      <c r="CF116" s="101">
        <f t="shared" si="46"/>
        <v>495608957.81586874</v>
      </c>
      <c r="CG116" s="101">
        <f t="shared" si="46"/>
        <v>495608957.81586874</v>
      </c>
      <c r="CH116" s="101">
        <f t="shared" si="46"/>
        <v>495608957.81586874</v>
      </c>
      <c r="CI116" s="101">
        <f t="shared" si="46"/>
        <v>495608957.81586874</v>
      </c>
      <c r="CJ116" s="101">
        <f t="shared" si="46"/>
        <v>495608957.81586874</v>
      </c>
      <c r="CK116" s="101">
        <f t="shared" si="46"/>
        <v>495608957.81586874</v>
      </c>
      <c r="CL116" s="101">
        <f t="shared" si="46"/>
        <v>495608957.81586874</v>
      </c>
      <c r="CM116" s="101">
        <f t="shared" si="46"/>
        <v>495608957.81586874</v>
      </c>
      <c r="CN116" s="101">
        <f t="shared" si="46"/>
        <v>495608957.81586874</v>
      </c>
      <c r="CO116" s="101">
        <f t="shared" si="46"/>
        <v>495608957.81586874</v>
      </c>
      <c r="CP116" s="101">
        <f t="shared" si="46"/>
        <v>495608957.81586874</v>
      </c>
      <c r="CQ116" s="101">
        <f t="shared" si="46"/>
        <v>495608957.81586874</v>
      </c>
      <c r="CR116" s="101">
        <f t="shared" si="46"/>
        <v>495608957.81586874</v>
      </c>
      <c r="CS116" s="101">
        <f t="shared" si="46"/>
        <v>495608957.81586874</v>
      </c>
      <c r="CT116" s="101">
        <f t="shared" si="46"/>
        <v>495608957.81586874</v>
      </c>
      <c r="CU116" s="101">
        <f t="shared" si="46"/>
        <v>495608957.81586874</v>
      </c>
      <c r="CV116" s="101">
        <f t="shared" si="46"/>
        <v>495608957.81586874</v>
      </c>
      <c r="CW116" s="101">
        <f t="shared" si="46"/>
        <v>495608957.81586874</v>
      </c>
      <c r="CX116" s="101">
        <f t="shared" si="46"/>
        <v>495608957.81586874</v>
      </c>
      <c r="CY116" s="101">
        <f t="shared" si="46"/>
        <v>495608957.81586874</v>
      </c>
      <c r="CZ116" s="101">
        <f t="shared" si="46"/>
        <v>495608957.81586874</v>
      </c>
      <c r="DA116" s="101">
        <f t="shared" si="46"/>
        <v>495608957.81586874</v>
      </c>
      <c r="DB116" s="101">
        <f t="shared" si="46"/>
        <v>495608957.81586874</v>
      </c>
      <c r="DC116" s="101">
        <f t="shared" si="46"/>
        <v>495608957.81586874</v>
      </c>
      <c r="DD116" s="101">
        <f t="shared" si="46"/>
        <v>495608957.81586874</v>
      </c>
    </row>
    <row r="117" spans="2:111" outlineLevel="1" x14ac:dyDescent="0.25">
      <c r="C117" s="91"/>
      <c r="E117" t="s">
        <v>1015</v>
      </c>
      <c r="G117" t="s">
        <v>328</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t="str">
        <f t="shared" si="48"/>
        <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f t="shared" si="48"/>
        <v>0.78140895094963003</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1016</v>
      </c>
      <c r="E119"/>
      <c r="H119" s="236"/>
      <c r="I119" s="236" t="s">
        <v>191</v>
      </c>
      <c r="DG119" t="s">
        <v>1017</v>
      </c>
    </row>
    <row r="120" spans="2:111" x14ac:dyDescent="0.25">
      <c r="C120" s="32"/>
      <c r="D120" s="29" t="s">
        <v>1018</v>
      </c>
      <c r="H120" s="236"/>
      <c r="I120" s="236"/>
    </row>
    <row r="121" spans="2:111" x14ac:dyDescent="0.25">
      <c r="C121" s="32"/>
      <c r="D121" s="29" t="s">
        <v>1019</v>
      </c>
      <c r="H121" s="236"/>
      <c r="I121" s="236"/>
    </row>
    <row r="122" spans="2:111" x14ac:dyDescent="0.25">
      <c r="C122" s="32"/>
      <c r="D122" s="29"/>
      <c r="H122" s="236"/>
      <c r="I122" s="236"/>
    </row>
    <row r="123" spans="2:111" x14ac:dyDescent="0.25">
      <c r="C123" s="91"/>
      <c r="E123" t="s">
        <v>1016</v>
      </c>
      <c r="G123" t="s">
        <v>328</v>
      </c>
      <c r="H123" s="322">
        <f>MIN(H117:DD117)</f>
        <v>0.78140895094963003</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1020</v>
      </c>
    </row>
    <row r="128" spans="2:111" x14ac:dyDescent="0.25">
      <c r="B128" s="29"/>
      <c r="C128" s="29" t="s">
        <v>1021</v>
      </c>
    </row>
    <row r="129" spans="2:111" x14ac:dyDescent="0.25">
      <c r="B129" s="29"/>
      <c r="C129" s="91"/>
    </row>
    <row r="130" spans="2:111" x14ac:dyDescent="0.25">
      <c r="B130" s="29"/>
      <c r="E130" s="91" t="s">
        <v>1022</v>
      </c>
      <c r="F130" s="2"/>
      <c r="I130" t="s">
        <v>191</v>
      </c>
      <c r="DG130" t="s">
        <v>1017</v>
      </c>
    </row>
    <row r="131" spans="2:111" x14ac:dyDescent="0.25">
      <c r="B131" s="29"/>
      <c r="E131" s="29" t="s">
        <v>1023</v>
      </c>
    </row>
    <row r="132" spans="2:111" x14ac:dyDescent="0.25">
      <c r="B132" s="29"/>
      <c r="D132"/>
      <c r="E132" s="29" t="s">
        <v>1024</v>
      </c>
      <c r="F132" s="2"/>
    </row>
    <row r="133" spans="2:111" x14ac:dyDescent="0.25">
      <c r="C133" s="91"/>
      <c r="F133" s="23" t="s">
        <v>1025</v>
      </c>
      <c r="G133" s="23" t="s">
        <v>328</v>
      </c>
      <c r="H133" s="302"/>
      <c r="I133" s="302"/>
      <c r="J133" s="311">
        <f t="shared" ref="J133:AB133" si="49">MAX($H$123,J68)</f>
        <v>0.78140895094963003</v>
      </c>
      <c r="K133" s="311">
        <f t="shared" si="49"/>
        <v>0.78140895094963003</v>
      </c>
      <c r="L133" s="311">
        <f t="shared" si="49"/>
        <v>0.78140895094963003</v>
      </c>
      <c r="M133" s="311">
        <f t="shared" si="49"/>
        <v>0.78140895094963003</v>
      </c>
      <c r="N133" s="311">
        <f t="shared" si="49"/>
        <v>0.78140895094963003</v>
      </c>
      <c r="O133" s="311">
        <f t="shared" si="49"/>
        <v>0.78140895094963003</v>
      </c>
      <c r="P133" s="311">
        <f t="shared" si="49"/>
        <v>0.78140895094963003</v>
      </c>
      <c r="Q133" s="311">
        <f t="shared" si="49"/>
        <v>0.78140895094963003</v>
      </c>
      <c r="R133" s="311">
        <f t="shared" si="49"/>
        <v>0.78140895094963003</v>
      </c>
      <c r="S133" s="311">
        <f t="shared" si="49"/>
        <v>0.78140895094963003</v>
      </c>
      <c r="T133" s="311">
        <f t="shared" si="49"/>
        <v>0.78140895094963003</v>
      </c>
      <c r="U133" s="311">
        <f t="shared" si="49"/>
        <v>0.78140895094963003</v>
      </c>
      <c r="V133" s="311">
        <f t="shared" si="49"/>
        <v>0.78140895094963003</v>
      </c>
      <c r="W133" s="311">
        <f t="shared" si="49"/>
        <v>0.78140895094963003</v>
      </c>
      <c r="X133" s="311">
        <f t="shared" si="49"/>
        <v>0.78140895094963003</v>
      </c>
      <c r="Y133" s="311">
        <f t="shared" si="49"/>
        <v>0.78140895094963003</v>
      </c>
      <c r="Z133" s="311">
        <f t="shared" si="49"/>
        <v>0.78140895094963003</v>
      </c>
      <c r="AA133" s="311">
        <f t="shared" si="49"/>
        <v>0.78140895094963003</v>
      </c>
      <c r="AB133" s="311">
        <f t="shared" si="49"/>
        <v>0.78140895094963003</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1026</v>
      </c>
      <c r="G134" t="s">
        <v>328</v>
      </c>
      <c r="H134" s="304"/>
      <c r="I134" s="304"/>
      <c r="J134" s="305"/>
      <c r="K134" s="312">
        <f>MAX($H$123,K69)</f>
        <v>0.78140895094963003</v>
      </c>
      <c r="L134" s="305"/>
      <c r="M134" s="305"/>
      <c r="N134" s="312">
        <f>MAX($H$123,N69)</f>
        <v>0.78140895094963003</v>
      </c>
      <c r="O134" s="305"/>
      <c r="P134" s="312">
        <f t="shared" ref="P134:W134" si="50">MAX($H$123,P69)</f>
        <v>0.78140895094963003</v>
      </c>
      <c r="Q134" s="312">
        <f t="shared" si="50"/>
        <v>0.78140895094963003</v>
      </c>
      <c r="R134" s="312">
        <f t="shared" si="50"/>
        <v>0.78140895094963003</v>
      </c>
      <c r="S134" s="312">
        <f t="shared" si="50"/>
        <v>0.78140895094963003</v>
      </c>
      <c r="T134" s="312">
        <f t="shared" si="50"/>
        <v>0.78140895094963003</v>
      </c>
      <c r="U134" s="312">
        <f t="shared" si="50"/>
        <v>0.78140895094963003</v>
      </c>
      <c r="V134" s="312">
        <f t="shared" si="50"/>
        <v>0.78140895094963003</v>
      </c>
      <c r="W134" s="312">
        <f t="shared" si="50"/>
        <v>0.78140895094963003</v>
      </c>
      <c r="X134" s="305"/>
      <c r="Y134" s="305"/>
      <c r="Z134" s="305"/>
      <c r="AA134" s="327"/>
      <c r="AB134" s="312">
        <f>MAX($H$123,AB69)</f>
        <v>0.78140895094963003</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1027</v>
      </c>
      <c r="G135" s="37" t="s">
        <v>328</v>
      </c>
      <c r="H135" s="308"/>
      <c r="I135" s="308"/>
      <c r="J135" s="309"/>
      <c r="K135" s="309"/>
      <c r="L135" s="309"/>
      <c r="M135" s="309"/>
      <c r="N135" s="309"/>
      <c r="O135" s="309"/>
      <c r="P135" s="309"/>
      <c r="Q135" s="309"/>
      <c r="R135" s="309"/>
      <c r="S135" s="313">
        <f>MAX($H$123,S70)</f>
        <v>0.78140895094963003</v>
      </c>
      <c r="T135" s="313">
        <f>MAX($H$123,T70)</f>
        <v>0.78140895094963003</v>
      </c>
      <c r="U135" s="313">
        <f>MAX($H$123,U70)</f>
        <v>0.78140895094963003</v>
      </c>
      <c r="V135" s="313">
        <f>MAX($H$123,V70)</f>
        <v>0.78140895094963003</v>
      </c>
      <c r="W135" s="313">
        <f>MAX($H$123,W70)</f>
        <v>0.78140895094963003</v>
      </c>
      <c r="X135" s="309"/>
      <c r="Y135" s="309"/>
      <c r="Z135" s="309"/>
      <c r="AA135" s="309"/>
      <c r="AB135" s="313">
        <f>MAX($H$123,AB70)</f>
        <v>0.78140895094963003</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281</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1028</v>
      </c>
      <c r="G139" s="6" t="s">
        <v>57</v>
      </c>
      <c r="H139" s="204">
        <f>IF(IFERROR(J116, 1) &gt; IFERROR(J115, 0), 0, 1)</f>
        <v>0</v>
      </c>
    </row>
    <row r="141" spans="2:111" x14ac:dyDescent="0.25">
      <c r="E141" t="s">
        <v>282</v>
      </c>
      <c r="G141" s="6" t="s">
        <v>57</v>
      </c>
      <c r="H141" s="204">
        <f t="array" ref="H141">SUM(IF(ISERROR(H20:DE136), 1))</f>
        <v>0</v>
      </c>
    </row>
    <row r="143" spans="2:111" x14ac:dyDescent="0.25">
      <c r="D143"/>
      <c r="E143" s="32" t="s">
        <v>1029</v>
      </c>
      <c r="F143" s="2"/>
    </row>
    <row r="144" spans="2:111" x14ac:dyDescent="0.25">
      <c r="D144"/>
      <c r="E144" s="91"/>
      <c r="F144" s="23" t="s">
        <v>193</v>
      </c>
      <c r="G144" s="23" t="s">
        <v>336</v>
      </c>
      <c r="H144" s="23"/>
      <c r="I144" s="23"/>
      <c r="J144" s="129">
        <f t="shared" ref="J144:AP144" si="51">(J20 + J133) * J29 * ten</f>
        <v>122645529.65455782</v>
      </c>
      <c r="K144" s="129">
        <f t="shared" si="51"/>
        <v>52711144.073027283</v>
      </c>
      <c r="L144" s="129">
        <f t="shared" si="51"/>
        <v>285992.57567977393</v>
      </c>
      <c r="M144" s="129">
        <f t="shared" si="51"/>
        <v>22754686.466625281</v>
      </c>
      <c r="N144" s="129">
        <f t="shared" si="51"/>
        <v>31791918.409242783</v>
      </c>
      <c r="O144" s="129">
        <f t="shared" si="51"/>
        <v>25715.660251969406</v>
      </c>
      <c r="P144" s="129">
        <f t="shared" si="51"/>
        <v>313609.89304841502</v>
      </c>
      <c r="Q144" s="129">
        <f t="shared" si="51"/>
        <v>7.0803941910763246</v>
      </c>
      <c r="R144" s="129">
        <f t="shared" si="51"/>
        <v>32997.150407020126</v>
      </c>
      <c r="S144" s="129">
        <f t="shared" si="51"/>
        <v>219244.92691758112</v>
      </c>
      <c r="T144" s="129">
        <f t="shared" si="51"/>
        <v>1517140.4936338323</v>
      </c>
      <c r="U144" s="129">
        <f t="shared" si="51"/>
        <v>21927750.730788335</v>
      </c>
      <c r="V144" s="129">
        <f t="shared" si="51"/>
        <v>1346579.0754478159</v>
      </c>
      <c r="W144" s="129">
        <f t="shared" si="51"/>
        <v>21646990.051447831</v>
      </c>
      <c r="X144" s="129">
        <f t="shared" si="51"/>
        <v>685786.40830791218</v>
      </c>
      <c r="Y144" s="129">
        <f t="shared" si="51"/>
        <v>591914.98700199171</v>
      </c>
      <c r="Z144" s="129">
        <f t="shared" si="51"/>
        <v>13787.296226534749</v>
      </c>
      <c r="AA144" s="129">
        <f t="shared" si="51"/>
        <v>162793.2168147286</v>
      </c>
      <c r="AB144" s="129">
        <f t="shared" si="51"/>
        <v>2252666.5449223584</v>
      </c>
      <c r="AC144" s="129">
        <f t="shared" si="51"/>
        <v>-9171.3710268760206</v>
      </c>
      <c r="AD144" s="129">
        <f t="shared" si="51"/>
        <v>0</v>
      </c>
      <c r="AE144" s="129">
        <f t="shared" si="51"/>
        <v>-195250.58984291088</v>
      </c>
      <c r="AF144" s="129">
        <f t="shared" si="51"/>
        <v>0</v>
      </c>
      <c r="AG144" s="129">
        <f t="shared" si="51"/>
        <v>-74904.405167552541</v>
      </c>
      <c r="AH144" s="129">
        <f t="shared" si="51"/>
        <v>0</v>
      </c>
      <c r="AI144" s="129">
        <f t="shared" si="51"/>
        <v>-19749.218286511266</v>
      </c>
      <c r="AJ144" s="129">
        <f t="shared" si="51"/>
        <v>0</v>
      </c>
      <c r="AK144" s="129">
        <f t="shared" si="51"/>
        <v>-18238.204844452688</v>
      </c>
      <c r="AL144" s="129">
        <f t="shared" si="51"/>
        <v>0</v>
      </c>
      <c r="AM144" s="129">
        <f t="shared" si="51"/>
        <v>-1581283.2861958535</v>
      </c>
      <c r="AN144" s="129">
        <f t="shared" si="51"/>
        <v>0</v>
      </c>
      <c r="AO144" s="129">
        <f t="shared" si="51"/>
        <v>-2542486.5042234943</v>
      </c>
      <c r="AP144" s="129">
        <f t="shared" si="51"/>
        <v>0</v>
      </c>
    </row>
    <row r="145" spans="2:111" x14ac:dyDescent="0.25">
      <c r="D145"/>
      <c r="E145" s="91"/>
      <c r="F145" t="s">
        <v>194</v>
      </c>
      <c r="G145" t="s">
        <v>336</v>
      </c>
      <c r="J145" s="101">
        <f t="shared" ref="J145:AP145" si="52">(J21 + J134) * J30 * ten</f>
        <v>0</v>
      </c>
      <c r="K145" s="101">
        <f t="shared" si="52"/>
        <v>8500734.9073310625</v>
      </c>
      <c r="L145" s="101">
        <f t="shared" si="52"/>
        <v>0</v>
      </c>
      <c r="M145" s="101">
        <f t="shared" si="52"/>
        <v>0</v>
      </c>
      <c r="N145" s="101">
        <f t="shared" si="52"/>
        <v>3745230.7246996202</v>
      </c>
      <c r="O145" s="101">
        <f t="shared" si="52"/>
        <v>0</v>
      </c>
      <c r="P145" s="101">
        <f t="shared" si="52"/>
        <v>37248.428007227325</v>
      </c>
      <c r="Q145" s="101">
        <f t="shared" si="52"/>
        <v>0</v>
      </c>
      <c r="R145" s="101">
        <f t="shared" si="52"/>
        <v>6672.3935896781459</v>
      </c>
      <c r="S145" s="101">
        <f t="shared" si="52"/>
        <v>132183.34928312182</v>
      </c>
      <c r="T145" s="101">
        <f t="shared" si="52"/>
        <v>1210218.6986458234</v>
      </c>
      <c r="U145" s="101">
        <f t="shared" si="52"/>
        <v>20056840.844670545</v>
      </c>
      <c r="V145" s="101">
        <f t="shared" si="52"/>
        <v>1355076.674498247</v>
      </c>
      <c r="W145" s="101">
        <f t="shared" si="52"/>
        <v>27107667.223783135</v>
      </c>
      <c r="X145" s="101">
        <f t="shared" si="52"/>
        <v>0</v>
      </c>
      <c r="Y145" s="101">
        <f t="shared" si="52"/>
        <v>0</v>
      </c>
      <c r="Z145" s="101">
        <f t="shared" si="52"/>
        <v>0</v>
      </c>
      <c r="AA145" s="101">
        <f t="shared" si="52"/>
        <v>0</v>
      </c>
      <c r="AB145" s="101">
        <f t="shared" si="52"/>
        <v>721673.83508659108</v>
      </c>
      <c r="AC145" s="101">
        <f t="shared" si="52"/>
        <v>0</v>
      </c>
      <c r="AD145" s="101">
        <f t="shared" si="52"/>
        <v>0</v>
      </c>
      <c r="AE145" s="101">
        <f t="shared" si="52"/>
        <v>0</v>
      </c>
      <c r="AF145" s="101">
        <f t="shared" si="52"/>
        <v>0</v>
      </c>
      <c r="AG145" s="101">
        <f t="shared" si="52"/>
        <v>-32698.02866267331</v>
      </c>
      <c r="AH145" s="101">
        <f t="shared" si="52"/>
        <v>0</v>
      </c>
      <c r="AI145" s="101">
        <f t="shared" si="52"/>
        <v>0</v>
      </c>
      <c r="AJ145" s="101">
        <f t="shared" si="52"/>
        <v>0</v>
      </c>
      <c r="AK145" s="101">
        <f t="shared" si="52"/>
        <v>-6487.6926082417922</v>
      </c>
      <c r="AL145" s="101">
        <f t="shared" si="52"/>
        <v>0</v>
      </c>
      <c r="AM145" s="101">
        <f t="shared" si="52"/>
        <v>0</v>
      </c>
      <c r="AN145" s="101">
        <f t="shared" si="52"/>
        <v>0</v>
      </c>
      <c r="AO145" s="101">
        <f t="shared" si="52"/>
        <v>-625887.23386120959</v>
      </c>
      <c r="AP145" s="101">
        <f t="shared" si="52"/>
        <v>0</v>
      </c>
    </row>
    <row r="146" spans="2:111" x14ac:dyDescent="0.25">
      <c r="D146"/>
      <c r="E146" s="91"/>
      <c r="F146" t="s">
        <v>195</v>
      </c>
      <c r="G146" t="s">
        <v>336</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114757.96010993488</v>
      </c>
      <c r="T146" s="101">
        <f t="shared" si="53"/>
        <v>700492.6333435243</v>
      </c>
      <c r="U146" s="101">
        <f t="shared" si="53"/>
        <v>13535646.473638527</v>
      </c>
      <c r="V146" s="101">
        <f t="shared" si="53"/>
        <v>1131678.3127141204</v>
      </c>
      <c r="W146" s="101">
        <f t="shared" si="53"/>
        <v>32258611.496887472</v>
      </c>
      <c r="X146" s="101">
        <f t="shared" si="53"/>
        <v>0</v>
      </c>
      <c r="Y146" s="101">
        <f t="shared" si="53"/>
        <v>0</v>
      </c>
      <c r="Z146" s="101">
        <f t="shared" si="53"/>
        <v>0</v>
      </c>
      <c r="AA146" s="101">
        <f t="shared" si="53"/>
        <v>0</v>
      </c>
      <c r="AB146" s="101">
        <f t="shared" si="53"/>
        <v>2546127.5477602184</v>
      </c>
      <c r="AC146" s="101">
        <f t="shared" si="53"/>
        <v>0</v>
      </c>
      <c r="AD146" s="101">
        <f t="shared" si="53"/>
        <v>0</v>
      </c>
      <c r="AE146" s="101">
        <f t="shared" si="53"/>
        <v>0</v>
      </c>
      <c r="AF146" s="101">
        <f t="shared" si="53"/>
        <v>0</v>
      </c>
      <c r="AG146" s="101">
        <f t="shared" si="53"/>
        <v>-2964.6558762662903</v>
      </c>
      <c r="AH146" s="101">
        <f t="shared" si="53"/>
        <v>0</v>
      </c>
      <c r="AI146" s="101">
        <f t="shared" si="53"/>
        <v>0</v>
      </c>
      <c r="AJ146" s="101">
        <f t="shared" si="53"/>
        <v>0</v>
      </c>
      <c r="AK146" s="101">
        <f t="shared" si="53"/>
        <v>-868.09382383193554</v>
      </c>
      <c r="AL146" s="101">
        <f t="shared" si="53"/>
        <v>0</v>
      </c>
      <c r="AM146" s="101">
        <f t="shared" si="53"/>
        <v>0</v>
      </c>
      <c r="AN146" s="101">
        <f t="shared" si="53"/>
        <v>0</v>
      </c>
      <c r="AO146" s="101">
        <f t="shared" si="53"/>
        <v>-57055.245394928243</v>
      </c>
      <c r="AP146" s="101">
        <f t="shared" si="53"/>
        <v>0</v>
      </c>
    </row>
    <row r="147" spans="2:111" x14ac:dyDescent="0.25">
      <c r="D147"/>
      <c r="E147" s="91"/>
      <c r="F147" t="s">
        <v>196</v>
      </c>
      <c r="G147" t="s">
        <v>336</v>
      </c>
      <c r="J147" s="101">
        <f t="shared" ref="J147:AP147" si="54">J32 * J23 * days_in_year / hundred</f>
        <v>21825581.121979661</v>
      </c>
      <c r="K147" s="101">
        <f t="shared" si="54"/>
        <v>9124910.590191111</v>
      </c>
      <c r="L147" s="101">
        <f t="shared" si="54"/>
        <v>0</v>
      </c>
      <c r="M147" s="101">
        <f t="shared" si="54"/>
        <v>2354111.8654569807</v>
      </c>
      <c r="N147" s="101">
        <f t="shared" si="54"/>
        <v>1995830.3241243202</v>
      </c>
      <c r="O147" s="101">
        <f t="shared" si="54"/>
        <v>0</v>
      </c>
      <c r="P147" s="101">
        <f t="shared" si="54"/>
        <v>29630.596927840314</v>
      </c>
      <c r="Q147" s="101">
        <f t="shared" si="54"/>
        <v>13.01024509407933</v>
      </c>
      <c r="R147" s="101">
        <f t="shared" si="54"/>
        <v>23438.224743975123</v>
      </c>
      <c r="S147" s="101">
        <f t="shared" si="54"/>
        <v>81650.0827871777</v>
      </c>
      <c r="T147" s="101">
        <f t="shared" si="54"/>
        <v>65774.07687495141</v>
      </c>
      <c r="U147" s="101">
        <f t="shared" si="54"/>
        <v>553878.76456158829</v>
      </c>
      <c r="V147" s="101">
        <f t="shared" si="54"/>
        <v>10884.591130387136</v>
      </c>
      <c r="W147" s="101">
        <f t="shared" si="54"/>
        <v>933862.18973133201</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36957.220100811639</v>
      </c>
      <c r="AN147" s="101">
        <f t="shared" si="54"/>
        <v>0</v>
      </c>
      <c r="AO147" s="101">
        <f t="shared" si="54"/>
        <v>38098.873879065162</v>
      </c>
      <c r="AP147" s="101">
        <f t="shared" si="54"/>
        <v>0</v>
      </c>
    </row>
    <row r="148" spans="2:111" x14ac:dyDescent="0.25">
      <c r="D148"/>
      <c r="E148" s="91"/>
      <c r="F148" t="s">
        <v>197</v>
      </c>
      <c r="G148" t="s">
        <v>336</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20966833.096709952</v>
      </c>
      <c r="V148" s="101">
        <f t="shared" si="55"/>
        <v>1750705.9801834957</v>
      </c>
      <c r="W148" s="101">
        <f t="shared" si="55"/>
        <v>43429901.019293979</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198</v>
      </c>
      <c r="G149" t="s">
        <v>336</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904946.30595167389</v>
      </c>
      <c r="V149" s="101">
        <f t="shared" si="56"/>
        <v>58607.887191213857</v>
      </c>
      <c r="W149" s="101">
        <f t="shared" si="56"/>
        <v>1570130.2814697633</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199</v>
      </c>
      <c r="G150" s="37" t="s">
        <v>336</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553415.17887431255</v>
      </c>
      <c r="V150" s="103">
        <f t="shared" si="57"/>
        <v>23518.577681570907</v>
      </c>
      <c r="W150" s="103">
        <f t="shared" si="57"/>
        <v>332034.93130609958</v>
      </c>
      <c r="X150" s="103">
        <f t="shared" si="57"/>
        <v>0</v>
      </c>
      <c r="Y150" s="103">
        <f t="shared" si="57"/>
        <v>0</v>
      </c>
      <c r="Z150" s="103">
        <f t="shared" si="57"/>
        <v>0</v>
      </c>
      <c r="AA150" s="103">
        <f t="shared" si="57"/>
        <v>0</v>
      </c>
      <c r="AB150" s="103">
        <f t="shared" si="57"/>
        <v>0</v>
      </c>
      <c r="AC150" s="103">
        <f t="shared" si="57"/>
        <v>0</v>
      </c>
      <c r="AD150" s="103">
        <f t="shared" si="57"/>
        <v>0</v>
      </c>
      <c r="AE150" s="103">
        <f t="shared" si="57"/>
        <v>3758.8978015362891</v>
      </c>
      <c r="AF150" s="103">
        <f t="shared" si="57"/>
        <v>0</v>
      </c>
      <c r="AG150" s="103">
        <f t="shared" si="57"/>
        <v>1078.0216862728826</v>
      </c>
      <c r="AH150" s="103">
        <f t="shared" si="57"/>
        <v>0</v>
      </c>
      <c r="AI150" s="103">
        <f t="shared" si="57"/>
        <v>385.63702191005132</v>
      </c>
      <c r="AJ150" s="103">
        <f t="shared" si="57"/>
        <v>0</v>
      </c>
      <c r="AK150" s="103">
        <f t="shared" si="57"/>
        <v>397.04586296082545</v>
      </c>
      <c r="AL150" s="103">
        <f t="shared" si="57"/>
        <v>0</v>
      </c>
      <c r="AM150" s="103">
        <f t="shared" si="57"/>
        <v>5923.9173333678218</v>
      </c>
      <c r="AN150" s="103">
        <f t="shared" si="57"/>
        <v>0</v>
      </c>
      <c r="AO150" s="103">
        <f t="shared" si="57"/>
        <v>12627.835788914892</v>
      </c>
      <c r="AP150" s="103">
        <f t="shared" si="57"/>
        <v>0</v>
      </c>
    </row>
    <row r="152" spans="2:111" x14ac:dyDescent="0.25">
      <c r="E152" t="s">
        <v>1030</v>
      </c>
      <c r="G152" t="s">
        <v>336</v>
      </c>
      <c r="H152" s="92">
        <f>SUM(J144:AP150)</f>
        <v>495608957.81586874</v>
      </c>
    </row>
    <row r="154" spans="2:111" x14ac:dyDescent="0.25">
      <c r="E154" t="s">
        <v>1031</v>
      </c>
      <c r="G154" t="s">
        <v>57</v>
      </c>
      <c r="H154" s="204">
        <f>IF(ABS(IFERROR(H152, 0) - H37) &lt; 10^-check_decimals, 0, 1)</f>
        <v>0</v>
      </c>
    </row>
    <row r="156" spans="2:111" x14ac:dyDescent="0.25">
      <c r="E156" t="s">
        <v>1032</v>
      </c>
      <c r="G156" s="6" t="s">
        <v>57</v>
      </c>
      <c r="H156" s="106">
        <f>H139 + H141 + H154</f>
        <v>0</v>
      </c>
    </row>
    <row r="158" spans="2:111" x14ac:dyDescent="0.25">
      <c r="B158" s="30" t="s">
        <v>108</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1033</v>
      </c>
      <c r="E9"/>
    </row>
    <row r="10" spans="1:44" x14ac:dyDescent="0.25">
      <c r="C10" s="29" t="s">
        <v>1034</v>
      </c>
      <c r="E10"/>
    </row>
    <row r="12" spans="1:44" x14ac:dyDescent="0.25">
      <c r="B12" s="30" t="s">
        <v>1035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1036</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1037</v>
      </c>
      <c r="F18" s="32"/>
    </row>
    <row r="19" spans="3:44" x14ac:dyDescent="0.25">
      <c r="E19" s="29" t="s">
        <v>1038</v>
      </c>
      <c r="F19" s="2"/>
    </row>
    <row r="20" spans="3:44" x14ac:dyDescent="0.25">
      <c r="C20" s="91"/>
      <c r="F20" s="23" t="s">
        <v>193</v>
      </c>
      <c r="G20" s="23" t="s">
        <v>328</v>
      </c>
      <c r="H20" s="318"/>
      <c r="I20" s="302"/>
      <c r="J20" s="318">
        <f>'Revenue matching'!J20</f>
        <v>1.3032327686610812</v>
      </c>
      <c r="K20" s="318">
        <f>'Revenue matching'!K20</f>
        <v>1.5579828371812392</v>
      </c>
      <c r="L20" s="318">
        <f>'Revenue matching'!L20</f>
        <v>0.42136182700338609</v>
      </c>
      <c r="M20" s="318">
        <f>'Revenue matching'!M20</f>
        <v>1.1771518740821849</v>
      </c>
      <c r="N20" s="318">
        <f>'Revenue matching'!N20</f>
        <v>1.3349022703744908</v>
      </c>
      <c r="O20" s="318">
        <f>'Revenue matching'!O20</f>
        <v>0.20442076338205489</v>
      </c>
      <c r="P20" s="318">
        <f>'Revenue matching'!P20</f>
        <v>1.2665899217284431</v>
      </c>
      <c r="Q20" s="318">
        <f>'Revenue matching'!Q20</f>
        <v>0.85515803754226605</v>
      </c>
      <c r="R20" s="318">
        <f>'Revenue matching'!R20</f>
        <v>0.51330336925082132</v>
      </c>
      <c r="S20" s="318">
        <f>'Revenue matching'!S20</f>
        <v>7.4441423354702021</v>
      </c>
      <c r="T20" s="318">
        <f>'Revenue matching'!T20</f>
        <v>6.9217403212033002</v>
      </c>
      <c r="U20" s="318">
        <f>'Revenue matching'!U20</f>
        <v>4.9371824361274381</v>
      </c>
      <c r="V20" s="318">
        <f>'Revenue matching'!V20</f>
        <v>3.5400563849451738</v>
      </c>
      <c r="W20" s="318">
        <f>'Revenue matching'!W20</f>
        <v>2.126352169552538</v>
      </c>
      <c r="X20" s="318">
        <f>'Revenue matching'!X20</f>
        <v>1.5719272073701078</v>
      </c>
      <c r="Y20" s="318">
        <f>'Revenue matching'!Y20</f>
        <v>1.803799949967152</v>
      </c>
      <c r="Z20" s="318">
        <f>'Revenue matching'!Z20</f>
        <v>2.7055413376607742</v>
      </c>
      <c r="AA20" s="318">
        <f>'Revenue matching'!AA20</f>
        <v>1.3377219464304058</v>
      </c>
      <c r="AB20" s="318">
        <f>'Revenue matching'!AB20</f>
        <v>20.418433286971208</v>
      </c>
      <c r="AC20" s="318">
        <f>'Revenue matching'!AC20</f>
        <v>-0.62781802559045008</v>
      </c>
      <c r="AD20" s="318">
        <f>'Revenue matching'!AD20</f>
        <v>-0.5479886425308339</v>
      </c>
      <c r="AE20" s="318">
        <f>'Revenue matching'!AE20</f>
        <v>-0.62781802559045008</v>
      </c>
      <c r="AF20" s="318">
        <f>'Revenue matching'!AF20</f>
        <v>-0.62781802559045008</v>
      </c>
      <c r="AG20" s="318">
        <f>'Revenue matching'!AG20</f>
        <v>-4.8955152543509817</v>
      </c>
      <c r="AH20" s="318">
        <f>'Revenue matching'!AH20</f>
        <v>-4.8955152543509817</v>
      </c>
      <c r="AI20" s="318">
        <f>'Revenue matching'!AI20</f>
        <v>-0.5479886425308339</v>
      </c>
      <c r="AJ20" s="318">
        <f>'Revenue matching'!AJ20</f>
        <v>-0.5479886425308339</v>
      </c>
      <c r="AK20" s="318">
        <f>'Revenue matching'!AK20</f>
        <v>-4.3055642034544519</v>
      </c>
      <c r="AL20" s="318">
        <f>'Revenue matching'!AL20</f>
        <v>-4.3055642034544519</v>
      </c>
      <c r="AM20" s="318">
        <f>'Revenue matching'!AM20</f>
        <v>-0.34305791107506395</v>
      </c>
      <c r="AN20" s="318">
        <f>'Revenue matching'!AN20</f>
        <v>-0.34305791107506395</v>
      </c>
      <c r="AO20" s="318">
        <f>'Revenue matching'!AO20</f>
        <v>-2.8093058530954993</v>
      </c>
      <c r="AP20" s="318">
        <f>'Revenue matching'!AP20</f>
        <v>-2.8093058530954993</v>
      </c>
      <c r="AQ20" s="304"/>
      <c r="AR20" s="304"/>
    </row>
    <row r="21" spans="3:44" x14ac:dyDescent="0.25">
      <c r="C21" s="91"/>
      <c r="F21" t="s">
        <v>194</v>
      </c>
      <c r="G21" t="s">
        <v>328</v>
      </c>
      <c r="H21" s="319"/>
      <c r="I21" s="304"/>
      <c r="J21" s="319">
        <f>'Revenue matching'!J21</f>
        <v>0</v>
      </c>
      <c r="K21" s="319">
        <f>'Revenue matching'!K21</f>
        <v>5.2784397319108771E-2</v>
      </c>
      <c r="L21" s="319">
        <f>'Revenue matching'!L21</f>
        <v>0</v>
      </c>
      <c r="M21" s="319">
        <f>'Revenue matching'!M21</f>
        <v>0</v>
      </c>
      <c r="N21" s="319">
        <f>'Revenue matching'!N21</f>
        <v>4.8132447030956323E-2</v>
      </c>
      <c r="O21" s="319">
        <f>'Revenue matching'!O21</f>
        <v>0</v>
      </c>
      <c r="P21" s="319">
        <f>'Revenue matching'!P21</f>
        <v>4.3702128995150843E-2</v>
      </c>
      <c r="Q21" s="319">
        <f>'Revenue matching'!Q21</f>
        <v>2.8708496633440037E-2</v>
      </c>
      <c r="R21" s="319">
        <f>'Revenue matching'!R21</f>
        <v>1.0238293866576058E-2</v>
      </c>
      <c r="S21" s="319">
        <f>'Revenue matching'!S21</f>
        <v>0.82819658637537308</v>
      </c>
      <c r="T21" s="319">
        <f>'Revenue matching'!T21</f>
        <v>0.77005805261028304</v>
      </c>
      <c r="U21" s="319">
        <f>'Revenue matching'!U21</f>
        <v>0.52838253413366609</v>
      </c>
      <c r="V21" s="319">
        <f>'Revenue matching'!V21</f>
        <v>0.3455231787505984</v>
      </c>
      <c r="W21" s="319">
        <f>'Revenue matching'!W21</f>
        <v>0.17397660842324955</v>
      </c>
      <c r="X21" s="319">
        <f>'Revenue matching'!X21</f>
        <v>0</v>
      </c>
      <c r="Y21" s="319">
        <f>'Revenue matching'!Y21</f>
        <v>0</v>
      </c>
      <c r="Z21" s="319">
        <f>'Revenue matching'!Z21</f>
        <v>0</v>
      </c>
      <c r="AA21" s="319">
        <f>'Revenue matching'!AA21</f>
        <v>0</v>
      </c>
      <c r="AB21" s="319">
        <f>'Revenue matching'!AB21</f>
        <v>1.403399912189323</v>
      </c>
      <c r="AC21" s="319">
        <f>'Revenue matching'!AC21</f>
        <v>0</v>
      </c>
      <c r="AD21" s="319">
        <f>'Revenue matching'!AD21</f>
        <v>0</v>
      </c>
      <c r="AE21" s="319">
        <f>'Revenue matching'!AE21</f>
        <v>0</v>
      </c>
      <c r="AF21" s="319">
        <f>'Revenue matching'!AF21</f>
        <v>0</v>
      </c>
      <c r="AG21" s="319">
        <f>'Revenue matching'!AG21</f>
        <v>-0.54464333583913571</v>
      </c>
      <c r="AH21" s="319">
        <f>'Revenue matching'!AH21</f>
        <v>-0.54464333583913571</v>
      </c>
      <c r="AI21" s="319">
        <f>'Revenue matching'!AI21</f>
        <v>0</v>
      </c>
      <c r="AJ21" s="319">
        <f>'Revenue matching'!AJ21</f>
        <v>0</v>
      </c>
      <c r="AK21" s="319">
        <f>'Revenue matching'!AK21</f>
        <v>-0.46798058302197632</v>
      </c>
      <c r="AL21" s="319">
        <f>'Revenue matching'!AL21</f>
        <v>-0.46798058302197632</v>
      </c>
      <c r="AM21" s="319">
        <f>'Revenue matching'!AM21</f>
        <v>0</v>
      </c>
      <c r="AN21" s="319">
        <f>'Revenue matching'!AN21</f>
        <v>0</v>
      </c>
      <c r="AO21" s="319">
        <f>'Revenue matching'!AO21</f>
        <v>-0.26702176837636921</v>
      </c>
      <c r="AP21" s="319">
        <f>'Revenue matching'!AP21</f>
        <v>-0.26702176837636921</v>
      </c>
      <c r="AQ21" s="304"/>
      <c r="AR21" s="304"/>
    </row>
    <row r="22" spans="3:44" x14ac:dyDescent="0.25">
      <c r="C22" s="91"/>
      <c r="F22" t="s">
        <v>195</v>
      </c>
      <c r="G22" t="s">
        <v>328</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5.0499783938780622E-2</v>
      </c>
      <c r="T22" s="319">
        <f>'Revenue matching'!T22</f>
        <v>4.6953934185280009E-2</v>
      </c>
      <c r="U22" s="319">
        <f>'Revenue matching'!U22</f>
        <v>3.1204536782119766E-2</v>
      </c>
      <c r="V22" s="319">
        <f>'Revenue matching'!V22</f>
        <v>1.8724412797241134E-2</v>
      </c>
      <c r="W22" s="319">
        <f>'Revenue matching'!W22</f>
        <v>7.6050911860762677E-3</v>
      </c>
      <c r="X22" s="319">
        <f>'Revenue matching'!X22</f>
        <v>0</v>
      </c>
      <c r="Y22" s="319">
        <f>'Revenue matching'!Y22</f>
        <v>0</v>
      </c>
      <c r="Z22" s="319">
        <f>'Revenue matching'!Z22</f>
        <v>0</v>
      </c>
      <c r="AA22" s="319">
        <f>'Revenue matching'!AA22</f>
        <v>0</v>
      </c>
      <c r="AB22" s="319">
        <f>'Revenue matching'!AB22</f>
        <v>0.74971791499948259</v>
      </c>
      <c r="AC22" s="319">
        <f>'Revenue matching'!AC22</f>
        <v>0</v>
      </c>
      <c r="AD22" s="319">
        <f>'Revenue matching'!AD22</f>
        <v>0</v>
      </c>
      <c r="AE22" s="319">
        <f>'Revenue matching'!AE22</f>
        <v>0</v>
      </c>
      <c r="AF22" s="319">
        <f>'Revenue matching'!AF22</f>
        <v>0</v>
      </c>
      <c r="AG22" s="319">
        <f>'Revenue matching'!AG22</f>
        <v>-3.3209662589205137E-2</v>
      </c>
      <c r="AH22" s="319">
        <f>'Revenue matching'!AH22</f>
        <v>-3.3209662589205137E-2</v>
      </c>
      <c r="AI22" s="319">
        <f>'Revenue matching'!AI22</f>
        <v>0</v>
      </c>
      <c r="AJ22" s="319">
        <f>'Revenue matching'!AJ22</f>
        <v>0</v>
      </c>
      <c r="AK22" s="319">
        <f>'Revenue matching'!AK22</f>
        <v>-2.8000181322170133E-2</v>
      </c>
      <c r="AL22" s="319">
        <f>'Revenue matching'!AL22</f>
        <v>-2.8000181322170133E-2</v>
      </c>
      <c r="AM22" s="319">
        <f>'Revenue matching'!AM22</f>
        <v>0</v>
      </c>
      <c r="AN22" s="319">
        <f>'Revenue matching'!AN22</f>
        <v>0</v>
      </c>
      <c r="AO22" s="319">
        <f>'Revenue matching'!AO22</f>
        <v>-1.4079568759351556E-2</v>
      </c>
      <c r="AP22" s="319">
        <f>'Revenue matching'!AP22</f>
        <v>-1.4079568759351556E-2</v>
      </c>
      <c r="AQ22" s="304"/>
      <c r="AR22" s="304"/>
    </row>
    <row r="23" spans="3:44" x14ac:dyDescent="0.25">
      <c r="C23" s="91"/>
      <c r="F23" t="s">
        <v>196</v>
      </c>
      <c r="G23" t="s">
        <v>329</v>
      </c>
      <c r="H23" s="51"/>
      <c r="J23" s="123">
        <f>'Revenue matching'!J23</f>
        <v>3.353616541558083</v>
      </c>
      <c r="K23" s="123">
        <f>'Revenue matching'!K23</f>
        <v>3.353616541558083</v>
      </c>
      <c r="L23" s="123">
        <f>'Revenue matching'!L23</f>
        <v>0</v>
      </c>
      <c r="M23" s="123">
        <f>'Revenue matching'!M23</f>
        <v>6.6420806253499158</v>
      </c>
      <c r="N23" s="123">
        <f>'Revenue matching'!N23</f>
        <v>6.6420806253499158</v>
      </c>
      <c r="O23" s="123">
        <f>'Revenue matching'!O23</f>
        <v>0</v>
      </c>
      <c r="P23" s="123">
        <f>'Revenue matching'!P23</f>
        <v>24.941346223170729</v>
      </c>
      <c r="Q23" s="123">
        <f>'Revenue matching'!Q23</f>
        <v>4.2796858862103067</v>
      </c>
      <c r="R23" s="123">
        <f>'Revenue matching'!R23</f>
        <v>174.33966634911576</v>
      </c>
      <c r="S23" s="123">
        <f>'Revenue matching'!S23</f>
        <v>3.353616541558083</v>
      </c>
      <c r="T23" s="123">
        <f>'Revenue matching'!T23</f>
        <v>6.6420806253499158</v>
      </c>
      <c r="U23" s="123">
        <f>'Revenue matching'!U23</f>
        <v>9.9566299822779722</v>
      </c>
      <c r="V23" s="123">
        <f>'Revenue matching'!V23</f>
        <v>7.7722196780955866</v>
      </c>
      <c r="W23" s="123">
        <f>'Revenue matching'!W23</f>
        <v>71.751854690784072</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44.905373277154183</v>
      </c>
      <c r="AN23" s="123">
        <f>'Revenue matching'!AN23</f>
        <v>44.905373277154183</v>
      </c>
      <c r="AO23" s="123">
        <f>'Revenue matching'!AO23</f>
        <v>44.905373277154183</v>
      </c>
      <c r="AP23" s="123">
        <f>'Revenue matching'!AP23</f>
        <v>44.905373277154183</v>
      </c>
    </row>
    <row r="24" spans="3:44" x14ac:dyDescent="0.25">
      <c r="C24" s="91"/>
      <c r="F24" t="s">
        <v>197</v>
      </c>
      <c r="G24" t="s">
        <v>330</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2.7625667748892875</v>
      </c>
      <c r="V24" s="123">
        <f>'Revenue matching'!V24</f>
        <v>3.4405778262667734</v>
      </c>
      <c r="W24" s="123">
        <f>'Revenue matching'!W24</f>
        <v>4.195134106967072</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198</v>
      </c>
      <c r="G25" t="s">
        <v>330</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5.7933783768846823</v>
      </c>
      <c r="V25" s="123">
        <f>'Revenue matching'!V25</f>
        <v>5.341715898377883</v>
      </c>
      <c r="W25" s="123">
        <f>'Revenue matching'!W25</f>
        <v>6.2214974788040589</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199</v>
      </c>
      <c r="G26" s="37" t="s">
        <v>331</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0.14584572836479107</v>
      </c>
      <c r="V26" s="323">
        <f>'Revenue matching'!V26</f>
        <v>0.10097946392192872</v>
      </c>
      <c r="W26" s="323">
        <f>'Revenue matching'!W26</f>
        <v>5.2644561214017643E-2</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0.14015426890768115</v>
      </c>
      <c r="AF26" s="323">
        <f>'Revenue matching'!AF26</f>
        <v>0</v>
      </c>
      <c r="AG26" s="323">
        <f>'Revenue matching'!AG26</f>
        <v>0.14015426890768115</v>
      </c>
      <c r="AH26" s="323">
        <f>'Revenue matching'!AH26</f>
        <v>0</v>
      </c>
      <c r="AI26" s="323">
        <f>'Revenue matching'!AI26</f>
        <v>0.11870967116759318</v>
      </c>
      <c r="AJ26" s="323">
        <f>'Revenue matching'!AJ26</f>
        <v>0</v>
      </c>
      <c r="AK26" s="323">
        <f>'Revenue matching'!AK26</f>
        <v>0.11870967116759318</v>
      </c>
      <c r="AL26" s="323">
        <f>'Revenue matching'!AL26</f>
        <v>0</v>
      </c>
      <c r="AM26" s="323">
        <f>'Revenue matching'!AM26</f>
        <v>9.4983698732843916E-2</v>
      </c>
      <c r="AN26" s="323">
        <f>'Revenue matching'!AN26</f>
        <v>0</v>
      </c>
      <c r="AO26" s="323">
        <f>'Revenue matching'!AO26</f>
        <v>9.4983698732843916E-2</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193</v>
      </c>
      <c r="G32" s="23" t="s">
        <v>328</v>
      </c>
      <c r="H32" s="318"/>
      <c r="I32" s="302"/>
      <c r="J32" s="318">
        <f>'Revenue matching'!J133</f>
        <v>0.78140895094963003</v>
      </c>
      <c r="K32" s="318">
        <f>'Revenue matching'!K133</f>
        <v>0.78140895094963003</v>
      </c>
      <c r="L32" s="318">
        <f>'Revenue matching'!L133</f>
        <v>0.78140895094963003</v>
      </c>
      <c r="M32" s="318">
        <f>'Revenue matching'!M133</f>
        <v>0.78140895094963003</v>
      </c>
      <c r="N32" s="318">
        <f>'Revenue matching'!N133</f>
        <v>0.78140895094963003</v>
      </c>
      <c r="O32" s="318">
        <f>'Revenue matching'!O133</f>
        <v>0.78140895094963003</v>
      </c>
      <c r="P32" s="318">
        <f>'Revenue matching'!P133</f>
        <v>0.78140895094963003</v>
      </c>
      <c r="Q32" s="318">
        <f>'Revenue matching'!Q133</f>
        <v>0.78140895094963003</v>
      </c>
      <c r="R32" s="318">
        <f>'Revenue matching'!R133</f>
        <v>0.78140895094963003</v>
      </c>
      <c r="S32" s="318">
        <f>'Revenue matching'!S133</f>
        <v>0.78140895094963003</v>
      </c>
      <c r="T32" s="318">
        <f>'Revenue matching'!T133</f>
        <v>0.78140895094963003</v>
      </c>
      <c r="U32" s="318">
        <f>'Revenue matching'!U133</f>
        <v>0.78140895094963003</v>
      </c>
      <c r="V32" s="318">
        <f>'Revenue matching'!V133</f>
        <v>0.78140895094963003</v>
      </c>
      <c r="W32" s="318">
        <f>'Revenue matching'!W133</f>
        <v>0.78140895094963003</v>
      </c>
      <c r="X32" s="318">
        <f>'Revenue matching'!X133</f>
        <v>0.78140895094963003</v>
      </c>
      <c r="Y32" s="318">
        <f>'Revenue matching'!Y133</f>
        <v>0.78140895094963003</v>
      </c>
      <c r="Z32" s="318">
        <f>'Revenue matching'!Z133</f>
        <v>0.78140895094963003</v>
      </c>
      <c r="AA32" s="318">
        <f>'Revenue matching'!AA133</f>
        <v>0.78140895094963003</v>
      </c>
      <c r="AB32" s="318">
        <f>'Revenue matching'!AB133</f>
        <v>0.78140895094963003</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194</v>
      </c>
      <c r="G33" t="s">
        <v>328</v>
      </c>
      <c r="H33" s="319"/>
      <c r="I33" s="304"/>
      <c r="J33" s="319">
        <f>'Revenue matching'!J134</f>
        <v>0</v>
      </c>
      <c r="K33" s="319">
        <f>'Revenue matching'!K134</f>
        <v>0.78140895094963003</v>
      </c>
      <c r="L33" s="319">
        <f>'Revenue matching'!L134</f>
        <v>0</v>
      </c>
      <c r="M33" s="319">
        <f>'Revenue matching'!M134</f>
        <v>0</v>
      </c>
      <c r="N33" s="319">
        <f>'Revenue matching'!N134</f>
        <v>0.78140895094963003</v>
      </c>
      <c r="O33" s="319">
        <f>'Revenue matching'!O134</f>
        <v>0</v>
      </c>
      <c r="P33" s="319">
        <f>'Revenue matching'!P134</f>
        <v>0.78140895094963003</v>
      </c>
      <c r="Q33" s="319">
        <f>'Revenue matching'!Q134</f>
        <v>0.78140895094963003</v>
      </c>
      <c r="R33" s="319">
        <f>'Revenue matching'!R134</f>
        <v>0.78140895094963003</v>
      </c>
      <c r="S33" s="319">
        <f>'Revenue matching'!S134</f>
        <v>0.78140895094963003</v>
      </c>
      <c r="T33" s="319">
        <f>'Revenue matching'!T134</f>
        <v>0.78140895094963003</v>
      </c>
      <c r="U33" s="319">
        <f>'Revenue matching'!U134</f>
        <v>0.78140895094963003</v>
      </c>
      <c r="V33" s="319">
        <f>'Revenue matching'!V134</f>
        <v>0.78140895094963003</v>
      </c>
      <c r="W33" s="319">
        <f>'Revenue matching'!W134</f>
        <v>0.78140895094963003</v>
      </c>
      <c r="X33" s="319">
        <f>'Revenue matching'!X134</f>
        <v>0</v>
      </c>
      <c r="Y33" s="319">
        <f>'Revenue matching'!Y134</f>
        <v>0</v>
      </c>
      <c r="Z33" s="319">
        <f>'Revenue matching'!Z134</f>
        <v>0</v>
      </c>
      <c r="AA33" s="319">
        <f>'Revenue matching'!AA134</f>
        <v>0</v>
      </c>
      <c r="AB33" s="319">
        <f>'Revenue matching'!AB134</f>
        <v>0.78140895094963003</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195</v>
      </c>
      <c r="G34" t="s">
        <v>328</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0.78140895094963003</v>
      </c>
      <c r="T34" s="319">
        <f>'Revenue matching'!T135</f>
        <v>0.78140895094963003</v>
      </c>
      <c r="U34" s="319">
        <f>'Revenue matching'!U135</f>
        <v>0.78140895094963003</v>
      </c>
      <c r="V34" s="319">
        <f>'Revenue matching'!V135</f>
        <v>0.78140895094963003</v>
      </c>
      <c r="W34" s="319">
        <f>'Revenue matching'!W135</f>
        <v>0.78140895094963003</v>
      </c>
      <c r="X34" s="319">
        <f>'Revenue matching'!X135</f>
        <v>0</v>
      </c>
      <c r="Y34" s="319">
        <f>'Revenue matching'!Y135</f>
        <v>0</v>
      </c>
      <c r="Z34" s="319">
        <f>'Revenue matching'!Z135</f>
        <v>0</v>
      </c>
      <c r="AA34" s="319">
        <f>'Revenue matching'!AA135</f>
        <v>0</v>
      </c>
      <c r="AB34" s="319">
        <f>'Revenue matching'!AB135</f>
        <v>0.78140895094963003</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196</v>
      </c>
      <c r="G35" t="s">
        <v>329</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197</v>
      </c>
      <c r="G36" t="s">
        <v>330</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198</v>
      </c>
      <c r="G37" t="s">
        <v>330</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199</v>
      </c>
      <c r="G38" s="37" t="s">
        <v>331</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1040</v>
      </c>
      <c r="I42" t="s">
        <v>191</v>
      </c>
      <c r="AR42" t="s">
        <v>489</v>
      </c>
    </row>
    <row r="43" spans="3:44" x14ac:dyDescent="0.25">
      <c r="D43"/>
      <c r="E43" s="91"/>
      <c r="F43" s="23" t="s">
        <v>193</v>
      </c>
      <c r="G43" s="23" t="s">
        <v>204</v>
      </c>
      <c r="H43" s="191"/>
      <c r="I43" s="23"/>
      <c r="J43" s="110">
        <f>'Volume adjustments'!J$62</f>
        <v>0.30448390017089322</v>
      </c>
      <c r="K43" s="110">
        <f>'Volume adjustments'!K$62</f>
        <v>0.30448390017089322</v>
      </c>
      <c r="L43" s="110">
        <f>'Volume adjustments'!L$62</f>
        <v>0.30448390017089322</v>
      </c>
      <c r="M43" s="110">
        <f>'Volume adjustments'!M$62</f>
        <v>0.30448390017089322</v>
      </c>
      <c r="N43" s="110">
        <f>'Volume adjustments'!N$62</f>
        <v>0.30448390017089322</v>
      </c>
      <c r="O43" s="110">
        <f>'Volume adjustments'!O$62</f>
        <v>0.30448390017089322</v>
      </c>
      <c r="P43" s="110">
        <f>'Volume adjustments'!P$62</f>
        <v>0.30448390017089322</v>
      </c>
      <c r="Q43" s="110">
        <f>'Volume adjustments'!Q$62</f>
        <v>0</v>
      </c>
      <c r="R43" s="110">
        <f>'Volume adjustments'!R$62</f>
        <v>0</v>
      </c>
      <c r="S43" s="110">
        <f>'Volume adjustments'!S$62</f>
        <v>0.30448390017089322</v>
      </c>
      <c r="T43" s="110">
        <f>'Volume adjustments'!T$62</f>
        <v>0.30448390017089322</v>
      </c>
      <c r="U43" s="110">
        <f>'Volume adjustments'!U$62</f>
        <v>0.30448390017089322</v>
      </c>
      <c r="V43" s="110">
        <f>'Volume adjustments'!V$62</f>
        <v>0</v>
      </c>
      <c r="W43" s="110">
        <f>'Volume adjustments'!W$62</f>
        <v>0</v>
      </c>
      <c r="X43" s="110">
        <f>'Volume adjustments'!X$62</f>
        <v>0.30448390017089322</v>
      </c>
      <c r="Y43" s="110">
        <f>'Volume adjustments'!Y$62</f>
        <v>0.30448390017089322</v>
      </c>
      <c r="Z43" s="110">
        <f>'Volume adjustments'!Z$62</f>
        <v>0.30448390017089322</v>
      </c>
      <c r="AA43" s="110">
        <f>'Volume adjustments'!AA$62</f>
        <v>0.30448390017089322</v>
      </c>
      <c r="AB43" s="110">
        <f>'Volume adjustments'!AB$62</f>
        <v>0.30448390017089322</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194</v>
      </c>
      <c r="G44" t="s">
        <v>204</v>
      </c>
      <c r="H44" s="51"/>
      <c r="J44" s="25">
        <f>'Volume adjustments'!J$73</f>
        <v>0.30448390017089322</v>
      </c>
      <c r="K44" s="25">
        <f>'Volume adjustments'!K$73</f>
        <v>0.30448390017089322</v>
      </c>
      <c r="L44" s="25">
        <f>'Volume adjustments'!L$73</f>
        <v>0.30448390017089322</v>
      </c>
      <c r="M44" s="25">
        <f>'Volume adjustments'!M$73</f>
        <v>0.30448390017089322</v>
      </c>
      <c r="N44" s="25">
        <f>'Volume adjustments'!N$73</f>
        <v>0.30448390017089322</v>
      </c>
      <c r="O44" s="25">
        <f>'Volume adjustments'!O$73</f>
        <v>0.30448390017089322</v>
      </c>
      <c r="P44" s="25">
        <f>'Volume adjustments'!P$73</f>
        <v>0.30448390017089322</v>
      </c>
      <c r="Q44" s="25">
        <f>'Volume adjustments'!Q$73</f>
        <v>0</v>
      </c>
      <c r="R44" s="25">
        <f>'Volume adjustments'!R$73</f>
        <v>0</v>
      </c>
      <c r="S44" s="25">
        <f>'Volume adjustments'!S$73</f>
        <v>0.30448390017089322</v>
      </c>
      <c r="T44" s="25">
        <f>'Volume adjustments'!T$73</f>
        <v>0.30448390017089322</v>
      </c>
      <c r="U44" s="25">
        <f>'Volume adjustments'!U$73</f>
        <v>0.30448390017089322</v>
      </c>
      <c r="V44" s="25">
        <f>'Volume adjustments'!V$73</f>
        <v>0</v>
      </c>
      <c r="W44" s="25">
        <f>'Volume adjustments'!W$73</f>
        <v>0</v>
      </c>
      <c r="X44" s="25">
        <f>'Volume adjustments'!X$73</f>
        <v>0.30448390017089322</v>
      </c>
      <c r="Y44" s="25">
        <f>'Volume adjustments'!Y$73</f>
        <v>0.30448390017089322</v>
      </c>
      <c r="Z44" s="25">
        <f>'Volume adjustments'!Z$73</f>
        <v>0.30448390017089322</v>
      </c>
      <c r="AA44" s="25">
        <f>'Volume adjustments'!AA$73</f>
        <v>0.30448390017089322</v>
      </c>
      <c r="AB44" s="25">
        <f>'Volume adjustments'!AB$73</f>
        <v>0.30448390017089322</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195</v>
      </c>
      <c r="G45" t="s">
        <v>204</v>
      </c>
      <c r="H45" s="51"/>
      <c r="J45" s="25">
        <f>'Volume adjustments'!J$84</f>
        <v>0.30448390017089322</v>
      </c>
      <c r="K45" s="25">
        <f>'Volume adjustments'!K$84</f>
        <v>0.30448390017089322</v>
      </c>
      <c r="L45" s="25">
        <f>'Volume adjustments'!L$84</f>
        <v>0.30448390017089322</v>
      </c>
      <c r="M45" s="25">
        <f>'Volume adjustments'!M$84</f>
        <v>0.30448390017089322</v>
      </c>
      <c r="N45" s="25">
        <f>'Volume adjustments'!N$84</f>
        <v>0.30448390017089322</v>
      </c>
      <c r="O45" s="25">
        <f>'Volume adjustments'!O$84</f>
        <v>0.30448390017089322</v>
      </c>
      <c r="P45" s="25">
        <f>'Volume adjustments'!P$84</f>
        <v>0.30448390017089322</v>
      </c>
      <c r="Q45" s="25">
        <f>'Volume adjustments'!Q$84</f>
        <v>0</v>
      </c>
      <c r="R45" s="25">
        <f>'Volume adjustments'!R$84</f>
        <v>0</v>
      </c>
      <c r="S45" s="25">
        <f>'Volume adjustments'!S$84</f>
        <v>0.30448390017089322</v>
      </c>
      <c r="T45" s="25">
        <f>'Volume adjustments'!T$84</f>
        <v>0.30448390017089322</v>
      </c>
      <c r="U45" s="25">
        <f>'Volume adjustments'!U$84</f>
        <v>0.30448390017089322</v>
      </c>
      <c r="V45" s="25">
        <f>'Volume adjustments'!V$84</f>
        <v>0</v>
      </c>
      <c r="W45" s="25">
        <f>'Volume adjustments'!W$84</f>
        <v>0</v>
      </c>
      <c r="X45" s="25">
        <f>'Volume adjustments'!X$84</f>
        <v>0.30448390017089322</v>
      </c>
      <c r="Y45" s="25">
        <f>'Volume adjustments'!Y$84</f>
        <v>0.30448390017089322</v>
      </c>
      <c r="Z45" s="25">
        <f>'Volume adjustments'!Z$84</f>
        <v>0.30448390017089322</v>
      </c>
      <c r="AA45" s="25">
        <f>'Volume adjustments'!AA$84</f>
        <v>0.30448390017089322</v>
      </c>
      <c r="AB45" s="25">
        <f>'Volume adjustments'!AB$84</f>
        <v>0.30448390017089322</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196</v>
      </c>
      <c r="G46" t="s">
        <v>204</v>
      </c>
      <c r="H46" s="51"/>
      <c r="J46" s="25">
        <f>'Volume adjustments'!J$99</f>
        <v>0.30448390017089322</v>
      </c>
      <c r="K46" s="25">
        <f>'Volume adjustments'!K$99</f>
        <v>0.30448390017089322</v>
      </c>
      <c r="L46" s="25">
        <f>'Volume adjustments'!L$99</f>
        <v>0.30448390017089322</v>
      </c>
      <c r="M46" s="25">
        <f>'Volume adjustments'!M$99</f>
        <v>0.30448390017089322</v>
      </c>
      <c r="N46" s="25">
        <f>'Volume adjustments'!N$99</f>
        <v>0.30448390017089322</v>
      </c>
      <c r="O46" s="25">
        <f>'Volume adjustments'!O$99</f>
        <v>0.30448390017089322</v>
      </c>
      <c r="P46" s="25">
        <f>'Volume adjustments'!P$99</f>
        <v>0.30448390017089322</v>
      </c>
      <c r="Q46" s="25">
        <f>'Volume adjustments'!Q$99</f>
        <v>0</v>
      </c>
      <c r="R46" s="25">
        <f>'Volume adjustments'!R$99</f>
        <v>0</v>
      </c>
      <c r="S46" s="25">
        <f>'Volume adjustments'!S$99</f>
        <v>0.30448390017089322</v>
      </c>
      <c r="T46" s="25">
        <f>'Volume adjustments'!T$99</f>
        <v>0.30448390017089322</v>
      </c>
      <c r="U46" s="25">
        <f>'Volume adjustments'!U$99</f>
        <v>0.30448390017089322</v>
      </c>
      <c r="V46" s="25">
        <f>'Volume adjustments'!V$99</f>
        <v>0</v>
      </c>
      <c r="W46" s="25">
        <f>'Volume adjustments'!W$99</f>
        <v>0</v>
      </c>
      <c r="X46" s="25">
        <f>'Volume adjustments'!X$99</f>
        <v>0.30448390017089322</v>
      </c>
      <c r="Y46" s="25">
        <f>'Volume adjustments'!Y$99</f>
        <v>0.30448390017089322</v>
      </c>
      <c r="Z46" s="25">
        <f>'Volume adjustments'!Z$99</f>
        <v>0.30448390017089322</v>
      </c>
      <c r="AA46" s="25">
        <f>'Volume adjustments'!AA$99</f>
        <v>0.30448390017089322</v>
      </c>
      <c r="AB46" s="25">
        <f>'Volume adjustments'!AB$99</f>
        <v>0.30448390017089322</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197</v>
      </c>
      <c r="G47" t="s">
        <v>204</v>
      </c>
      <c r="H47" s="51"/>
      <c r="J47" s="25">
        <f>'Volume adjustments'!J$110</f>
        <v>0.30448390017089322</v>
      </c>
      <c r="K47" s="25">
        <f>'Volume adjustments'!K$110</f>
        <v>0.30448390017089322</v>
      </c>
      <c r="L47" s="25">
        <f>'Volume adjustments'!L$110</f>
        <v>0.30448390017089322</v>
      </c>
      <c r="M47" s="25">
        <f>'Volume adjustments'!M$110</f>
        <v>0.30448390017089322</v>
      </c>
      <c r="N47" s="25">
        <f>'Volume adjustments'!N$110</f>
        <v>0.30448390017089322</v>
      </c>
      <c r="O47" s="25">
        <f>'Volume adjustments'!O$110</f>
        <v>0.30448390017089322</v>
      </c>
      <c r="P47" s="25">
        <f>'Volume adjustments'!P$110</f>
        <v>0.30448390017089322</v>
      </c>
      <c r="Q47" s="25">
        <f>'Volume adjustments'!Q$110</f>
        <v>0</v>
      </c>
      <c r="R47" s="25">
        <f>'Volume adjustments'!R$110</f>
        <v>0</v>
      </c>
      <c r="S47" s="25">
        <f>'Volume adjustments'!S$110</f>
        <v>0.30448390017089322</v>
      </c>
      <c r="T47" s="25">
        <f>'Volume adjustments'!T$110</f>
        <v>0.30448390017089322</v>
      </c>
      <c r="U47" s="25">
        <f>'Volume adjustments'!U$110</f>
        <v>0.30448390017089322</v>
      </c>
      <c r="V47" s="25">
        <f>'Volume adjustments'!V$110</f>
        <v>0</v>
      </c>
      <c r="W47" s="25">
        <f>'Volume adjustments'!W$110</f>
        <v>0</v>
      </c>
      <c r="X47" s="25">
        <f>'Volume adjustments'!X$110</f>
        <v>0.30448390017089322</v>
      </c>
      <c r="Y47" s="25">
        <f>'Volume adjustments'!Y$110</f>
        <v>0.30448390017089322</v>
      </c>
      <c r="Z47" s="25">
        <f>'Volume adjustments'!Z$110</f>
        <v>0.30448390017089322</v>
      </c>
      <c r="AA47" s="25">
        <f>'Volume adjustments'!AA$110</f>
        <v>0.30448390017089322</v>
      </c>
      <c r="AB47" s="25">
        <f>'Volume adjustments'!AB$110</f>
        <v>0.30448390017089322</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198</v>
      </c>
      <c r="G48" t="s">
        <v>204</v>
      </c>
      <c r="H48" s="51"/>
      <c r="J48" s="25">
        <f>'Volume adjustments'!J$121</f>
        <v>0.30448390017089322</v>
      </c>
      <c r="K48" s="25">
        <f>'Volume adjustments'!K$121</f>
        <v>0.30448390017089322</v>
      </c>
      <c r="L48" s="25">
        <f>'Volume adjustments'!L$121</f>
        <v>0.30448390017089322</v>
      </c>
      <c r="M48" s="25">
        <f>'Volume adjustments'!M$121</f>
        <v>0.30448390017089322</v>
      </c>
      <c r="N48" s="25">
        <f>'Volume adjustments'!N$121</f>
        <v>0.30448390017089322</v>
      </c>
      <c r="O48" s="25">
        <f>'Volume adjustments'!O$121</f>
        <v>0.30448390017089322</v>
      </c>
      <c r="P48" s="25">
        <f>'Volume adjustments'!P$121</f>
        <v>0.30448390017089322</v>
      </c>
      <c r="Q48" s="25">
        <f>'Volume adjustments'!Q$121</f>
        <v>0</v>
      </c>
      <c r="R48" s="25">
        <f>'Volume adjustments'!R$121</f>
        <v>0</v>
      </c>
      <c r="S48" s="25">
        <f>'Volume adjustments'!S$121</f>
        <v>0.30448390017089322</v>
      </c>
      <c r="T48" s="25">
        <f>'Volume adjustments'!T$121</f>
        <v>0.30448390017089322</v>
      </c>
      <c r="U48" s="25">
        <f>'Volume adjustments'!U$121</f>
        <v>0.30448390017089322</v>
      </c>
      <c r="V48" s="25">
        <f>'Volume adjustments'!V$121</f>
        <v>0</v>
      </c>
      <c r="W48" s="25">
        <f>'Volume adjustments'!W$121</f>
        <v>0</v>
      </c>
      <c r="X48" s="25">
        <f>'Volume adjustments'!X$121</f>
        <v>0.30448390017089322</v>
      </c>
      <c r="Y48" s="25">
        <f>'Volume adjustments'!Y$121</f>
        <v>0.30448390017089322</v>
      </c>
      <c r="Z48" s="25">
        <f>'Volume adjustments'!Z$121</f>
        <v>0.30448390017089322</v>
      </c>
      <c r="AA48" s="25">
        <f>'Volume adjustments'!AA$121</f>
        <v>0.30448390017089322</v>
      </c>
      <c r="AB48" s="25">
        <f>'Volume adjustments'!AB$121</f>
        <v>0.30448390017089322</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199</v>
      </c>
      <c r="G49" s="37" t="s">
        <v>204</v>
      </c>
      <c r="H49" s="241"/>
      <c r="I49" s="37"/>
      <c r="J49" s="144">
        <f>'Volume adjustments'!J$132</f>
        <v>0.30448390017089322</v>
      </c>
      <c r="K49" s="144">
        <f>'Volume adjustments'!K$132</f>
        <v>0.30448390017089322</v>
      </c>
      <c r="L49" s="144">
        <f>'Volume adjustments'!L$132</f>
        <v>0.30448390017089322</v>
      </c>
      <c r="M49" s="144">
        <f>'Volume adjustments'!M$132</f>
        <v>0.30448390017089322</v>
      </c>
      <c r="N49" s="144">
        <f>'Volume adjustments'!N$132</f>
        <v>0.30448390017089322</v>
      </c>
      <c r="O49" s="144">
        <f>'Volume adjustments'!O$132</f>
        <v>0.30448390017089322</v>
      </c>
      <c r="P49" s="144">
        <f>'Volume adjustments'!P$132</f>
        <v>0.30448390017089322</v>
      </c>
      <c r="Q49" s="144">
        <f>'Volume adjustments'!Q$132</f>
        <v>0</v>
      </c>
      <c r="R49" s="144">
        <f>'Volume adjustments'!R$132</f>
        <v>0</v>
      </c>
      <c r="S49" s="144">
        <f>'Volume adjustments'!S$132</f>
        <v>0.30448390017089322</v>
      </c>
      <c r="T49" s="144">
        <f>'Volume adjustments'!T$132</f>
        <v>0.30448390017089322</v>
      </c>
      <c r="U49" s="144">
        <f>'Volume adjustments'!U$132</f>
        <v>0.30448390017089322</v>
      </c>
      <c r="V49" s="144">
        <f>'Volume adjustments'!V$132</f>
        <v>0</v>
      </c>
      <c r="W49" s="144">
        <f>'Volume adjustments'!W$132</f>
        <v>0</v>
      </c>
      <c r="X49" s="144">
        <f>'Volume adjustments'!X$132</f>
        <v>0.30448390017089322</v>
      </c>
      <c r="Y49" s="144">
        <f>'Volume adjustments'!Y$132</f>
        <v>0.30448390017089322</v>
      </c>
      <c r="Z49" s="144">
        <f>'Volume adjustments'!Z$132</f>
        <v>0.30448390017089322</v>
      </c>
      <c r="AA49" s="144">
        <f>'Volume adjustments'!AA$132</f>
        <v>0.30448390017089322</v>
      </c>
      <c r="AB49" s="144">
        <f>'Volume adjustments'!AB$132</f>
        <v>0.30448390017089322</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1041</v>
      </c>
      <c r="I51" t="s">
        <v>191</v>
      </c>
      <c r="AR51" t="s">
        <v>489</v>
      </c>
    </row>
    <row r="52" spans="3:44" x14ac:dyDescent="0.25">
      <c r="D52"/>
      <c r="E52" s="91"/>
      <c r="F52" s="23" t="s">
        <v>193</v>
      </c>
      <c r="G52" s="23" t="s">
        <v>204</v>
      </c>
      <c r="H52" s="191"/>
      <c r="I52" s="23"/>
      <c r="J52" s="110">
        <f>'Volume adjustments'!J$63</f>
        <v>0.47123400364058998</v>
      </c>
      <c r="K52" s="110">
        <f>'Volume adjustments'!K$63</f>
        <v>0.47123400364058998</v>
      </c>
      <c r="L52" s="110">
        <f>'Volume adjustments'!L$63</f>
        <v>0.47123400364058998</v>
      </c>
      <c r="M52" s="110">
        <f>'Volume adjustments'!M$63</f>
        <v>0.47123400364058998</v>
      </c>
      <c r="N52" s="110">
        <f>'Volume adjustments'!N$63</f>
        <v>0.47123400364058998</v>
      </c>
      <c r="O52" s="110">
        <f>'Volume adjustments'!O$63</f>
        <v>0.47123400364058998</v>
      </c>
      <c r="P52" s="110">
        <f>'Volume adjustments'!P$63</f>
        <v>0.47123400364058998</v>
      </c>
      <c r="Q52" s="110">
        <f>'Volume adjustments'!Q$63</f>
        <v>0</v>
      </c>
      <c r="R52" s="110">
        <f>'Volume adjustments'!R$63</f>
        <v>0</v>
      </c>
      <c r="S52" s="110">
        <f>'Volume adjustments'!S$63</f>
        <v>0.47123400364058998</v>
      </c>
      <c r="T52" s="110">
        <f>'Volume adjustments'!T$63</f>
        <v>0.47123400364058998</v>
      </c>
      <c r="U52" s="110">
        <f>'Volume adjustments'!U$63</f>
        <v>0.47123400364058998</v>
      </c>
      <c r="V52" s="110">
        <f>'Volume adjustments'!V$63</f>
        <v>0.22825407639898521</v>
      </c>
      <c r="W52" s="110">
        <f>'Volume adjustments'!W$63</f>
        <v>0.12559312203105261</v>
      </c>
      <c r="X52" s="110">
        <f>'Volume adjustments'!X$63</f>
        <v>0.47123400364058998</v>
      </c>
      <c r="Y52" s="110">
        <f>'Volume adjustments'!Y$63</f>
        <v>0.47123400364058998</v>
      </c>
      <c r="Z52" s="110">
        <f>'Volume adjustments'!Z$63</f>
        <v>0.47123400364058998</v>
      </c>
      <c r="AA52" s="110">
        <f>'Volume adjustments'!AA$63</f>
        <v>0.47123400364058998</v>
      </c>
      <c r="AB52" s="110">
        <f>'Volume adjustments'!AB$63</f>
        <v>0.47123400364058998</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194</v>
      </c>
      <c r="G53" t="s">
        <v>204</v>
      </c>
      <c r="H53" s="51"/>
      <c r="J53" s="25">
        <f>'Volume adjustments'!J$74</f>
        <v>0.47123400364058998</v>
      </c>
      <c r="K53" s="25">
        <f>'Volume adjustments'!K$74</f>
        <v>0.47123400364058998</v>
      </c>
      <c r="L53" s="25">
        <f>'Volume adjustments'!L$74</f>
        <v>0.47123400364058998</v>
      </c>
      <c r="M53" s="25">
        <f>'Volume adjustments'!M$74</f>
        <v>0.47123400364058998</v>
      </c>
      <c r="N53" s="25">
        <f>'Volume adjustments'!N$74</f>
        <v>0.47123400364058998</v>
      </c>
      <c r="O53" s="25">
        <f>'Volume adjustments'!O$74</f>
        <v>0.47123400364058998</v>
      </c>
      <c r="P53" s="25">
        <f>'Volume adjustments'!P$74</f>
        <v>0.47123400364058998</v>
      </c>
      <c r="Q53" s="25">
        <f>'Volume adjustments'!Q$74</f>
        <v>0</v>
      </c>
      <c r="R53" s="25">
        <f>'Volume adjustments'!R$74</f>
        <v>0</v>
      </c>
      <c r="S53" s="25">
        <f>'Volume adjustments'!S$74</f>
        <v>0.47123400364058998</v>
      </c>
      <c r="T53" s="25">
        <f>'Volume adjustments'!T$74</f>
        <v>0.47123400364058998</v>
      </c>
      <c r="U53" s="25">
        <f>'Volume adjustments'!U$74</f>
        <v>0.47123400364058998</v>
      </c>
      <c r="V53" s="25">
        <f>'Volume adjustments'!V$74</f>
        <v>0.22825407639898521</v>
      </c>
      <c r="W53" s="25">
        <f>'Volume adjustments'!W$74</f>
        <v>0.12559312203105261</v>
      </c>
      <c r="X53" s="25">
        <f>'Volume adjustments'!X$74</f>
        <v>0.47123400364058998</v>
      </c>
      <c r="Y53" s="25">
        <f>'Volume adjustments'!Y$74</f>
        <v>0.47123400364058998</v>
      </c>
      <c r="Z53" s="25">
        <f>'Volume adjustments'!Z$74</f>
        <v>0.47123400364058998</v>
      </c>
      <c r="AA53" s="25">
        <f>'Volume adjustments'!AA$74</f>
        <v>0.47123400364058998</v>
      </c>
      <c r="AB53" s="25">
        <f>'Volume adjustments'!AB$74</f>
        <v>0.47123400364058998</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195</v>
      </c>
      <c r="G54" t="s">
        <v>204</v>
      </c>
      <c r="H54" s="51"/>
      <c r="J54" s="25">
        <f>'Volume adjustments'!J$85</f>
        <v>0.47123400364058998</v>
      </c>
      <c r="K54" s="25">
        <f>'Volume adjustments'!K$85</f>
        <v>0.47123400364058998</v>
      </c>
      <c r="L54" s="25">
        <f>'Volume adjustments'!L$85</f>
        <v>0.47123400364058998</v>
      </c>
      <c r="M54" s="25">
        <f>'Volume adjustments'!M$85</f>
        <v>0.47123400364058998</v>
      </c>
      <c r="N54" s="25">
        <f>'Volume adjustments'!N$85</f>
        <v>0.47123400364058998</v>
      </c>
      <c r="O54" s="25">
        <f>'Volume adjustments'!O$85</f>
        <v>0.47123400364058998</v>
      </c>
      <c r="P54" s="25">
        <f>'Volume adjustments'!P$85</f>
        <v>0.47123400364058998</v>
      </c>
      <c r="Q54" s="25">
        <f>'Volume adjustments'!Q$85</f>
        <v>0</v>
      </c>
      <c r="R54" s="25">
        <f>'Volume adjustments'!R$85</f>
        <v>0</v>
      </c>
      <c r="S54" s="25">
        <f>'Volume adjustments'!S$85</f>
        <v>0.47123400364058998</v>
      </c>
      <c r="T54" s="25">
        <f>'Volume adjustments'!T$85</f>
        <v>0.47123400364058998</v>
      </c>
      <c r="U54" s="25">
        <f>'Volume adjustments'!U$85</f>
        <v>0.47123400364058998</v>
      </c>
      <c r="V54" s="25">
        <f>'Volume adjustments'!V$85</f>
        <v>0.22825407639898521</v>
      </c>
      <c r="W54" s="25">
        <f>'Volume adjustments'!W$85</f>
        <v>0.12559312203105261</v>
      </c>
      <c r="X54" s="25">
        <f>'Volume adjustments'!X$85</f>
        <v>0.47123400364058998</v>
      </c>
      <c r="Y54" s="25">
        <f>'Volume adjustments'!Y$85</f>
        <v>0.47123400364058998</v>
      </c>
      <c r="Z54" s="25">
        <f>'Volume adjustments'!Z$85</f>
        <v>0.47123400364058998</v>
      </c>
      <c r="AA54" s="25">
        <f>'Volume adjustments'!AA$85</f>
        <v>0.47123400364058998</v>
      </c>
      <c r="AB54" s="25">
        <f>'Volume adjustments'!AB$85</f>
        <v>0.47123400364058998</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196</v>
      </c>
      <c r="G55" t="s">
        <v>204</v>
      </c>
      <c r="H55" s="51"/>
      <c r="J55" s="25">
        <f>'Volume adjustments'!J$100</f>
        <v>0.47123400364058998</v>
      </c>
      <c r="K55" s="25">
        <f>'Volume adjustments'!K$100</f>
        <v>0.47123400364058998</v>
      </c>
      <c r="L55" s="25">
        <f>'Volume adjustments'!L$100</f>
        <v>0.47123400364058998</v>
      </c>
      <c r="M55" s="25">
        <f>'Volume adjustments'!M$100</f>
        <v>0.47123400364058998</v>
      </c>
      <c r="N55" s="25">
        <f>'Volume adjustments'!N$100</f>
        <v>0.47123400364058998</v>
      </c>
      <c r="O55" s="25">
        <f>'Volume adjustments'!O$100</f>
        <v>0.47123400364058998</v>
      </c>
      <c r="P55" s="25">
        <f>'Volume adjustments'!P$100</f>
        <v>0.47123400364058998</v>
      </c>
      <c r="Q55" s="25">
        <f>'Volume adjustments'!Q$100</f>
        <v>0</v>
      </c>
      <c r="R55" s="25">
        <f>'Volume adjustments'!R$100</f>
        <v>0</v>
      </c>
      <c r="S55" s="25">
        <f>'Volume adjustments'!S$100</f>
        <v>0.47123400364058998</v>
      </c>
      <c r="T55" s="25">
        <f>'Volume adjustments'!T$100</f>
        <v>0.47123400364058998</v>
      </c>
      <c r="U55" s="25">
        <f>'Volume adjustments'!U$100</f>
        <v>0.47123400364058998</v>
      </c>
      <c r="V55" s="25">
        <f>'Volume adjustments'!V$100</f>
        <v>0.22825407639898521</v>
      </c>
      <c r="W55" s="25">
        <f>'Volume adjustments'!W$100</f>
        <v>0.12559312203105261</v>
      </c>
      <c r="X55" s="25">
        <f>'Volume adjustments'!X$100</f>
        <v>0.47123400364058998</v>
      </c>
      <c r="Y55" s="25">
        <f>'Volume adjustments'!Y$100</f>
        <v>0.47123400364058998</v>
      </c>
      <c r="Z55" s="25">
        <f>'Volume adjustments'!Z$100</f>
        <v>0.47123400364058998</v>
      </c>
      <c r="AA55" s="25">
        <f>'Volume adjustments'!AA$100</f>
        <v>0.47123400364058998</v>
      </c>
      <c r="AB55" s="25">
        <f>'Volume adjustments'!AB$100</f>
        <v>0.47123400364058998</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197</v>
      </c>
      <c r="G56" t="s">
        <v>204</v>
      </c>
      <c r="H56" s="51"/>
      <c r="J56" s="25">
        <f>'Volume adjustments'!J$111</f>
        <v>0.47123400364058998</v>
      </c>
      <c r="K56" s="25">
        <f>'Volume adjustments'!K$111</f>
        <v>0.47123400364058998</v>
      </c>
      <c r="L56" s="25">
        <f>'Volume adjustments'!L$111</f>
        <v>0.47123400364058998</v>
      </c>
      <c r="M56" s="25">
        <f>'Volume adjustments'!M$111</f>
        <v>0.47123400364058998</v>
      </c>
      <c r="N56" s="25">
        <f>'Volume adjustments'!N$111</f>
        <v>0.47123400364058998</v>
      </c>
      <c r="O56" s="25">
        <f>'Volume adjustments'!O$111</f>
        <v>0.47123400364058998</v>
      </c>
      <c r="P56" s="25">
        <f>'Volume adjustments'!P$111</f>
        <v>0.47123400364058998</v>
      </c>
      <c r="Q56" s="25">
        <f>'Volume adjustments'!Q$111</f>
        <v>0</v>
      </c>
      <c r="R56" s="25">
        <f>'Volume adjustments'!R$111</f>
        <v>0</v>
      </c>
      <c r="S56" s="25">
        <f>'Volume adjustments'!S$111</f>
        <v>0.47123400364058998</v>
      </c>
      <c r="T56" s="25">
        <f>'Volume adjustments'!T$111</f>
        <v>0.47123400364058998</v>
      </c>
      <c r="U56" s="25">
        <f>'Volume adjustments'!U$111</f>
        <v>0.47123400364058998</v>
      </c>
      <c r="V56" s="25">
        <f>'Volume adjustments'!V$111</f>
        <v>0.22825407639898521</v>
      </c>
      <c r="W56" s="25">
        <f>'Volume adjustments'!W$111</f>
        <v>0.12559312203105261</v>
      </c>
      <c r="X56" s="25">
        <f>'Volume adjustments'!X$111</f>
        <v>0.47123400364058998</v>
      </c>
      <c r="Y56" s="25">
        <f>'Volume adjustments'!Y$111</f>
        <v>0.47123400364058998</v>
      </c>
      <c r="Z56" s="25">
        <f>'Volume adjustments'!Z$111</f>
        <v>0.47123400364058998</v>
      </c>
      <c r="AA56" s="25">
        <f>'Volume adjustments'!AA$111</f>
        <v>0.47123400364058998</v>
      </c>
      <c r="AB56" s="25">
        <f>'Volume adjustments'!AB$111</f>
        <v>0.47123400364058998</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198</v>
      </c>
      <c r="G57" t="s">
        <v>204</v>
      </c>
      <c r="H57" s="51"/>
      <c r="J57" s="25">
        <f>'Volume adjustments'!J$122</f>
        <v>0.47123400364058998</v>
      </c>
      <c r="K57" s="25">
        <f>'Volume adjustments'!K$122</f>
        <v>0.47123400364058998</v>
      </c>
      <c r="L57" s="25">
        <f>'Volume adjustments'!L$122</f>
        <v>0.47123400364058998</v>
      </c>
      <c r="M57" s="25">
        <f>'Volume adjustments'!M$122</f>
        <v>0.47123400364058998</v>
      </c>
      <c r="N57" s="25">
        <f>'Volume adjustments'!N$122</f>
        <v>0.47123400364058998</v>
      </c>
      <c r="O57" s="25">
        <f>'Volume adjustments'!O$122</f>
        <v>0.47123400364058998</v>
      </c>
      <c r="P57" s="25">
        <f>'Volume adjustments'!P$122</f>
        <v>0.47123400364058998</v>
      </c>
      <c r="Q57" s="25">
        <f>'Volume adjustments'!Q$122</f>
        <v>0</v>
      </c>
      <c r="R57" s="25">
        <f>'Volume adjustments'!R$122</f>
        <v>0</v>
      </c>
      <c r="S57" s="25">
        <f>'Volume adjustments'!S$122</f>
        <v>0.47123400364058998</v>
      </c>
      <c r="T57" s="25">
        <f>'Volume adjustments'!T$122</f>
        <v>0.47123400364058998</v>
      </c>
      <c r="U57" s="25">
        <f>'Volume adjustments'!U$122</f>
        <v>0.47123400364058998</v>
      </c>
      <c r="V57" s="25">
        <f>'Volume adjustments'!V$122</f>
        <v>0.22825407639898521</v>
      </c>
      <c r="W57" s="25">
        <f>'Volume adjustments'!W$122</f>
        <v>0.12559312203105261</v>
      </c>
      <c r="X57" s="25">
        <f>'Volume adjustments'!X$122</f>
        <v>0.47123400364058998</v>
      </c>
      <c r="Y57" s="25">
        <f>'Volume adjustments'!Y$122</f>
        <v>0.47123400364058998</v>
      </c>
      <c r="Z57" s="25">
        <f>'Volume adjustments'!Z$122</f>
        <v>0.47123400364058998</v>
      </c>
      <c r="AA57" s="25">
        <f>'Volume adjustments'!AA$122</f>
        <v>0.47123400364058998</v>
      </c>
      <c r="AB57" s="25">
        <f>'Volume adjustments'!AB$122</f>
        <v>0.47123400364058998</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199</v>
      </c>
      <c r="G58" s="37" t="s">
        <v>204</v>
      </c>
      <c r="H58" s="241"/>
      <c r="I58" s="37"/>
      <c r="J58" s="144">
        <f>'Volume adjustments'!J$133</f>
        <v>0.47123400364058998</v>
      </c>
      <c r="K58" s="144">
        <f>'Volume adjustments'!K$133</f>
        <v>0.47123400364058998</v>
      </c>
      <c r="L58" s="144">
        <f>'Volume adjustments'!L$133</f>
        <v>0.47123400364058998</v>
      </c>
      <c r="M58" s="144">
        <f>'Volume adjustments'!M$133</f>
        <v>0.47123400364058998</v>
      </c>
      <c r="N58" s="144">
        <f>'Volume adjustments'!N$133</f>
        <v>0.47123400364058998</v>
      </c>
      <c r="O58" s="144">
        <f>'Volume adjustments'!O$133</f>
        <v>0.47123400364058998</v>
      </c>
      <c r="P58" s="144">
        <f>'Volume adjustments'!P$133</f>
        <v>0.47123400364058998</v>
      </c>
      <c r="Q58" s="144">
        <f>'Volume adjustments'!Q$133</f>
        <v>0</v>
      </c>
      <c r="R58" s="144">
        <f>'Volume adjustments'!R$133</f>
        <v>0</v>
      </c>
      <c r="S58" s="144">
        <f>'Volume adjustments'!S$133</f>
        <v>0.47123400364058998</v>
      </c>
      <c r="T58" s="144">
        <f>'Volume adjustments'!T$133</f>
        <v>0.47123400364058998</v>
      </c>
      <c r="U58" s="144">
        <f>'Volume adjustments'!U$133</f>
        <v>0.47123400364058998</v>
      </c>
      <c r="V58" s="144">
        <f>'Volume adjustments'!V$133</f>
        <v>0.22825407639898521</v>
      </c>
      <c r="W58" s="144">
        <f>'Volume adjustments'!W$133</f>
        <v>0.12559312203105261</v>
      </c>
      <c r="X58" s="144">
        <f>'Volume adjustments'!X$133</f>
        <v>0.47123400364058998</v>
      </c>
      <c r="Y58" s="144">
        <f>'Volume adjustments'!Y$133</f>
        <v>0.47123400364058998</v>
      </c>
      <c r="Z58" s="144">
        <f>'Volume adjustments'!Z$133</f>
        <v>0.47123400364058998</v>
      </c>
      <c r="AA58" s="144">
        <f>'Volume adjustments'!AA$133</f>
        <v>0.47123400364058998</v>
      </c>
      <c r="AB58" s="144">
        <f>'Volume adjustments'!AB$133</f>
        <v>0.47123400364058998</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1042</v>
      </c>
      <c r="I62" t="s">
        <v>191</v>
      </c>
      <c r="AR62" t="s">
        <v>192</v>
      </c>
    </row>
    <row r="63" spans="3:44" x14ac:dyDescent="0.25">
      <c r="C63" s="91"/>
      <c r="F63" s="23" t="s">
        <v>193</v>
      </c>
      <c r="G63" s="23" t="s">
        <v>186</v>
      </c>
      <c r="H63" s="191">
        <f>'Fixed inputs'!H25</f>
        <v>3</v>
      </c>
    </row>
    <row r="64" spans="3:44" x14ac:dyDescent="0.25">
      <c r="C64" s="91"/>
      <c r="F64" t="s">
        <v>194</v>
      </c>
      <c r="G64" t="s">
        <v>186</v>
      </c>
      <c r="H64" s="51">
        <f>'Fixed inputs'!H26</f>
        <v>3</v>
      </c>
    </row>
    <row r="65" spans="2:44" x14ac:dyDescent="0.25">
      <c r="C65" s="91"/>
      <c r="F65" t="s">
        <v>195</v>
      </c>
      <c r="G65" t="s">
        <v>186</v>
      </c>
      <c r="H65" s="51">
        <f>'Fixed inputs'!H27</f>
        <v>3</v>
      </c>
    </row>
    <row r="66" spans="2:44" x14ac:dyDescent="0.25">
      <c r="C66" s="91"/>
      <c r="F66" t="s">
        <v>196</v>
      </c>
      <c r="G66" t="s">
        <v>186</v>
      </c>
      <c r="H66" s="51">
        <f>'Fixed inputs'!H28</f>
        <v>2</v>
      </c>
    </row>
    <row r="67" spans="2:44" x14ac:dyDescent="0.25">
      <c r="C67" s="91"/>
      <c r="F67" t="s">
        <v>197</v>
      </c>
      <c r="G67" t="s">
        <v>186</v>
      </c>
      <c r="H67" s="51">
        <f>'Fixed inputs'!H29</f>
        <v>2</v>
      </c>
    </row>
    <row r="68" spans="2:44" x14ac:dyDescent="0.25">
      <c r="C68" s="91"/>
      <c r="F68" t="s">
        <v>198</v>
      </c>
      <c r="G68" t="s">
        <v>186</v>
      </c>
      <c r="H68" s="51">
        <f>'Fixed inputs'!H30</f>
        <v>2</v>
      </c>
    </row>
    <row r="69" spans="2:44" x14ac:dyDescent="0.25">
      <c r="C69" s="91"/>
      <c r="F69" s="37" t="s">
        <v>199</v>
      </c>
      <c r="G69" s="37" t="s">
        <v>186</v>
      </c>
      <c r="H69" s="241">
        <f>'Fixed inputs'!H31</f>
        <v>3</v>
      </c>
    </row>
    <row r="70" spans="2:44" x14ac:dyDescent="0.25">
      <c r="C70" s="91"/>
    </row>
    <row r="71" spans="2:44" x14ac:dyDescent="0.25">
      <c r="B71" s="30" t="s">
        <v>1043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1044</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1045</v>
      </c>
      <c r="F77" s="32"/>
    </row>
    <row r="78" spans="2:44" x14ac:dyDescent="0.25">
      <c r="D78"/>
      <c r="E78" s="91"/>
      <c r="F78" s="23" t="s">
        <v>193</v>
      </c>
      <c r="G78" s="23" t="s">
        <v>328</v>
      </c>
      <c r="H78" s="318"/>
      <c r="I78" s="302"/>
      <c r="J78" s="321">
        <f>J20+J32</f>
        <v>2.084641719610711</v>
      </c>
      <c r="K78" s="321">
        <f t="shared" ref="K78:AP78" si="0">K20+K32</f>
        <v>2.339391788130869</v>
      </c>
      <c r="L78" s="321">
        <f t="shared" si="0"/>
        <v>1.2027707779530161</v>
      </c>
      <c r="M78" s="321">
        <f t="shared" si="0"/>
        <v>1.9585608250318149</v>
      </c>
      <c r="N78" s="321">
        <f t="shared" si="0"/>
        <v>2.1163112213241209</v>
      </c>
      <c r="O78" s="321">
        <f t="shared" si="0"/>
        <v>0.98582971433168498</v>
      </c>
      <c r="P78" s="321">
        <f t="shared" si="0"/>
        <v>2.0479988726780731</v>
      </c>
      <c r="Q78" s="321">
        <f t="shared" si="0"/>
        <v>1.6365669884918961</v>
      </c>
      <c r="R78" s="321">
        <f t="shared" si="0"/>
        <v>1.2947123202004513</v>
      </c>
      <c r="S78" s="321">
        <f t="shared" si="0"/>
        <v>8.225551286419833</v>
      </c>
      <c r="T78" s="321">
        <f t="shared" si="0"/>
        <v>7.7031492721529302</v>
      </c>
      <c r="U78" s="321">
        <f t="shared" si="0"/>
        <v>5.7185913870770682</v>
      </c>
      <c r="V78" s="321">
        <f t="shared" si="0"/>
        <v>4.3214653358948034</v>
      </c>
      <c r="W78" s="321">
        <f t="shared" si="0"/>
        <v>2.9077611205021681</v>
      </c>
      <c r="X78" s="321">
        <f t="shared" si="0"/>
        <v>2.3533361583197379</v>
      </c>
      <c r="Y78" s="321">
        <f t="shared" si="0"/>
        <v>2.5852089009167818</v>
      </c>
      <c r="Z78" s="321">
        <f t="shared" si="0"/>
        <v>3.4869502886104042</v>
      </c>
      <c r="AA78" s="321">
        <f t="shared" si="0"/>
        <v>2.1191308973800358</v>
      </c>
      <c r="AB78" s="321">
        <f t="shared" si="0"/>
        <v>21.199842237920837</v>
      </c>
      <c r="AC78" s="321">
        <f t="shared" si="0"/>
        <v>-0.62781802559045008</v>
      </c>
      <c r="AD78" s="321">
        <f t="shared" si="0"/>
        <v>-0.5479886425308339</v>
      </c>
      <c r="AE78" s="321">
        <f t="shared" si="0"/>
        <v>-0.62781802559045008</v>
      </c>
      <c r="AF78" s="321">
        <f t="shared" si="0"/>
        <v>-0.62781802559045008</v>
      </c>
      <c r="AG78" s="321">
        <f t="shared" si="0"/>
        <v>-4.8955152543509817</v>
      </c>
      <c r="AH78" s="321">
        <f t="shared" si="0"/>
        <v>-4.8955152543509817</v>
      </c>
      <c r="AI78" s="321">
        <f t="shared" si="0"/>
        <v>-0.5479886425308339</v>
      </c>
      <c r="AJ78" s="321">
        <f t="shared" si="0"/>
        <v>-0.5479886425308339</v>
      </c>
      <c r="AK78" s="321">
        <f t="shared" si="0"/>
        <v>-4.3055642034544519</v>
      </c>
      <c r="AL78" s="321">
        <f t="shared" si="0"/>
        <v>-4.3055642034544519</v>
      </c>
      <c r="AM78" s="321">
        <f t="shared" si="0"/>
        <v>-0.34305791107506395</v>
      </c>
      <c r="AN78" s="321">
        <f t="shared" si="0"/>
        <v>-0.34305791107506395</v>
      </c>
      <c r="AO78" s="321">
        <f t="shared" si="0"/>
        <v>-2.8093058530954993</v>
      </c>
      <c r="AP78" s="321">
        <f t="shared" si="0"/>
        <v>-2.8093058530954993</v>
      </c>
      <c r="AQ78" s="304"/>
      <c r="AR78" s="304"/>
    </row>
    <row r="79" spans="2:44" x14ac:dyDescent="0.25">
      <c r="D79"/>
      <c r="E79" s="91"/>
      <c r="F79" t="s">
        <v>194</v>
      </c>
      <c r="G79" t="s">
        <v>328</v>
      </c>
      <c r="H79" s="319"/>
      <c r="I79" s="304"/>
      <c r="J79" s="322">
        <f t="shared" ref="J79:AP79" si="1">J21+J33</f>
        <v>0</v>
      </c>
      <c r="K79" s="322">
        <f t="shared" si="1"/>
        <v>0.83419334826873881</v>
      </c>
      <c r="L79" s="322">
        <f t="shared" si="1"/>
        <v>0</v>
      </c>
      <c r="M79" s="322">
        <f t="shared" si="1"/>
        <v>0</v>
      </c>
      <c r="N79" s="322">
        <f t="shared" si="1"/>
        <v>0.82954139798058635</v>
      </c>
      <c r="O79" s="322">
        <f t="shared" si="1"/>
        <v>0</v>
      </c>
      <c r="P79" s="322">
        <f t="shared" si="1"/>
        <v>0.82511107994478083</v>
      </c>
      <c r="Q79" s="322">
        <f t="shared" si="1"/>
        <v>0.81011744758307003</v>
      </c>
      <c r="R79" s="322">
        <f t="shared" si="1"/>
        <v>0.79164724481620607</v>
      </c>
      <c r="S79" s="322">
        <f t="shared" si="1"/>
        <v>1.6096055373250031</v>
      </c>
      <c r="T79" s="322">
        <f t="shared" si="1"/>
        <v>1.551467003559913</v>
      </c>
      <c r="U79" s="322">
        <f t="shared" si="1"/>
        <v>1.3097914850832961</v>
      </c>
      <c r="V79" s="322">
        <f t="shared" si="1"/>
        <v>1.1269321297002284</v>
      </c>
      <c r="W79" s="322">
        <f t="shared" si="1"/>
        <v>0.95538555937287961</v>
      </c>
      <c r="X79" s="322">
        <f t="shared" si="1"/>
        <v>0</v>
      </c>
      <c r="Y79" s="322">
        <f t="shared" si="1"/>
        <v>0</v>
      </c>
      <c r="Z79" s="322">
        <f t="shared" si="1"/>
        <v>0</v>
      </c>
      <c r="AA79" s="322">
        <f t="shared" si="1"/>
        <v>0</v>
      </c>
      <c r="AB79" s="322">
        <f t="shared" si="1"/>
        <v>2.1848088631389531</v>
      </c>
      <c r="AC79" s="322">
        <f t="shared" si="1"/>
        <v>0</v>
      </c>
      <c r="AD79" s="322">
        <f t="shared" si="1"/>
        <v>0</v>
      </c>
      <c r="AE79" s="322">
        <f t="shared" si="1"/>
        <v>0</v>
      </c>
      <c r="AF79" s="322">
        <f t="shared" si="1"/>
        <v>0</v>
      </c>
      <c r="AG79" s="322">
        <f t="shared" si="1"/>
        <v>-0.54464333583913571</v>
      </c>
      <c r="AH79" s="322">
        <f t="shared" si="1"/>
        <v>-0.54464333583913571</v>
      </c>
      <c r="AI79" s="322">
        <f t="shared" si="1"/>
        <v>0</v>
      </c>
      <c r="AJ79" s="322">
        <f t="shared" si="1"/>
        <v>0</v>
      </c>
      <c r="AK79" s="322">
        <f t="shared" si="1"/>
        <v>-0.46798058302197632</v>
      </c>
      <c r="AL79" s="322">
        <f t="shared" si="1"/>
        <v>-0.46798058302197632</v>
      </c>
      <c r="AM79" s="322">
        <f t="shared" si="1"/>
        <v>0</v>
      </c>
      <c r="AN79" s="322">
        <f t="shared" si="1"/>
        <v>0</v>
      </c>
      <c r="AO79" s="322">
        <f t="shared" si="1"/>
        <v>-0.26702176837636921</v>
      </c>
      <c r="AP79" s="322">
        <f t="shared" si="1"/>
        <v>-0.26702176837636921</v>
      </c>
      <c r="AQ79" s="304"/>
      <c r="AR79" s="304"/>
    </row>
    <row r="80" spans="2:44" x14ac:dyDescent="0.25">
      <c r="D80"/>
      <c r="E80" s="91"/>
      <c r="F80" t="s">
        <v>195</v>
      </c>
      <c r="G80" t="s">
        <v>328</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0.83190873488841066</v>
      </c>
      <c r="T80" s="322">
        <f t="shared" si="2"/>
        <v>0.82836288513491008</v>
      </c>
      <c r="U80" s="322">
        <f t="shared" si="2"/>
        <v>0.8126134877317498</v>
      </c>
      <c r="V80" s="322">
        <f t="shared" si="2"/>
        <v>0.80013336374687116</v>
      </c>
      <c r="W80" s="322">
        <f t="shared" si="2"/>
        <v>0.78901404213570625</v>
      </c>
      <c r="X80" s="322">
        <f t="shared" si="2"/>
        <v>0</v>
      </c>
      <c r="Y80" s="322">
        <f t="shared" si="2"/>
        <v>0</v>
      </c>
      <c r="Z80" s="322">
        <f t="shared" si="2"/>
        <v>0</v>
      </c>
      <c r="AA80" s="322">
        <f t="shared" si="2"/>
        <v>0</v>
      </c>
      <c r="AB80" s="322">
        <f t="shared" si="2"/>
        <v>1.5311268659491126</v>
      </c>
      <c r="AC80" s="322">
        <f t="shared" si="2"/>
        <v>0</v>
      </c>
      <c r="AD80" s="322">
        <f t="shared" si="2"/>
        <v>0</v>
      </c>
      <c r="AE80" s="322">
        <f t="shared" si="2"/>
        <v>0</v>
      </c>
      <c r="AF80" s="322">
        <f t="shared" si="2"/>
        <v>0</v>
      </c>
      <c r="AG80" s="322">
        <f t="shared" si="2"/>
        <v>-3.3209662589205137E-2</v>
      </c>
      <c r="AH80" s="322">
        <f t="shared" si="2"/>
        <v>-3.3209662589205137E-2</v>
      </c>
      <c r="AI80" s="322">
        <f t="shared" si="2"/>
        <v>0</v>
      </c>
      <c r="AJ80" s="322">
        <f t="shared" si="2"/>
        <v>0</v>
      </c>
      <c r="AK80" s="322">
        <f t="shared" si="2"/>
        <v>-2.8000181322170133E-2</v>
      </c>
      <c r="AL80" s="322">
        <f t="shared" si="2"/>
        <v>-2.8000181322170133E-2</v>
      </c>
      <c r="AM80" s="322">
        <f t="shared" si="2"/>
        <v>0</v>
      </c>
      <c r="AN80" s="322">
        <f t="shared" si="2"/>
        <v>0</v>
      </c>
      <c r="AO80" s="322">
        <f t="shared" si="2"/>
        <v>-1.4079568759351556E-2</v>
      </c>
      <c r="AP80" s="322">
        <f t="shared" si="2"/>
        <v>-1.4079568759351556E-2</v>
      </c>
      <c r="AQ80" s="304"/>
      <c r="AR80" s="304"/>
    </row>
    <row r="81" spans="3:44" x14ac:dyDescent="0.25">
      <c r="D81"/>
      <c r="E81" s="91"/>
      <c r="F81" t="s">
        <v>196</v>
      </c>
      <c r="G81" t="s">
        <v>329</v>
      </c>
      <c r="H81" s="51"/>
      <c r="J81" s="101">
        <f t="shared" ref="J81:AP81" si="3">J23+J35</f>
        <v>3.353616541558083</v>
      </c>
      <c r="K81" s="101">
        <f t="shared" si="3"/>
        <v>3.353616541558083</v>
      </c>
      <c r="L81" s="101">
        <f t="shared" si="3"/>
        <v>0</v>
      </c>
      <c r="M81" s="101">
        <f t="shared" si="3"/>
        <v>6.6420806253499158</v>
      </c>
      <c r="N81" s="101">
        <f t="shared" si="3"/>
        <v>6.6420806253499158</v>
      </c>
      <c r="O81" s="101">
        <f t="shared" si="3"/>
        <v>0</v>
      </c>
      <c r="P81" s="101">
        <f t="shared" si="3"/>
        <v>24.941346223170729</v>
      </c>
      <c r="Q81" s="101">
        <f t="shared" si="3"/>
        <v>4.2796858862103067</v>
      </c>
      <c r="R81" s="101">
        <f t="shared" si="3"/>
        <v>174.33966634911576</v>
      </c>
      <c r="S81" s="101">
        <f t="shared" si="3"/>
        <v>3.353616541558083</v>
      </c>
      <c r="T81" s="101">
        <f t="shared" si="3"/>
        <v>6.6420806253499158</v>
      </c>
      <c r="U81" s="101">
        <f t="shared" si="3"/>
        <v>9.9566299822779722</v>
      </c>
      <c r="V81" s="101">
        <f t="shared" si="3"/>
        <v>7.7722196780955866</v>
      </c>
      <c r="W81" s="101">
        <f t="shared" si="3"/>
        <v>71.751854690784072</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44.905373277154183</v>
      </c>
      <c r="AN81" s="101">
        <f t="shared" si="3"/>
        <v>44.905373277154183</v>
      </c>
      <c r="AO81" s="101">
        <f t="shared" si="3"/>
        <v>44.905373277154183</v>
      </c>
      <c r="AP81" s="101">
        <f t="shared" si="3"/>
        <v>44.905373277154183</v>
      </c>
    </row>
    <row r="82" spans="3:44" x14ac:dyDescent="0.25">
      <c r="D82"/>
      <c r="E82" s="91"/>
      <c r="F82" t="s">
        <v>197</v>
      </c>
      <c r="G82" t="s">
        <v>330</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2.7625667748892875</v>
      </c>
      <c r="V82" s="101">
        <f t="shared" si="4"/>
        <v>3.4405778262667734</v>
      </c>
      <c r="W82" s="101">
        <f t="shared" si="4"/>
        <v>4.195134106967072</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198</v>
      </c>
      <c r="G83" t="s">
        <v>330</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5.7933783768846823</v>
      </c>
      <c r="V83" s="101">
        <f t="shared" si="5"/>
        <v>5.341715898377883</v>
      </c>
      <c r="W83" s="101">
        <f t="shared" si="5"/>
        <v>6.2214974788040589</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199</v>
      </c>
      <c r="G84" s="37" t="s">
        <v>331</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0.14584572836479107</v>
      </c>
      <c r="V84" s="324">
        <f t="shared" si="6"/>
        <v>0.10097946392192872</v>
      </c>
      <c r="W84" s="324">
        <f t="shared" si="6"/>
        <v>5.2644561214017643E-2</v>
      </c>
      <c r="X84" s="324">
        <f t="shared" si="6"/>
        <v>0</v>
      </c>
      <c r="Y84" s="324">
        <f t="shared" si="6"/>
        <v>0</v>
      </c>
      <c r="Z84" s="324">
        <f t="shared" si="6"/>
        <v>0</v>
      </c>
      <c r="AA84" s="324">
        <f t="shared" si="6"/>
        <v>0</v>
      </c>
      <c r="AB84" s="324">
        <f t="shared" si="6"/>
        <v>0</v>
      </c>
      <c r="AC84" s="324">
        <f t="shared" si="6"/>
        <v>0</v>
      </c>
      <c r="AD84" s="324">
        <f t="shared" si="6"/>
        <v>0</v>
      </c>
      <c r="AE84" s="324">
        <f t="shared" si="6"/>
        <v>0.14015426890768115</v>
      </c>
      <c r="AF84" s="324">
        <f t="shared" si="6"/>
        <v>0</v>
      </c>
      <c r="AG84" s="324">
        <f t="shared" si="6"/>
        <v>0.14015426890768115</v>
      </c>
      <c r="AH84" s="324">
        <f t="shared" si="6"/>
        <v>0</v>
      </c>
      <c r="AI84" s="324">
        <f t="shared" si="6"/>
        <v>0.11870967116759318</v>
      </c>
      <c r="AJ84" s="324">
        <f t="shared" si="6"/>
        <v>0</v>
      </c>
      <c r="AK84" s="324">
        <f t="shared" si="6"/>
        <v>0.11870967116759318</v>
      </c>
      <c r="AL84" s="324">
        <f t="shared" si="6"/>
        <v>0</v>
      </c>
      <c r="AM84" s="324">
        <f t="shared" si="6"/>
        <v>9.4983698732843916E-2</v>
      </c>
      <c r="AN84" s="324">
        <f t="shared" si="6"/>
        <v>0</v>
      </c>
      <c r="AO84" s="324">
        <f t="shared" si="6"/>
        <v>9.4983698732843916E-2</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1046</v>
      </c>
      <c r="F88" s="32"/>
      <c r="I88" t="s">
        <v>191</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192</v>
      </c>
    </row>
    <row r="89" spans="3:44" x14ac:dyDescent="0.25">
      <c r="E89" s="91"/>
      <c r="F89" s="23" t="s">
        <v>193</v>
      </c>
      <c r="G89" s="23" t="s">
        <v>328</v>
      </c>
      <c r="H89" s="318"/>
      <c r="I89" s="302"/>
      <c r="J89" s="311">
        <f>ROUND(J78,$H63)</f>
        <v>2.085</v>
      </c>
      <c r="K89" s="311">
        <f t="shared" ref="K89:AP89" si="7">ROUND(K78,$H63)</f>
        <v>2.339</v>
      </c>
      <c r="L89" s="311">
        <f t="shared" si="7"/>
        <v>1.2030000000000001</v>
      </c>
      <c r="M89" s="311">
        <f t="shared" si="7"/>
        <v>1.9590000000000001</v>
      </c>
      <c r="N89" s="311">
        <f t="shared" si="7"/>
        <v>2.1160000000000001</v>
      </c>
      <c r="O89" s="311">
        <f t="shared" si="7"/>
        <v>0.98599999999999999</v>
      </c>
      <c r="P89" s="311">
        <f t="shared" si="7"/>
        <v>2.048</v>
      </c>
      <c r="Q89" s="311">
        <f t="shared" si="7"/>
        <v>1.637</v>
      </c>
      <c r="R89" s="311">
        <f t="shared" si="7"/>
        <v>1.2949999999999999</v>
      </c>
      <c r="S89" s="311">
        <f t="shared" si="7"/>
        <v>8.2260000000000009</v>
      </c>
      <c r="T89" s="311">
        <f t="shared" si="7"/>
        <v>7.7030000000000003</v>
      </c>
      <c r="U89" s="311">
        <f t="shared" si="7"/>
        <v>5.7190000000000003</v>
      </c>
      <c r="V89" s="311">
        <f t="shared" si="7"/>
        <v>4.3209999999999997</v>
      </c>
      <c r="W89" s="311">
        <f t="shared" si="7"/>
        <v>2.9079999999999999</v>
      </c>
      <c r="X89" s="311">
        <f t="shared" si="7"/>
        <v>2.3530000000000002</v>
      </c>
      <c r="Y89" s="311">
        <f t="shared" si="7"/>
        <v>2.585</v>
      </c>
      <c r="Z89" s="311">
        <f t="shared" si="7"/>
        <v>3.4870000000000001</v>
      </c>
      <c r="AA89" s="311">
        <f t="shared" si="7"/>
        <v>2.1190000000000002</v>
      </c>
      <c r="AB89" s="311">
        <f t="shared" si="7"/>
        <v>21.2</v>
      </c>
      <c r="AC89" s="311">
        <f t="shared" si="7"/>
        <v>-0.628</v>
      </c>
      <c r="AD89" s="311">
        <f t="shared" si="7"/>
        <v>-0.54800000000000004</v>
      </c>
      <c r="AE89" s="311">
        <f t="shared" si="7"/>
        <v>-0.628</v>
      </c>
      <c r="AF89" s="311">
        <f t="shared" si="7"/>
        <v>-0.628</v>
      </c>
      <c r="AG89" s="311">
        <f t="shared" si="7"/>
        <v>-4.8959999999999999</v>
      </c>
      <c r="AH89" s="311">
        <f t="shared" si="7"/>
        <v>-4.8959999999999999</v>
      </c>
      <c r="AI89" s="311">
        <f t="shared" si="7"/>
        <v>-0.54800000000000004</v>
      </c>
      <c r="AJ89" s="311">
        <f t="shared" si="7"/>
        <v>-0.54800000000000004</v>
      </c>
      <c r="AK89" s="311">
        <f t="shared" si="7"/>
        <v>-4.306</v>
      </c>
      <c r="AL89" s="311">
        <f t="shared" si="7"/>
        <v>-4.306</v>
      </c>
      <c r="AM89" s="311">
        <f t="shared" si="7"/>
        <v>-0.34300000000000003</v>
      </c>
      <c r="AN89" s="311">
        <f t="shared" si="7"/>
        <v>-0.34300000000000003</v>
      </c>
      <c r="AO89" s="311">
        <f t="shared" si="7"/>
        <v>-2.8090000000000002</v>
      </c>
      <c r="AP89" s="311">
        <f t="shared" si="7"/>
        <v>-2.8090000000000002</v>
      </c>
      <c r="AQ89" s="304"/>
      <c r="AR89" s="304"/>
    </row>
    <row r="90" spans="3:44" x14ac:dyDescent="0.25">
      <c r="E90" s="91"/>
      <c r="F90" t="s">
        <v>194</v>
      </c>
      <c r="G90" t="s">
        <v>328</v>
      </c>
      <c r="H90" s="319"/>
      <c r="I90" s="304"/>
      <c r="J90" s="312">
        <f t="shared" ref="J90:AP90" si="8">ROUND(J79,$H64)</f>
        <v>0</v>
      </c>
      <c r="K90" s="312">
        <f t="shared" si="8"/>
        <v>0.83399999999999996</v>
      </c>
      <c r="L90" s="312">
        <f t="shared" si="8"/>
        <v>0</v>
      </c>
      <c r="M90" s="312">
        <f t="shared" si="8"/>
        <v>0</v>
      </c>
      <c r="N90" s="312">
        <f t="shared" si="8"/>
        <v>0.83</v>
      </c>
      <c r="O90" s="312">
        <f t="shared" si="8"/>
        <v>0</v>
      </c>
      <c r="P90" s="312">
        <f t="shared" si="8"/>
        <v>0.82499999999999996</v>
      </c>
      <c r="Q90" s="312">
        <f t="shared" si="8"/>
        <v>0.81</v>
      </c>
      <c r="R90" s="312">
        <f t="shared" si="8"/>
        <v>0.79200000000000004</v>
      </c>
      <c r="S90" s="312">
        <f t="shared" si="8"/>
        <v>1.61</v>
      </c>
      <c r="T90" s="312">
        <f t="shared" si="8"/>
        <v>1.5509999999999999</v>
      </c>
      <c r="U90" s="312">
        <f t="shared" si="8"/>
        <v>1.31</v>
      </c>
      <c r="V90" s="312">
        <f t="shared" si="8"/>
        <v>1.127</v>
      </c>
      <c r="W90" s="312">
        <f t="shared" si="8"/>
        <v>0.95499999999999996</v>
      </c>
      <c r="X90" s="312">
        <f t="shared" si="8"/>
        <v>0</v>
      </c>
      <c r="Y90" s="312">
        <f t="shared" si="8"/>
        <v>0</v>
      </c>
      <c r="Z90" s="312">
        <f t="shared" si="8"/>
        <v>0</v>
      </c>
      <c r="AA90" s="312">
        <f t="shared" si="8"/>
        <v>0</v>
      </c>
      <c r="AB90" s="312">
        <f t="shared" si="8"/>
        <v>2.1850000000000001</v>
      </c>
      <c r="AC90" s="312">
        <f t="shared" si="8"/>
        <v>0</v>
      </c>
      <c r="AD90" s="312">
        <f t="shared" si="8"/>
        <v>0</v>
      </c>
      <c r="AE90" s="312">
        <f t="shared" si="8"/>
        <v>0</v>
      </c>
      <c r="AF90" s="312">
        <f t="shared" si="8"/>
        <v>0</v>
      </c>
      <c r="AG90" s="312">
        <f t="shared" si="8"/>
        <v>-0.54500000000000004</v>
      </c>
      <c r="AH90" s="312">
        <f t="shared" si="8"/>
        <v>-0.54500000000000004</v>
      </c>
      <c r="AI90" s="312">
        <f t="shared" si="8"/>
        <v>0</v>
      </c>
      <c r="AJ90" s="312">
        <f t="shared" si="8"/>
        <v>0</v>
      </c>
      <c r="AK90" s="312">
        <f t="shared" si="8"/>
        <v>-0.46800000000000003</v>
      </c>
      <c r="AL90" s="312">
        <f t="shared" si="8"/>
        <v>-0.46800000000000003</v>
      </c>
      <c r="AM90" s="312">
        <f t="shared" si="8"/>
        <v>0</v>
      </c>
      <c r="AN90" s="312">
        <f t="shared" si="8"/>
        <v>0</v>
      </c>
      <c r="AO90" s="312">
        <f t="shared" si="8"/>
        <v>-0.26700000000000002</v>
      </c>
      <c r="AP90" s="312">
        <f t="shared" si="8"/>
        <v>-0.26700000000000002</v>
      </c>
      <c r="AQ90" s="304"/>
      <c r="AR90" s="304"/>
    </row>
    <row r="91" spans="3:44" x14ac:dyDescent="0.25">
      <c r="E91" s="91"/>
      <c r="F91" t="s">
        <v>195</v>
      </c>
      <c r="G91" t="s">
        <v>328</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0.83199999999999996</v>
      </c>
      <c r="T91" s="312">
        <f t="shared" si="9"/>
        <v>0.82799999999999996</v>
      </c>
      <c r="U91" s="312">
        <f t="shared" si="9"/>
        <v>0.81299999999999994</v>
      </c>
      <c r="V91" s="312">
        <f t="shared" si="9"/>
        <v>0.8</v>
      </c>
      <c r="W91" s="312">
        <f t="shared" si="9"/>
        <v>0.78900000000000003</v>
      </c>
      <c r="X91" s="312">
        <f t="shared" si="9"/>
        <v>0</v>
      </c>
      <c r="Y91" s="312">
        <f t="shared" si="9"/>
        <v>0</v>
      </c>
      <c r="Z91" s="312">
        <f t="shared" si="9"/>
        <v>0</v>
      </c>
      <c r="AA91" s="312">
        <f t="shared" si="9"/>
        <v>0</v>
      </c>
      <c r="AB91" s="312">
        <f t="shared" si="9"/>
        <v>1.5309999999999999</v>
      </c>
      <c r="AC91" s="312">
        <f t="shared" si="9"/>
        <v>0</v>
      </c>
      <c r="AD91" s="312">
        <f t="shared" si="9"/>
        <v>0</v>
      </c>
      <c r="AE91" s="312">
        <f t="shared" si="9"/>
        <v>0</v>
      </c>
      <c r="AF91" s="312">
        <f t="shared" si="9"/>
        <v>0</v>
      </c>
      <c r="AG91" s="312">
        <f t="shared" si="9"/>
        <v>-3.3000000000000002E-2</v>
      </c>
      <c r="AH91" s="312">
        <f t="shared" si="9"/>
        <v>-3.3000000000000002E-2</v>
      </c>
      <c r="AI91" s="312">
        <f t="shared" si="9"/>
        <v>0</v>
      </c>
      <c r="AJ91" s="312">
        <f t="shared" si="9"/>
        <v>0</v>
      </c>
      <c r="AK91" s="312">
        <f t="shared" si="9"/>
        <v>-2.8000000000000001E-2</v>
      </c>
      <c r="AL91" s="312">
        <f t="shared" si="9"/>
        <v>-2.8000000000000001E-2</v>
      </c>
      <c r="AM91" s="312">
        <f t="shared" si="9"/>
        <v>0</v>
      </c>
      <c r="AN91" s="312">
        <f t="shared" si="9"/>
        <v>0</v>
      </c>
      <c r="AO91" s="312">
        <f t="shared" si="9"/>
        <v>-1.4E-2</v>
      </c>
      <c r="AP91" s="312">
        <f t="shared" si="9"/>
        <v>-1.4E-2</v>
      </c>
      <c r="AQ91" s="304"/>
      <c r="AR91" s="304"/>
    </row>
    <row r="92" spans="3:44" x14ac:dyDescent="0.25">
      <c r="E92" s="91"/>
      <c r="F92" t="s">
        <v>196</v>
      </c>
      <c r="G92" t="s">
        <v>329</v>
      </c>
      <c r="H92" s="51"/>
      <c r="J92" s="124">
        <f t="shared" ref="J92:AP92" si="10">ROUND(J81,$H66)</f>
        <v>3.35</v>
      </c>
      <c r="K92" s="124">
        <f t="shared" si="10"/>
        <v>3.35</v>
      </c>
      <c r="L92" s="124">
        <f t="shared" si="10"/>
        <v>0</v>
      </c>
      <c r="M92" s="124">
        <f t="shared" si="10"/>
        <v>6.64</v>
      </c>
      <c r="N92" s="124">
        <f t="shared" si="10"/>
        <v>6.64</v>
      </c>
      <c r="O92" s="124">
        <f t="shared" si="10"/>
        <v>0</v>
      </c>
      <c r="P92" s="124">
        <f t="shared" si="10"/>
        <v>24.94</v>
      </c>
      <c r="Q92" s="124">
        <f t="shared" si="10"/>
        <v>4.28</v>
      </c>
      <c r="R92" s="124">
        <f t="shared" si="10"/>
        <v>174.34</v>
      </c>
      <c r="S92" s="124">
        <f t="shared" si="10"/>
        <v>3.35</v>
      </c>
      <c r="T92" s="124">
        <f t="shared" si="10"/>
        <v>6.64</v>
      </c>
      <c r="U92" s="124">
        <f t="shared" si="10"/>
        <v>9.9600000000000009</v>
      </c>
      <c r="V92" s="124">
        <f t="shared" si="10"/>
        <v>7.77</v>
      </c>
      <c r="W92" s="124">
        <f t="shared" si="10"/>
        <v>71.75</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44.91</v>
      </c>
      <c r="AN92" s="124">
        <f t="shared" si="10"/>
        <v>44.91</v>
      </c>
      <c r="AO92" s="124">
        <f t="shared" si="10"/>
        <v>44.91</v>
      </c>
      <c r="AP92" s="124">
        <f t="shared" si="10"/>
        <v>44.91</v>
      </c>
    </row>
    <row r="93" spans="3:44" x14ac:dyDescent="0.25">
      <c r="E93" s="91"/>
      <c r="F93" t="s">
        <v>197</v>
      </c>
      <c r="G93" t="s">
        <v>330</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2.76</v>
      </c>
      <c r="V93" s="124">
        <f t="shared" si="11"/>
        <v>3.44</v>
      </c>
      <c r="W93" s="124">
        <f t="shared" si="11"/>
        <v>4.2</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198</v>
      </c>
      <c r="G94" t="s">
        <v>330</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5.79</v>
      </c>
      <c r="V94" s="124">
        <f t="shared" si="12"/>
        <v>5.34</v>
      </c>
      <c r="W94" s="124">
        <f t="shared" si="12"/>
        <v>6.22</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199</v>
      </c>
      <c r="G95" s="37" t="s">
        <v>331</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0.14599999999999999</v>
      </c>
      <c r="V95" s="313">
        <f t="shared" si="13"/>
        <v>0.10100000000000001</v>
      </c>
      <c r="W95" s="313">
        <f t="shared" si="13"/>
        <v>5.2999999999999999E-2</v>
      </c>
      <c r="X95" s="313">
        <f t="shared" si="13"/>
        <v>0</v>
      </c>
      <c r="Y95" s="313">
        <f t="shared" si="13"/>
        <v>0</v>
      </c>
      <c r="Z95" s="313">
        <f t="shared" si="13"/>
        <v>0</v>
      </c>
      <c r="AA95" s="313">
        <f t="shared" si="13"/>
        <v>0</v>
      </c>
      <c r="AB95" s="313">
        <f t="shared" si="13"/>
        <v>0</v>
      </c>
      <c r="AC95" s="313">
        <f t="shared" si="13"/>
        <v>0</v>
      </c>
      <c r="AD95" s="313">
        <f t="shared" si="13"/>
        <v>0</v>
      </c>
      <c r="AE95" s="313">
        <f t="shared" si="13"/>
        <v>0.14000000000000001</v>
      </c>
      <c r="AF95" s="313">
        <f t="shared" si="13"/>
        <v>0</v>
      </c>
      <c r="AG95" s="313">
        <f t="shared" si="13"/>
        <v>0.14000000000000001</v>
      </c>
      <c r="AH95" s="313">
        <f t="shared" si="13"/>
        <v>0</v>
      </c>
      <c r="AI95" s="313">
        <f t="shared" si="13"/>
        <v>0.11899999999999999</v>
      </c>
      <c r="AJ95" s="313">
        <f t="shared" si="13"/>
        <v>0</v>
      </c>
      <c r="AK95" s="313">
        <f t="shared" si="13"/>
        <v>0.11899999999999999</v>
      </c>
      <c r="AL95" s="313">
        <f t="shared" si="13"/>
        <v>0</v>
      </c>
      <c r="AM95" s="313">
        <f t="shared" si="13"/>
        <v>9.5000000000000001E-2</v>
      </c>
      <c r="AN95" s="313">
        <f t="shared" si="13"/>
        <v>0</v>
      </c>
      <c r="AO95" s="313">
        <f t="shared" si="13"/>
        <v>9.5000000000000001E-2</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1047</v>
      </c>
      <c r="I97" t="s">
        <v>191</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192</v>
      </c>
    </row>
    <row r="98" spans="3:44" x14ac:dyDescent="0.25">
      <c r="E98" s="91"/>
      <c r="F98" s="23" t="s">
        <v>193</v>
      </c>
      <c r="G98" s="23" t="s">
        <v>328</v>
      </c>
      <c r="H98" s="318"/>
      <c r="I98" s="302"/>
      <c r="J98" s="311">
        <f t="shared" ref="J98:P104" si="14">ROUND(J89*(1-J43),$H63)</f>
        <v>1.45</v>
      </c>
      <c r="K98" s="311">
        <f t="shared" si="14"/>
        <v>1.627</v>
      </c>
      <c r="L98" s="311">
        <f t="shared" si="14"/>
        <v>0.83699999999999997</v>
      </c>
      <c r="M98" s="311">
        <f t="shared" si="14"/>
        <v>1.363</v>
      </c>
      <c r="N98" s="311">
        <f t="shared" si="14"/>
        <v>1.472</v>
      </c>
      <c r="O98" s="311">
        <f t="shared" si="14"/>
        <v>0.68600000000000005</v>
      </c>
      <c r="P98" s="311">
        <f t="shared" si="14"/>
        <v>1.4239999999999999</v>
      </c>
      <c r="Q98" s="320"/>
      <c r="R98" s="320"/>
      <c r="S98" s="311">
        <f t="shared" ref="S98:U104" si="15">ROUND(S89*(1-S43),$H63)</f>
        <v>5.7210000000000001</v>
      </c>
      <c r="T98" s="311">
        <f t="shared" si="15"/>
        <v>5.3579999999999997</v>
      </c>
      <c r="U98" s="311">
        <f t="shared" si="15"/>
        <v>3.9780000000000002</v>
      </c>
      <c r="V98" s="320"/>
      <c r="W98" s="320"/>
      <c r="X98" s="311">
        <f t="shared" ref="X98:AC104" si="16">ROUND(X89*(1-X43),$H63)</f>
        <v>1.637</v>
      </c>
      <c r="Y98" s="311">
        <f t="shared" si="16"/>
        <v>1.798</v>
      </c>
      <c r="Z98" s="311">
        <f t="shared" si="16"/>
        <v>2.4249999999999998</v>
      </c>
      <c r="AA98" s="311">
        <f t="shared" si="16"/>
        <v>1.474</v>
      </c>
      <c r="AB98" s="311">
        <f t="shared" si="16"/>
        <v>14.744999999999999</v>
      </c>
      <c r="AC98" s="311">
        <f t="shared" si="16"/>
        <v>-0.628</v>
      </c>
      <c r="AD98" s="320"/>
      <c r="AE98" s="311">
        <f t="shared" ref="AE98:AE104" si="17">ROUND(AE89*(1-AE43),$H63)</f>
        <v>-0.628</v>
      </c>
      <c r="AF98" s="320"/>
      <c r="AG98" s="311">
        <f t="shared" ref="AG98:AG104" si="18">ROUND(AG89*(1-AG43),$H63)</f>
        <v>-4.8959999999999999</v>
      </c>
      <c r="AH98" s="320"/>
      <c r="AI98" s="320"/>
      <c r="AJ98" s="320"/>
      <c r="AK98" s="320"/>
      <c r="AL98" s="320"/>
      <c r="AM98" s="320"/>
      <c r="AN98" s="320"/>
      <c r="AO98" s="320"/>
      <c r="AP98" s="320"/>
      <c r="AQ98" s="304"/>
      <c r="AR98" s="304"/>
    </row>
    <row r="99" spans="3:44" x14ac:dyDescent="0.25">
      <c r="E99" s="91"/>
      <c r="F99" t="s">
        <v>194</v>
      </c>
      <c r="G99" t="s">
        <v>328</v>
      </c>
      <c r="H99" s="319"/>
      <c r="I99" s="304"/>
      <c r="J99" s="312">
        <f t="shared" si="14"/>
        <v>0</v>
      </c>
      <c r="K99" s="312">
        <f t="shared" si="14"/>
        <v>0.57999999999999996</v>
      </c>
      <c r="L99" s="312">
        <f t="shared" si="14"/>
        <v>0</v>
      </c>
      <c r="M99" s="312">
        <f t="shared" si="14"/>
        <v>0</v>
      </c>
      <c r="N99" s="312">
        <f t="shared" si="14"/>
        <v>0.57699999999999996</v>
      </c>
      <c r="O99" s="312">
        <f t="shared" si="14"/>
        <v>0</v>
      </c>
      <c r="P99" s="312">
        <f t="shared" si="14"/>
        <v>0.57399999999999995</v>
      </c>
      <c r="Q99" s="305"/>
      <c r="R99" s="305"/>
      <c r="S99" s="312">
        <f t="shared" si="15"/>
        <v>1.1200000000000001</v>
      </c>
      <c r="T99" s="312">
        <f t="shared" si="15"/>
        <v>1.079</v>
      </c>
      <c r="U99" s="312">
        <f t="shared" si="15"/>
        <v>0.91100000000000003</v>
      </c>
      <c r="V99" s="305"/>
      <c r="W99" s="305"/>
      <c r="X99" s="312">
        <f t="shared" si="16"/>
        <v>0</v>
      </c>
      <c r="Y99" s="312">
        <f t="shared" si="16"/>
        <v>0</v>
      </c>
      <c r="Z99" s="312">
        <f t="shared" si="16"/>
        <v>0</v>
      </c>
      <c r="AA99" s="312">
        <f t="shared" si="16"/>
        <v>0</v>
      </c>
      <c r="AB99" s="312">
        <f t="shared" si="16"/>
        <v>1.52</v>
      </c>
      <c r="AC99" s="312">
        <f t="shared" si="16"/>
        <v>0</v>
      </c>
      <c r="AD99" s="305"/>
      <c r="AE99" s="312">
        <f t="shared" si="17"/>
        <v>0</v>
      </c>
      <c r="AF99" s="305"/>
      <c r="AG99" s="312">
        <f t="shared" si="18"/>
        <v>-0.54500000000000004</v>
      </c>
      <c r="AH99" s="305"/>
      <c r="AI99" s="305"/>
      <c r="AJ99" s="305"/>
      <c r="AK99" s="305"/>
      <c r="AL99" s="305"/>
      <c r="AM99" s="305"/>
      <c r="AN99" s="305"/>
      <c r="AO99" s="305"/>
      <c r="AP99" s="305"/>
      <c r="AQ99" s="304"/>
      <c r="AR99" s="304"/>
    </row>
    <row r="100" spans="3:44" x14ac:dyDescent="0.25">
      <c r="E100" s="91"/>
      <c r="F100" t="s">
        <v>195</v>
      </c>
      <c r="G100" t="s">
        <v>328</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0.57899999999999996</v>
      </c>
      <c r="T100" s="312">
        <f t="shared" si="15"/>
        <v>0.57599999999999996</v>
      </c>
      <c r="U100" s="312">
        <f t="shared" si="15"/>
        <v>0.56499999999999995</v>
      </c>
      <c r="V100" s="305"/>
      <c r="W100" s="305"/>
      <c r="X100" s="312">
        <f t="shared" si="16"/>
        <v>0</v>
      </c>
      <c r="Y100" s="312">
        <f t="shared" si="16"/>
        <v>0</v>
      </c>
      <c r="Z100" s="312">
        <f t="shared" si="16"/>
        <v>0</v>
      </c>
      <c r="AA100" s="312">
        <f t="shared" si="16"/>
        <v>0</v>
      </c>
      <c r="AB100" s="312">
        <f t="shared" si="16"/>
        <v>1.0649999999999999</v>
      </c>
      <c r="AC100" s="312">
        <f t="shared" si="16"/>
        <v>0</v>
      </c>
      <c r="AD100" s="305"/>
      <c r="AE100" s="312">
        <f t="shared" si="17"/>
        <v>0</v>
      </c>
      <c r="AF100" s="305"/>
      <c r="AG100" s="312">
        <f t="shared" si="18"/>
        <v>-3.3000000000000002E-2</v>
      </c>
      <c r="AH100" s="305"/>
      <c r="AI100" s="305"/>
      <c r="AJ100" s="305"/>
      <c r="AK100" s="305"/>
      <c r="AL100" s="305"/>
      <c r="AM100" s="305"/>
      <c r="AN100" s="305"/>
      <c r="AO100" s="305"/>
      <c r="AP100" s="305"/>
      <c r="AQ100" s="304"/>
      <c r="AR100" s="304"/>
    </row>
    <row r="101" spans="3:44" x14ac:dyDescent="0.25">
      <c r="E101" s="91"/>
      <c r="F101" t="s">
        <v>196</v>
      </c>
      <c r="G101" t="s">
        <v>329</v>
      </c>
      <c r="H101" s="51"/>
      <c r="J101" s="124">
        <f t="shared" si="14"/>
        <v>2.33</v>
      </c>
      <c r="K101" s="124">
        <f t="shared" si="14"/>
        <v>2.33</v>
      </c>
      <c r="L101" s="124">
        <f t="shared" si="14"/>
        <v>0</v>
      </c>
      <c r="M101" s="124">
        <f t="shared" si="14"/>
        <v>4.62</v>
      </c>
      <c r="N101" s="124">
        <f t="shared" si="14"/>
        <v>4.62</v>
      </c>
      <c r="O101" s="124">
        <f t="shared" si="14"/>
        <v>0</v>
      </c>
      <c r="P101" s="124">
        <f t="shared" si="14"/>
        <v>17.350000000000001</v>
      </c>
      <c r="Q101" s="79"/>
      <c r="R101" s="79"/>
      <c r="S101" s="124">
        <f t="shared" si="15"/>
        <v>2.33</v>
      </c>
      <c r="T101" s="124">
        <f t="shared" si="15"/>
        <v>4.62</v>
      </c>
      <c r="U101" s="124">
        <f t="shared" si="15"/>
        <v>6.93</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197</v>
      </c>
      <c r="G102" t="s">
        <v>330</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1.92</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198</v>
      </c>
      <c r="G103" t="s">
        <v>330</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4.03</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199</v>
      </c>
      <c r="G104" s="37" t="s">
        <v>331</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0.10199999999999999</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0.14000000000000001</v>
      </c>
      <c r="AF104" s="309"/>
      <c r="AG104" s="313">
        <f t="shared" si="18"/>
        <v>0.14000000000000001</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1048</v>
      </c>
      <c r="I106" t="s">
        <v>191</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192</v>
      </c>
    </row>
    <row r="107" spans="3:44" x14ac:dyDescent="0.25">
      <c r="C107" s="91"/>
      <c r="F107" s="23" t="s">
        <v>193</v>
      </c>
      <c r="G107" s="23" t="s">
        <v>328</v>
      </c>
      <c r="H107" s="318"/>
      <c r="I107" s="302"/>
      <c r="J107" s="311">
        <f t="shared" ref="J107:P113" si="19">ROUND(J89*(1-J52),$H63)</f>
        <v>1.1020000000000001</v>
      </c>
      <c r="K107" s="311">
        <f t="shared" si="19"/>
        <v>1.2370000000000001</v>
      </c>
      <c r="L107" s="311">
        <f t="shared" si="19"/>
        <v>0.63600000000000001</v>
      </c>
      <c r="M107" s="311">
        <f t="shared" si="19"/>
        <v>1.036</v>
      </c>
      <c r="N107" s="311">
        <f t="shared" si="19"/>
        <v>1.119</v>
      </c>
      <c r="O107" s="311">
        <f t="shared" si="19"/>
        <v>0.52100000000000002</v>
      </c>
      <c r="P107" s="311">
        <f t="shared" si="19"/>
        <v>1.083</v>
      </c>
      <c r="Q107" s="320"/>
      <c r="R107" s="320"/>
      <c r="S107" s="311">
        <f t="shared" ref="S107:AE107" si="20">ROUND(S89*(1-S52),$H63)</f>
        <v>4.3499999999999996</v>
      </c>
      <c r="T107" s="311">
        <f t="shared" si="20"/>
        <v>4.0730000000000004</v>
      </c>
      <c r="U107" s="311">
        <f t="shared" si="20"/>
        <v>3.024</v>
      </c>
      <c r="V107" s="311">
        <f t="shared" si="20"/>
        <v>3.335</v>
      </c>
      <c r="W107" s="311">
        <f t="shared" si="20"/>
        <v>2.5430000000000001</v>
      </c>
      <c r="X107" s="311">
        <f t="shared" si="20"/>
        <v>1.244</v>
      </c>
      <c r="Y107" s="311">
        <f t="shared" si="20"/>
        <v>1.367</v>
      </c>
      <c r="Z107" s="311">
        <f t="shared" si="20"/>
        <v>1.8440000000000001</v>
      </c>
      <c r="AA107" s="311">
        <f t="shared" si="20"/>
        <v>1.1200000000000001</v>
      </c>
      <c r="AB107" s="311">
        <f t="shared" si="20"/>
        <v>11.21</v>
      </c>
      <c r="AC107" s="311">
        <f t="shared" si="20"/>
        <v>-0.628</v>
      </c>
      <c r="AD107" s="311">
        <f t="shared" si="20"/>
        <v>-0.54800000000000004</v>
      </c>
      <c r="AE107" s="311">
        <f t="shared" si="20"/>
        <v>-0.628</v>
      </c>
      <c r="AF107" s="320"/>
      <c r="AG107" s="311">
        <f t="shared" ref="AG107:AG113" si="21">ROUND(AG89*(1-AG52),$H63)</f>
        <v>-4.8959999999999999</v>
      </c>
      <c r="AH107" s="320"/>
      <c r="AI107" s="311">
        <f t="shared" ref="AI107:AI113" si="22">ROUND(AI89*(1-AI52),$H63)</f>
        <v>-0.54800000000000004</v>
      </c>
      <c r="AJ107" s="320"/>
      <c r="AK107" s="311">
        <f t="shared" ref="AK107:AK113" si="23">ROUND(AK89*(1-AK52),$H63)</f>
        <v>-4.306</v>
      </c>
      <c r="AL107" s="320"/>
      <c r="AM107" s="311">
        <f t="shared" ref="AM107:AM113" si="24">ROUND(AM89*(1-AM52),$H63)</f>
        <v>-0.34300000000000003</v>
      </c>
      <c r="AN107" s="320"/>
      <c r="AO107" s="311">
        <f t="shared" ref="AO107:AO113" si="25">ROUND(AO89*(1-AO52),$H63)</f>
        <v>-2.8090000000000002</v>
      </c>
      <c r="AP107" s="320"/>
      <c r="AQ107" s="304"/>
      <c r="AR107" s="304"/>
    </row>
    <row r="108" spans="3:44" x14ac:dyDescent="0.25">
      <c r="C108" s="91"/>
      <c r="F108" t="s">
        <v>194</v>
      </c>
      <c r="G108" t="s">
        <v>328</v>
      </c>
      <c r="H108" s="319"/>
      <c r="I108" s="304"/>
      <c r="J108" s="312">
        <f t="shared" si="19"/>
        <v>0</v>
      </c>
      <c r="K108" s="312">
        <f t="shared" si="19"/>
        <v>0.441</v>
      </c>
      <c r="L108" s="312">
        <f t="shared" si="19"/>
        <v>0</v>
      </c>
      <c r="M108" s="312">
        <f t="shared" si="19"/>
        <v>0</v>
      </c>
      <c r="N108" s="312">
        <f t="shared" si="19"/>
        <v>0.439</v>
      </c>
      <c r="O108" s="312">
        <f t="shared" si="19"/>
        <v>0</v>
      </c>
      <c r="P108" s="312">
        <f t="shared" si="19"/>
        <v>0.436</v>
      </c>
      <c r="Q108" s="305"/>
      <c r="R108" s="305"/>
      <c r="S108" s="312">
        <f t="shared" ref="S108:AE108" si="26">ROUND(S90*(1-S53),$H64)</f>
        <v>0.85099999999999998</v>
      </c>
      <c r="T108" s="312">
        <f t="shared" si="26"/>
        <v>0.82</v>
      </c>
      <c r="U108" s="312">
        <f t="shared" si="26"/>
        <v>0.69299999999999995</v>
      </c>
      <c r="V108" s="312">
        <f t="shared" si="26"/>
        <v>0.87</v>
      </c>
      <c r="W108" s="312">
        <f t="shared" si="26"/>
        <v>0.83499999999999996</v>
      </c>
      <c r="X108" s="312">
        <f t="shared" si="26"/>
        <v>0</v>
      </c>
      <c r="Y108" s="312">
        <f t="shared" si="26"/>
        <v>0</v>
      </c>
      <c r="Z108" s="312">
        <f t="shared" si="26"/>
        <v>0</v>
      </c>
      <c r="AA108" s="312">
        <f t="shared" si="26"/>
        <v>0</v>
      </c>
      <c r="AB108" s="312">
        <f t="shared" si="26"/>
        <v>1.155</v>
      </c>
      <c r="AC108" s="312">
        <f t="shared" si="26"/>
        <v>0</v>
      </c>
      <c r="AD108" s="312">
        <f t="shared" si="26"/>
        <v>0</v>
      </c>
      <c r="AE108" s="312">
        <f t="shared" si="26"/>
        <v>0</v>
      </c>
      <c r="AF108" s="305"/>
      <c r="AG108" s="312">
        <f t="shared" si="21"/>
        <v>-0.54500000000000004</v>
      </c>
      <c r="AH108" s="305"/>
      <c r="AI108" s="312">
        <f t="shared" si="22"/>
        <v>0</v>
      </c>
      <c r="AJ108" s="305"/>
      <c r="AK108" s="312">
        <f t="shared" si="23"/>
        <v>-0.46800000000000003</v>
      </c>
      <c r="AL108" s="305"/>
      <c r="AM108" s="312">
        <f t="shared" si="24"/>
        <v>0</v>
      </c>
      <c r="AN108" s="305"/>
      <c r="AO108" s="312">
        <f t="shared" si="25"/>
        <v>-0.26700000000000002</v>
      </c>
      <c r="AP108" s="305"/>
      <c r="AQ108" s="304"/>
      <c r="AR108" s="304"/>
    </row>
    <row r="109" spans="3:44" x14ac:dyDescent="0.25">
      <c r="C109" s="91"/>
      <c r="F109" t="s">
        <v>195</v>
      </c>
      <c r="G109" t="s">
        <v>328</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0.44</v>
      </c>
      <c r="T109" s="312">
        <f t="shared" si="27"/>
        <v>0.438</v>
      </c>
      <c r="U109" s="312">
        <f t="shared" si="27"/>
        <v>0.43</v>
      </c>
      <c r="V109" s="312">
        <f t="shared" si="27"/>
        <v>0.61699999999999999</v>
      </c>
      <c r="W109" s="312">
        <f t="shared" si="27"/>
        <v>0.69</v>
      </c>
      <c r="X109" s="312">
        <f t="shared" si="27"/>
        <v>0</v>
      </c>
      <c r="Y109" s="312">
        <f t="shared" si="27"/>
        <v>0</v>
      </c>
      <c r="Z109" s="312">
        <f t="shared" si="27"/>
        <v>0</v>
      </c>
      <c r="AA109" s="312">
        <f t="shared" si="27"/>
        <v>0</v>
      </c>
      <c r="AB109" s="312">
        <f t="shared" si="27"/>
        <v>0.81</v>
      </c>
      <c r="AC109" s="312">
        <f t="shared" si="27"/>
        <v>0</v>
      </c>
      <c r="AD109" s="312">
        <f t="shared" si="27"/>
        <v>0</v>
      </c>
      <c r="AE109" s="312">
        <f t="shared" si="27"/>
        <v>0</v>
      </c>
      <c r="AF109" s="305"/>
      <c r="AG109" s="312">
        <f t="shared" si="21"/>
        <v>-3.3000000000000002E-2</v>
      </c>
      <c r="AH109" s="305"/>
      <c r="AI109" s="312">
        <f t="shared" si="22"/>
        <v>0</v>
      </c>
      <c r="AJ109" s="305"/>
      <c r="AK109" s="312">
        <f t="shared" si="23"/>
        <v>-2.8000000000000001E-2</v>
      </c>
      <c r="AL109" s="305"/>
      <c r="AM109" s="312">
        <f t="shared" si="24"/>
        <v>0</v>
      </c>
      <c r="AN109" s="305"/>
      <c r="AO109" s="312">
        <f t="shared" si="25"/>
        <v>-1.4E-2</v>
      </c>
      <c r="AP109" s="305"/>
      <c r="AQ109" s="304"/>
      <c r="AR109" s="304"/>
    </row>
    <row r="110" spans="3:44" x14ac:dyDescent="0.25">
      <c r="C110" s="91"/>
      <c r="F110" t="s">
        <v>196</v>
      </c>
      <c r="G110" t="s">
        <v>329</v>
      </c>
      <c r="H110" s="51"/>
      <c r="J110" s="124">
        <f t="shared" si="19"/>
        <v>1.77</v>
      </c>
      <c r="K110" s="124">
        <f t="shared" si="19"/>
        <v>1.77</v>
      </c>
      <c r="L110" s="124">
        <f t="shared" si="19"/>
        <v>0</v>
      </c>
      <c r="M110" s="124">
        <f t="shared" si="19"/>
        <v>3.51</v>
      </c>
      <c r="N110" s="124">
        <f t="shared" si="19"/>
        <v>3.51</v>
      </c>
      <c r="O110" s="124">
        <f t="shared" si="19"/>
        <v>0</v>
      </c>
      <c r="P110" s="124">
        <f t="shared" si="19"/>
        <v>13.19</v>
      </c>
      <c r="Q110" s="79"/>
      <c r="R110" s="79"/>
      <c r="S110" s="124">
        <f t="shared" ref="S110:AE110" si="28">ROUND(S92*(1-S55),$H66)</f>
        <v>1.77</v>
      </c>
      <c r="T110" s="124">
        <f t="shared" si="28"/>
        <v>3.51</v>
      </c>
      <c r="U110" s="124">
        <f t="shared" si="28"/>
        <v>5.27</v>
      </c>
      <c r="V110" s="124">
        <f t="shared" si="28"/>
        <v>6</v>
      </c>
      <c r="W110" s="124">
        <f t="shared" si="28"/>
        <v>62.74</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197</v>
      </c>
      <c r="G111" t="s">
        <v>330</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1.46</v>
      </c>
      <c r="V111" s="124">
        <f t="shared" si="29"/>
        <v>2.65</v>
      </c>
      <c r="W111" s="124">
        <f t="shared" si="29"/>
        <v>3.67</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198</v>
      </c>
      <c r="G112" t="s">
        <v>330</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3.06</v>
      </c>
      <c r="V112" s="124">
        <f t="shared" si="30"/>
        <v>4.12</v>
      </c>
      <c r="W112" s="124">
        <f t="shared" si="30"/>
        <v>5.44</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199</v>
      </c>
      <c r="G113" s="37" t="s">
        <v>331</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7.6999999999999999E-2</v>
      </c>
      <c r="V113" s="313">
        <f t="shared" si="31"/>
        <v>7.8E-2</v>
      </c>
      <c r="W113" s="313">
        <f t="shared" si="31"/>
        <v>4.5999999999999999E-2</v>
      </c>
      <c r="X113" s="313">
        <f t="shared" si="31"/>
        <v>0</v>
      </c>
      <c r="Y113" s="313">
        <f t="shared" si="31"/>
        <v>0</v>
      </c>
      <c r="Z113" s="313">
        <f t="shared" si="31"/>
        <v>0</v>
      </c>
      <c r="AA113" s="313">
        <f t="shared" si="31"/>
        <v>0</v>
      </c>
      <c r="AB113" s="313">
        <f t="shared" si="31"/>
        <v>0</v>
      </c>
      <c r="AC113" s="313">
        <f t="shared" si="31"/>
        <v>0</v>
      </c>
      <c r="AD113" s="313">
        <f t="shared" si="31"/>
        <v>0</v>
      </c>
      <c r="AE113" s="313">
        <f t="shared" si="31"/>
        <v>0.14000000000000001</v>
      </c>
      <c r="AF113" s="309"/>
      <c r="AG113" s="313">
        <f t="shared" si="21"/>
        <v>0.14000000000000001</v>
      </c>
      <c r="AH113" s="309"/>
      <c r="AI113" s="313">
        <f t="shared" si="22"/>
        <v>0.11899999999999999</v>
      </c>
      <c r="AJ113" s="309"/>
      <c r="AK113" s="313">
        <f t="shared" si="23"/>
        <v>0.11899999999999999</v>
      </c>
      <c r="AL113" s="309"/>
      <c r="AM113" s="313">
        <f t="shared" si="24"/>
        <v>9.5000000000000001E-2</v>
      </c>
      <c r="AN113" s="309"/>
      <c r="AO113" s="313">
        <f t="shared" si="25"/>
        <v>9.5000000000000001E-2</v>
      </c>
      <c r="AP113" s="309"/>
      <c r="AQ113" s="304"/>
      <c r="AR113" s="304"/>
    </row>
    <row r="114" spans="2:44" x14ac:dyDescent="0.25">
      <c r="C114" s="91"/>
    </row>
    <row r="115" spans="2:44" x14ac:dyDescent="0.25">
      <c r="B115" s="30" t="s">
        <v>281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282</v>
      </c>
      <c r="G117" s="6" t="s">
        <v>57</v>
      </c>
      <c r="H117" s="26">
        <f t="array" ref="H117">SUM(IF(ISERROR(H20:AP113), 1))</f>
        <v>0</v>
      </c>
    </row>
    <row r="119" spans="2:44" x14ac:dyDescent="0.25">
      <c r="B119" s="30" t="s">
        <v>108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AC9" activePane="bottomRight" state="frozen"/>
      <selection pane="topRight" activeCell="N50" sqref="N50"/>
      <selection pane="bottomLeft" activeCell="N50" sqref="N50"/>
      <selection pane="bottomRight" activeCell="G28" sqref="G28"/>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1049</v>
      </c>
    </row>
    <row r="10" spans="1:44" x14ac:dyDescent="0.25">
      <c r="C10" s="28"/>
    </row>
    <row r="11" spans="1:44" x14ac:dyDescent="0.25">
      <c r="B11" s="30" t="s">
        <v>1050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296</v>
      </c>
      <c r="I15" t="s">
        <v>191</v>
      </c>
      <c r="AR15" t="s">
        <v>297</v>
      </c>
    </row>
    <row r="16" spans="1:44" x14ac:dyDescent="0.25">
      <c r="F16" s="78" t="s">
        <v>298</v>
      </c>
      <c r="G16" s="78" t="s">
        <v>244</v>
      </c>
      <c r="H16" s="23"/>
      <c r="I16" s="23"/>
      <c r="J16" s="127">
        <f>'Inputs by customer type'!J21</f>
        <v>5727223.5546060232</v>
      </c>
      <c r="K16" s="127">
        <f>'Inputs by customer type'!K21</f>
        <v>2246637.0202637264</v>
      </c>
      <c r="L16" s="127">
        <f>'Inputs by customer type'!L21</f>
        <v>23777.812108679751</v>
      </c>
      <c r="M16" s="127">
        <f>'Inputs by customer type'!M21</f>
        <v>1151038.4249265536</v>
      </c>
      <c r="N16" s="127">
        <f>'Inputs by customer type'!N21</f>
        <v>1501419.1038109311</v>
      </c>
      <c r="O16" s="127">
        <f>'Inputs by customer type'!O21</f>
        <v>2608.5296353034564</v>
      </c>
      <c r="P16" s="127">
        <f>'Inputs by customer type'!P21</f>
        <v>14960.241897686794</v>
      </c>
      <c r="Q16" s="127">
        <f>'Inputs by customer type'!Q21</f>
        <v>0.43263699199999994</v>
      </c>
      <c r="R16" s="127">
        <f>'Inputs by customer type'!R21</f>
        <v>2548.6086671293438</v>
      </c>
      <c r="S16" s="127">
        <f>'Inputs by customer type'!S21</f>
        <v>2657.3370184328815</v>
      </c>
      <c r="T16" s="127">
        <f>'Inputs by customer type'!T21</f>
        <v>19645.290695455911</v>
      </c>
      <c r="U16" s="127">
        <f>'Inputs by customer type'!U21</f>
        <v>374701.02025964757</v>
      </c>
      <c r="V16" s="127">
        <f>'Inputs by customer type'!V21</f>
        <v>30204.612139499506</v>
      </c>
      <c r="W16" s="127">
        <f>'Inputs by customer type'!W21</f>
        <v>737611.94825904525</v>
      </c>
      <c r="X16" s="127">
        <f>'Inputs by customer type'!X21</f>
        <v>29025.063649476611</v>
      </c>
      <c r="Y16" s="127">
        <f>'Inputs by customer type'!Y21</f>
        <v>22350.368811724031</v>
      </c>
      <c r="Z16" s="127">
        <f>'Inputs by customer type'!Z21</f>
        <v>395.39625709926401</v>
      </c>
      <c r="AA16" s="127">
        <f>'Inputs by customer type'!AA21</f>
        <v>7679.7163795824645</v>
      </c>
      <c r="AB16" s="127">
        <f>'Inputs by customer type'!AB21</f>
        <v>10625.864662770657</v>
      </c>
      <c r="AC16" s="127">
        <f>'Inputs by customer type'!AC21</f>
        <v>1441.4409999999998</v>
      </c>
      <c r="AD16" s="127">
        <f>'Inputs by customer type'!AD21</f>
        <v>0</v>
      </c>
      <c r="AE16" s="127">
        <f>'Inputs by customer type'!AE21</f>
        <v>31028.512000000002</v>
      </c>
      <c r="AF16" s="127">
        <f>'Inputs by customer type'!AF21</f>
        <v>0</v>
      </c>
      <c r="AG16" s="127">
        <f>'Inputs by customer type'!AG21</f>
        <v>1530.0617253920277</v>
      </c>
      <c r="AH16" s="127">
        <f>'Inputs by customer type'!AH21</f>
        <v>0</v>
      </c>
      <c r="AI16" s="127">
        <f>'Inputs by customer type'!AI21</f>
        <v>3603.9466430000011</v>
      </c>
      <c r="AJ16" s="127">
        <f>'Inputs by customer type'!AJ21</f>
        <v>0</v>
      </c>
      <c r="AK16" s="127">
        <f>'Inputs by customer type'!AK21</f>
        <v>423.59616493048139</v>
      </c>
      <c r="AL16" s="127">
        <f>'Inputs by customer type'!AL21</f>
        <v>0</v>
      </c>
      <c r="AM16" s="127">
        <f>'Inputs by customer type'!AM21</f>
        <v>460932.38117850013</v>
      </c>
      <c r="AN16" s="127">
        <f>'Inputs by customer type'!AN21</f>
        <v>0</v>
      </c>
      <c r="AO16" s="127">
        <f>'Inputs by customer type'!AO21</f>
        <v>90502.303315318844</v>
      </c>
      <c r="AP16" s="127">
        <f>'Inputs by customer type'!AP21</f>
        <v>0</v>
      </c>
    </row>
    <row r="17" spans="5:44" x14ac:dyDescent="0.25">
      <c r="E17" s="28"/>
      <c r="F17" s="72" t="s">
        <v>299</v>
      </c>
      <c r="G17" s="72" t="s">
        <v>244</v>
      </c>
      <c r="J17" s="123">
        <f>'Inputs by customer type'!J22</f>
        <v>0</v>
      </c>
      <c r="K17" s="123">
        <f>'Inputs by customer type'!K22</f>
        <v>1016555.5777678631</v>
      </c>
      <c r="L17" s="123">
        <f>'Inputs by customer type'!L22</f>
        <v>0</v>
      </c>
      <c r="M17" s="123">
        <f>'Inputs by customer type'!M22</f>
        <v>0</v>
      </c>
      <c r="N17" s="123">
        <f>'Inputs by customer type'!N22</f>
        <v>451251.18137488526</v>
      </c>
      <c r="O17" s="123">
        <f>'Inputs by customer type'!O22</f>
        <v>0</v>
      </c>
      <c r="P17" s="123">
        <f>'Inputs by customer type'!P22</f>
        <v>4341.3901968379723</v>
      </c>
      <c r="Q17" s="123">
        <f>'Inputs by customer type'!Q22</f>
        <v>0</v>
      </c>
      <c r="R17" s="123">
        <f>'Inputs by customer type'!R22</f>
        <v>842.84934146739215</v>
      </c>
      <c r="S17" s="123">
        <f>'Inputs by customer type'!S22</f>
        <v>8187.595996185978</v>
      </c>
      <c r="T17" s="123">
        <f>'Inputs by customer type'!T22</f>
        <v>77843.079337008559</v>
      </c>
      <c r="U17" s="123">
        <f>'Inputs by customer type'!U22</f>
        <v>1498601.6468493079</v>
      </c>
      <c r="V17" s="123">
        <f>'Inputs by customer type'!V22</f>
        <v>116712.23400507448</v>
      </c>
      <c r="W17" s="123">
        <f>'Inputs by customer type'!W22</f>
        <v>2813454.6910302229</v>
      </c>
      <c r="X17" s="123">
        <f>'Inputs by customer type'!X22</f>
        <v>0</v>
      </c>
      <c r="Y17" s="123">
        <f>'Inputs by customer type'!Y22</f>
        <v>0</v>
      </c>
      <c r="Z17" s="123">
        <f>'Inputs by customer type'!Z22</f>
        <v>0</v>
      </c>
      <c r="AA17" s="123">
        <f>'Inputs by customer type'!AA22</f>
        <v>0</v>
      </c>
      <c r="AB17" s="123">
        <f>'Inputs by customer type'!AB22</f>
        <v>33031.440290376238</v>
      </c>
      <c r="AC17" s="123">
        <f>'Inputs by customer type'!AC22</f>
        <v>0</v>
      </c>
      <c r="AD17" s="123">
        <f>'Inputs by customer type'!AD22</f>
        <v>0</v>
      </c>
      <c r="AE17" s="123">
        <f>'Inputs by customer type'!AE22</f>
        <v>0</v>
      </c>
      <c r="AF17" s="123">
        <f>'Inputs by customer type'!AF22</f>
        <v>0</v>
      </c>
      <c r="AG17" s="123">
        <f>'Inputs by customer type'!AG22</f>
        <v>6003.5671991277068</v>
      </c>
      <c r="AH17" s="123">
        <f>'Inputs by customer type'!AH22</f>
        <v>0</v>
      </c>
      <c r="AI17" s="123">
        <f>'Inputs by customer type'!AI22</f>
        <v>0</v>
      </c>
      <c r="AJ17" s="123">
        <f>'Inputs by customer type'!AJ22</f>
        <v>0</v>
      </c>
      <c r="AK17" s="123">
        <f>'Inputs by customer type'!AK22</f>
        <v>1386.3166215887916</v>
      </c>
      <c r="AL17" s="123">
        <f>'Inputs by customer type'!AL22</f>
        <v>0</v>
      </c>
      <c r="AM17" s="123">
        <f>'Inputs by customer type'!AM22</f>
        <v>0</v>
      </c>
      <c r="AN17" s="123">
        <f>'Inputs by customer type'!AN22</f>
        <v>0</v>
      </c>
      <c r="AO17" s="123">
        <f>'Inputs by customer type'!AO22</f>
        <v>234395.58417537581</v>
      </c>
      <c r="AP17" s="123">
        <f>'Inputs by customer type'!AP22</f>
        <v>0</v>
      </c>
    </row>
    <row r="18" spans="5:44" x14ac:dyDescent="0.25">
      <c r="E18" s="28"/>
      <c r="F18" s="72" t="s">
        <v>300</v>
      </c>
      <c r="G18" s="72" t="s">
        <v>244</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13752.667872630456</v>
      </c>
      <c r="T18" s="123">
        <f>'Inputs by customer type'!T23</f>
        <v>84385.798473301824</v>
      </c>
      <c r="U18" s="123">
        <f>'Inputs by customer type'!U23</f>
        <v>1626548.7071108846</v>
      </c>
      <c r="V18" s="123">
        <f>'Inputs by customer type'!V23</f>
        <v>135772.82140143303</v>
      </c>
      <c r="W18" s="123">
        <f>'Inputs by customer type'!W23</f>
        <v>4052286.8914527148</v>
      </c>
      <c r="X18" s="123">
        <f>'Inputs by customer type'!X23</f>
        <v>0</v>
      </c>
      <c r="Y18" s="123">
        <f>'Inputs by customer type'!Y23</f>
        <v>0</v>
      </c>
      <c r="Z18" s="123">
        <f>'Inputs by customer type'!Z23</f>
        <v>0</v>
      </c>
      <c r="AA18" s="123">
        <f>'Inputs by customer type'!AA23</f>
        <v>0</v>
      </c>
      <c r="AB18" s="123">
        <f>'Inputs by customer type'!AB23</f>
        <v>166291.0895487376</v>
      </c>
      <c r="AC18" s="123">
        <f>'Inputs by customer type'!AC23</f>
        <v>0</v>
      </c>
      <c r="AD18" s="123">
        <f>'Inputs by customer type'!AD23</f>
        <v>0</v>
      </c>
      <c r="AE18" s="123">
        <f>'Inputs by customer type'!AE23</f>
        <v>0</v>
      </c>
      <c r="AF18" s="123">
        <f>'Inputs by customer type'!AF23</f>
        <v>0</v>
      </c>
      <c r="AG18" s="123">
        <f>'Inputs by customer type'!AG23</f>
        <v>8927.0882180837252</v>
      </c>
      <c r="AH18" s="123">
        <f>'Inputs by customer type'!AH23</f>
        <v>0</v>
      </c>
      <c r="AI18" s="123">
        <f>'Inputs by customer type'!AI23</f>
        <v>0</v>
      </c>
      <c r="AJ18" s="123">
        <f>'Inputs by customer type'!AJ23</f>
        <v>0</v>
      </c>
      <c r="AK18" s="123">
        <f>'Inputs by customer type'!AK23</f>
        <v>3100.3150081195781</v>
      </c>
      <c r="AL18" s="123">
        <f>'Inputs by customer type'!AL23</f>
        <v>0</v>
      </c>
      <c r="AM18" s="123">
        <f>'Inputs by customer type'!AM23</f>
        <v>0</v>
      </c>
      <c r="AN18" s="123">
        <f>'Inputs by customer type'!AN23</f>
        <v>0</v>
      </c>
      <c r="AO18" s="123">
        <f>'Inputs by customer type'!AO23</f>
        <v>405234.32478734496</v>
      </c>
      <c r="AP18" s="123">
        <f>'Inputs by customer type'!AP23</f>
        <v>0</v>
      </c>
    </row>
    <row r="19" spans="5:44" x14ac:dyDescent="0.25">
      <c r="E19" s="28"/>
      <c r="F19" s="72" t="s">
        <v>249</v>
      </c>
      <c r="G19" s="72" t="s">
        <v>249</v>
      </c>
      <c r="J19" s="123">
        <f>'Inputs by customer type'!J24</f>
        <v>1726707.407553507</v>
      </c>
      <c r="K19" s="123">
        <f>'Inputs by customer type'!K24</f>
        <v>743453.16784122027</v>
      </c>
      <c r="L19" s="123">
        <f>'Inputs by customer type'!L24</f>
        <v>0</v>
      </c>
      <c r="M19" s="123">
        <f>'Inputs by customer type'!M24</f>
        <v>95879.721386254867</v>
      </c>
      <c r="N19" s="123">
        <f>'Inputs by customer type'!N24</f>
        <v>82292.67299191159</v>
      </c>
      <c r="O19" s="123">
        <f>'Inputs by customer type'!O24</f>
        <v>0</v>
      </c>
      <c r="P19" s="123">
        <f>'Inputs by customer type'!P24</f>
        <v>314.26284919123452</v>
      </c>
      <c r="Q19" s="123">
        <f>'Inputs by customer type'!Q24</f>
        <v>0.83287671232876703</v>
      </c>
      <c r="R19" s="123">
        <f>'Inputs by customer type'!R24</f>
        <v>36.832876712328769</v>
      </c>
      <c r="S19" s="123">
        <f>'Inputs by customer type'!S24</f>
        <v>6648.589604662181</v>
      </c>
      <c r="T19" s="123">
        <f>'Inputs by customer type'!T24</f>
        <v>2705.1007261385821</v>
      </c>
      <c r="U19" s="123">
        <f>'Inputs by customer type'!U24</f>
        <v>15003.221102696019</v>
      </c>
      <c r="V19" s="123">
        <f>'Inputs by customer type'!V24</f>
        <v>376.98734183773303</v>
      </c>
      <c r="W19" s="123">
        <f>'Inputs by customer type'!W24</f>
        <v>3533.4058829299429</v>
      </c>
      <c r="X19" s="123">
        <f>'Inputs by customer type'!X24</f>
        <v>1612</v>
      </c>
      <c r="Y19" s="123">
        <f>'Inputs by customer type'!Y24</f>
        <v>1312</v>
      </c>
      <c r="Z19" s="123">
        <f>'Inputs by customer type'!Z24</f>
        <v>197</v>
      </c>
      <c r="AA19" s="123">
        <f>'Inputs by customer type'!AA24</f>
        <v>240</v>
      </c>
      <c r="AB19" s="123">
        <f>'Inputs by customer type'!AB24</f>
        <v>27.095890410958901</v>
      </c>
      <c r="AC19" s="123">
        <f>'Inputs by customer type'!AC24</f>
        <v>0</v>
      </c>
      <c r="AD19" s="123">
        <f>'Inputs by customer type'!AD24</f>
        <v>0</v>
      </c>
      <c r="AE19" s="123">
        <f>'Inputs by customer type'!AE24</f>
        <v>529.51229260273976</v>
      </c>
      <c r="AF19" s="123">
        <f>'Inputs by customer type'!AF24</f>
        <v>0</v>
      </c>
      <c r="AG19" s="123">
        <f>'Inputs by customer type'!AG24</f>
        <v>104.10217808219178</v>
      </c>
      <c r="AH19" s="123">
        <f>'Inputs by customer type'!AH24</f>
        <v>0</v>
      </c>
      <c r="AI19" s="123">
        <f>'Inputs by customer type'!AI24</f>
        <v>28.933541095890419</v>
      </c>
      <c r="AJ19" s="123">
        <f>'Inputs by customer type'!AJ24</f>
        <v>0</v>
      </c>
      <c r="AK19" s="123">
        <f>'Inputs by customer type'!AK24</f>
        <v>6.8061575342465748</v>
      </c>
      <c r="AL19" s="123">
        <f>'Inputs by customer type'!AL24</f>
        <v>0</v>
      </c>
      <c r="AM19" s="123">
        <f>'Inputs by customer type'!AM24</f>
        <v>225.48004931506853</v>
      </c>
      <c r="AN19" s="123">
        <f>'Inputs by customer type'!AN24</f>
        <v>0</v>
      </c>
      <c r="AO19" s="123">
        <f>'Inputs by customer type'!AO24</f>
        <v>232.44540410958902</v>
      </c>
      <c r="AP19" s="123">
        <f>'Inputs by customer type'!AP24</f>
        <v>0</v>
      </c>
    </row>
    <row r="20" spans="5:44" x14ac:dyDescent="0.25">
      <c r="E20" s="28"/>
      <c r="F20" s="72" t="s">
        <v>301</v>
      </c>
      <c r="G20" s="72" t="s">
        <v>302</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2012756.1269389815</v>
      </c>
      <c r="V20" s="123">
        <f>'Inputs by customer type'!V25</f>
        <v>134871.15068493152</v>
      </c>
      <c r="W20" s="123">
        <f>'Inputs by customer type'!W25</f>
        <v>2791747.7905340358</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303</v>
      </c>
      <c r="G21" s="72" t="s">
        <v>302</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42592.376258778822</v>
      </c>
      <c r="V21" s="123">
        <f>'Inputs by customer type'!V26</f>
        <v>2955.2953808219186</v>
      </c>
      <c r="W21" s="123">
        <f>'Inputs by customer type'!W26</f>
        <v>69019.941675850831</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304</v>
      </c>
      <c r="G22" s="80" t="s">
        <v>305</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373665.31995114766</v>
      </c>
      <c r="V22" s="128">
        <f>'Inputs by customer type'!V27</f>
        <v>22299.254923000008</v>
      </c>
      <c r="W22" s="128">
        <f>'Inputs by customer type'!W27</f>
        <v>628646.07027292252</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2648.0790000000006</v>
      </c>
      <c r="AF22" s="128">
        <f>'Inputs by customer type'!AF27</f>
        <v>0</v>
      </c>
      <c r="AG22" s="128">
        <f>'Inputs by customer type'!AG27</f>
        <v>769.16792807999991</v>
      </c>
      <c r="AH22" s="128">
        <f>'Inputs by customer type'!AH27</f>
        <v>0</v>
      </c>
      <c r="AI22" s="128">
        <f>'Inputs by customer type'!AI27</f>
        <v>324.85729100000009</v>
      </c>
      <c r="AJ22" s="128">
        <f>'Inputs by customer type'!AJ27</f>
        <v>0</v>
      </c>
      <c r="AK22" s="128">
        <f>'Inputs by customer type'!AK27</f>
        <v>334.46799999999996</v>
      </c>
      <c r="AL22" s="128">
        <f>'Inputs by customer type'!AL27</f>
        <v>0</v>
      </c>
      <c r="AM22" s="128">
        <f>'Inputs by customer type'!AM27</f>
        <v>6236.7726382500005</v>
      </c>
      <c r="AN22" s="128">
        <f>'Inputs by customer type'!AN27</f>
        <v>0</v>
      </c>
      <c r="AO22" s="128">
        <f>'Inputs by customer type'!AO27</f>
        <v>13294.739999999998</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306</v>
      </c>
      <c r="F24" s="80"/>
      <c r="G24" s="80"/>
      <c r="H24" s="37"/>
      <c r="I24" t="s">
        <v>191</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297</v>
      </c>
    </row>
    <row r="25" spans="5:44" x14ac:dyDescent="0.25">
      <c r="F25" s="72" t="s">
        <v>298</v>
      </c>
      <c r="G25" s="72" t="s">
        <v>244</v>
      </c>
      <c r="I25" s="23"/>
      <c r="J25" s="127">
        <f>'Inputs by customer type'!J30</f>
        <v>90706.231221793001</v>
      </c>
      <c r="K25" s="127">
        <f>'Inputs by customer type'!K30</f>
        <v>4012.6525669850589</v>
      </c>
      <c r="L25" s="127">
        <f>'Inputs by customer type'!L30</f>
        <v>0</v>
      </c>
      <c r="M25" s="127">
        <f>'Inputs by customer type'!M30</f>
        <v>3865.1952078149543</v>
      </c>
      <c r="N25" s="127">
        <f>'Inputs by customer type'!N30</f>
        <v>221.08087281558221</v>
      </c>
      <c r="O25" s="127">
        <f>'Inputs by customer type'!O30</f>
        <v>0</v>
      </c>
      <c r="P25" s="127">
        <f>'Inputs by customer type'!P30</f>
        <v>129.20657088607629</v>
      </c>
      <c r="Q25" s="127">
        <f>'Inputs by customer type'!Q30</f>
        <v>0</v>
      </c>
      <c r="R25" s="127">
        <f>'Inputs by customer type'!R30</f>
        <v>0</v>
      </c>
      <c r="S25" s="127">
        <f>'Inputs by customer type'!S30</f>
        <v>6.9725643128346757</v>
      </c>
      <c r="T25" s="127">
        <f>'Inputs by customer type'!T30</f>
        <v>3.9756336172560971</v>
      </c>
      <c r="U25" s="127">
        <f>'Inputs by customer type'!U30</f>
        <v>1476.9998397821612</v>
      </c>
      <c r="V25" s="127">
        <f>'Inputs by customer type'!V30</f>
        <v>0</v>
      </c>
      <c r="W25" s="127">
        <f>'Inputs by customer type'!W30</f>
        <v>0</v>
      </c>
      <c r="X25" s="127">
        <f>'Inputs by customer type'!X30</f>
        <v>140.78398760357746</v>
      </c>
      <c r="Y25" s="127">
        <f>'Inputs by customer type'!Y30</f>
        <v>294.68721213077981</v>
      </c>
      <c r="Z25" s="127">
        <f>'Inputs by customer type'!Z30</f>
        <v>0</v>
      </c>
      <c r="AA25" s="127">
        <f>'Inputs by customer type'!AA30</f>
        <v>3.3906326441377281</v>
      </c>
      <c r="AB25" s="127">
        <f>'Inputs by customer type'!AB30</f>
        <v>0</v>
      </c>
      <c r="AC25" s="127">
        <f>'Inputs by customer type'!AC30</f>
        <v>19.391702000000002</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299</v>
      </c>
      <c r="G26" s="72" t="s">
        <v>244</v>
      </c>
      <c r="J26" s="123">
        <f>'Inputs by customer type'!J31</f>
        <v>0</v>
      </c>
      <c r="K26" s="123">
        <f>'Inputs by customer type'!K31</f>
        <v>1474.2321988188905</v>
      </c>
      <c r="L26" s="123">
        <f>'Inputs by customer type'!L31</f>
        <v>0</v>
      </c>
      <c r="M26" s="123">
        <f>'Inputs by customer type'!M31</f>
        <v>0</v>
      </c>
      <c r="N26" s="123">
        <f>'Inputs by customer type'!N31</f>
        <v>80.370832774097536</v>
      </c>
      <c r="O26" s="123">
        <f>'Inputs by customer type'!O31</f>
        <v>0</v>
      </c>
      <c r="P26" s="123">
        <f>'Inputs by customer type'!P31</f>
        <v>87.453794532356753</v>
      </c>
      <c r="Q26" s="123">
        <f>'Inputs by customer type'!Q31</f>
        <v>0</v>
      </c>
      <c r="R26" s="123">
        <f>'Inputs by customer type'!R31</f>
        <v>0</v>
      </c>
      <c r="S26" s="123">
        <f>'Inputs by customer type'!S31</f>
        <v>21.221578278736995</v>
      </c>
      <c r="T26" s="123">
        <f>'Inputs by customer type'!T31</f>
        <v>13.814241848098465</v>
      </c>
      <c r="U26" s="123">
        <f>'Inputs by customer type'!U31</f>
        <v>5428.3366144632464</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0</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300</v>
      </c>
      <c r="G27" s="72" t="s">
        <v>244</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37.471511462341077</v>
      </c>
      <c r="T27" s="123">
        <f>'Inputs by customer type'!T32</f>
        <v>45.81776188005373</v>
      </c>
      <c r="U27" s="123">
        <f>'Inputs by customer type'!U32</f>
        <v>6615.9800236541769</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0</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249</v>
      </c>
      <c r="G28" s="72" t="s">
        <v>249</v>
      </c>
      <c r="J28" s="123">
        <f>'Inputs by customer type'!J33</f>
        <v>32201.229921917806</v>
      </c>
      <c r="K28" s="123">
        <f>'Inputs by customer type'!K33</f>
        <v>1236.9380808219178</v>
      </c>
      <c r="L28" s="123">
        <f>'Inputs by customer type'!L33</f>
        <v>0</v>
      </c>
      <c r="M28" s="123">
        <f>'Inputs by customer type'!M33</f>
        <v>607.52541917808219</v>
      </c>
      <c r="N28" s="123">
        <f>'Inputs by customer type'!N33</f>
        <v>10.725572602739726</v>
      </c>
      <c r="O28" s="123">
        <f>'Inputs by customer type'!O33</f>
        <v>0</v>
      </c>
      <c r="P28" s="123">
        <f>'Inputs by customer type'!P33</f>
        <v>4.8612164383561653</v>
      </c>
      <c r="Q28" s="123">
        <f>'Inputs by customer type'!Q33</f>
        <v>0</v>
      </c>
      <c r="R28" s="123">
        <f>'Inputs by customer type'!R33</f>
        <v>0</v>
      </c>
      <c r="S28" s="123">
        <f>'Inputs by customer type'!S33</f>
        <v>17.532236986301371</v>
      </c>
      <c r="T28" s="123">
        <f>'Inputs by customer type'!T33</f>
        <v>1.3154191780821918</v>
      </c>
      <c r="U28" s="123">
        <f>'Inputs by customer type'!U33</f>
        <v>60.059095890410966</v>
      </c>
      <c r="V28" s="123">
        <f>'Inputs by customer type'!V33</f>
        <v>0</v>
      </c>
      <c r="W28" s="123">
        <f>'Inputs by customer type'!W33</f>
        <v>0</v>
      </c>
      <c r="X28" s="123">
        <f>'Inputs by customer type'!X33</f>
        <v>0</v>
      </c>
      <c r="Y28" s="123">
        <f>'Inputs by customer type'!Y33</f>
        <v>0</v>
      </c>
      <c r="Z28" s="123">
        <f>'Inputs by customer type'!Z33</f>
        <v>0</v>
      </c>
      <c r="AA28" s="123">
        <f>'Inputs by customer type'!AA33</f>
        <v>0</v>
      </c>
      <c r="AB28" s="123">
        <f>'Inputs by customer type'!AB33</f>
        <v>0</v>
      </c>
      <c r="AC28" s="123">
        <f>'Inputs by customer type'!AC33</f>
        <v>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301</v>
      </c>
      <c r="G29" s="72" t="s">
        <v>302</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11724.637778082189</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303</v>
      </c>
      <c r="G30" s="72" t="s">
        <v>302</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39.814933972602745</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304</v>
      </c>
      <c r="G31" s="80" t="s">
        <v>305</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919.89154344999986</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307</v>
      </c>
      <c r="F33" s="80"/>
      <c r="G33" s="80"/>
      <c r="H33" s="37"/>
      <c r="I33" t="s">
        <v>191</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297</v>
      </c>
    </row>
    <row r="34" spans="3:44" x14ac:dyDescent="0.25">
      <c r="E34" s="28"/>
      <c r="F34" s="72" t="s">
        <v>298</v>
      </c>
      <c r="G34" s="72" t="s">
        <v>244</v>
      </c>
      <c r="I34" s="23"/>
      <c r="J34" s="127">
        <f>'Inputs by customer type'!J39</f>
        <v>175842.18594634093</v>
      </c>
      <c r="K34" s="127">
        <f>'Inputs by customer type'!K39</f>
        <v>7131.2458973914127</v>
      </c>
      <c r="L34" s="127">
        <f>'Inputs by customer type'!L39</f>
        <v>0</v>
      </c>
      <c r="M34" s="127">
        <f>'Inputs by customer type'!M39</f>
        <v>15280.377040827343</v>
      </c>
      <c r="N34" s="127">
        <f>'Inputs by customer type'!N39</f>
        <v>1247.7986456769813</v>
      </c>
      <c r="O34" s="127">
        <f>'Inputs by customer type'!O39</f>
        <v>0</v>
      </c>
      <c r="P34" s="127">
        <f>'Inputs by customer type'!P39</f>
        <v>497.1657442260904</v>
      </c>
      <c r="Q34" s="127">
        <f>'Inputs by customer type'!Q39</f>
        <v>0</v>
      </c>
      <c r="R34" s="127">
        <f>'Inputs by customer type'!R39</f>
        <v>0</v>
      </c>
      <c r="S34" s="127">
        <f>'Inputs by customer type'!S39</f>
        <v>6.1021629312192065</v>
      </c>
      <c r="T34" s="127">
        <f>'Inputs by customer type'!T39</f>
        <v>88.90940417389254</v>
      </c>
      <c r="U34" s="127">
        <f>'Inputs by customer type'!U39</f>
        <v>14597.035550842567</v>
      </c>
      <c r="V34" s="127">
        <f>'Inputs by customer type'!V39</f>
        <v>1238.2706110484576</v>
      </c>
      <c r="W34" s="127">
        <f>'Inputs by customer type'!W39</f>
        <v>7826.6040878638278</v>
      </c>
      <c r="X34" s="127">
        <f>'Inputs by customer type'!X39</f>
        <v>34.134849923926403</v>
      </c>
      <c r="Y34" s="127">
        <f>'Inputs by customer type'!Y39</f>
        <v>644.68298954125567</v>
      </c>
      <c r="Z34" s="127">
        <f>'Inputs by customer type'!Z39</f>
        <v>1.372096834944E-3</v>
      </c>
      <c r="AA34" s="127">
        <f>'Inputs by customer type'!AA39</f>
        <v>0</v>
      </c>
      <c r="AB34" s="127">
        <f>'Inputs by customer type'!AB39</f>
        <v>0</v>
      </c>
      <c r="AC34" s="127">
        <f>'Inputs by customer type'!AC39</f>
        <v>0</v>
      </c>
      <c r="AD34" s="127">
        <f>'Inputs by customer type'!AD39</f>
        <v>0</v>
      </c>
      <c r="AE34" s="127">
        <f>'Inputs by customer type'!AE39</f>
        <v>71.358007600000008</v>
      </c>
      <c r="AF34" s="127">
        <f>'Inputs by customer type'!AF39</f>
        <v>0</v>
      </c>
      <c r="AG34" s="127">
        <f>'Inputs by customer type'!AG39</f>
        <v>0</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5.3308365000000002</v>
      </c>
      <c r="AN34" s="127">
        <f>'Inputs by customer type'!AN39</f>
        <v>0</v>
      </c>
      <c r="AO34" s="127">
        <f>'Inputs by customer type'!AO39</f>
        <v>0</v>
      </c>
      <c r="AP34" s="127">
        <f>'Inputs by customer type'!AP39</f>
        <v>0</v>
      </c>
    </row>
    <row r="35" spans="3:44" x14ac:dyDescent="0.25">
      <c r="E35" s="28"/>
      <c r="F35" s="72" t="s">
        <v>299</v>
      </c>
      <c r="G35" s="72" t="s">
        <v>244</v>
      </c>
      <c r="J35" s="123">
        <f>'Inputs by customer type'!J40</f>
        <v>0</v>
      </c>
      <c r="K35" s="123">
        <f>'Inputs by customer type'!K40</f>
        <v>2752.814922542364</v>
      </c>
      <c r="L35" s="123">
        <f>'Inputs by customer type'!L40</f>
        <v>0</v>
      </c>
      <c r="M35" s="123">
        <f>'Inputs by customer type'!M40</f>
        <v>0</v>
      </c>
      <c r="N35" s="123">
        <f>'Inputs by customer type'!N40</f>
        <v>330.95054553818323</v>
      </c>
      <c r="O35" s="123">
        <f>'Inputs by customer type'!O40</f>
        <v>0</v>
      </c>
      <c r="P35" s="123">
        <f>'Inputs by customer type'!P40</f>
        <v>212.07382711673949</v>
      </c>
      <c r="Q35" s="123">
        <f>'Inputs by customer type'!Q40</f>
        <v>0</v>
      </c>
      <c r="R35" s="123">
        <f>'Inputs by customer type'!R40</f>
        <v>0</v>
      </c>
      <c r="S35" s="123">
        <f>'Inputs by customer type'!S40</f>
        <v>18.537530936878277</v>
      </c>
      <c r="T35" s="123">
        <f>'Inputs by customer type'!T40</f>
        <v>287.67055690060766</v>
      </c>
      <c r="U35" s="123">
        <f>'Inputs by customer type'!U40</f>
        <v>54699.338698454434</v>
      </c>
      <c r="V35" s="123">
        <f>'Inputs by customer type'!V40</f>
        <v>4577.2989131506693</v>
      </c>
      <c r="W35" s="123">
        <f>'Inputs by customer type'!W40</f>
        <v>27331.644755410642</v>
      </c>
      <c r="X35" s="123">
        <f>'Inputs by customer type'!X40</f>
        <v>0</v>
      </c>
      <c r="Y35" s="123">
        <f>'Inputs by customer type'!Y40</f>
        <v>0</v>
      </c>
      <c r="Z35" s="123">
        <f>'Inputs by customer type'!Z40</f>
        <v>0</v>
      </c>
      <c r="AA35" s="123">
        <f>'Inputs by customer type'!AA40</f>
        <v>0</v>
      </c>
      <c r="AB35" s="123">
        <f>'Inputs by customer type'!AB40</f>
        <v>0</v>
      </c>
      <c r="AC35" s="123">
        <f>'Inputs by customer type'!AC40</f>
        <v>0</v>
      </c>
      <c r="AD35" s="123">
        <f>'Inputs by customer type'!AD40</f>
        <v>0</v>
      </c>
      <c r="AE35" s="123">
        <f>'Inputs by customer type'!AE40</f>
        <v>0</v>
      </c>
      <c r="AF35" s="123">
        <f>'Inputs by customer type'!AF40</f>
        <v>0</v>
      </c>
      <c r="AG35" s="123">
        <f>'Inputs by customer type'!AG40</f>
        <v>0</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v>
      </c>
      <c r="AP35" s="123">
        <f>'Inputs by customer type'!AP40</f>
        <v>0</v>
      </c>
    </row>
    <row r="36" spans="3:44" x14ac:dyDescent="0.25">
      <c r="E36" s="28"/>
      <c r="F36" s="72" t="s">
        <v>300</v>
      </c>
      <c r="G36" s="72" t="s">
        <v>244</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29.894722236498524</v>
      </c>
      <c r="T36" s="123">
        <f>'Inputs by customer type'!T41</f>
        <v>275.79822176894174</v>
      </c>
      <c r="U36" s="123">
        <f>'Inputs by customer type'!U41</f>
        <v>65327.258144804458</v>
      </c>
      <c r="V36" s="123">
        <f>'Inputs by customer type'!V41</f>
        <v>7338.4120807554873</v>
      </c>
      <c r="W36" s="123">
        <f>'Inputs by customer type'!W41</f>
        <v>41381.491070825359</v>
      </c>
      <c r="X36" s="123">
        <f>'Inputs by customer type'!X41</f>
        <v>0</v>
      </c>
      <c r="Y36" s="123">
        <f>'Inputs by customer type'!Y41</f>
        <v>0</v>
      </c>
      <c r="Z36" s="123">
        <f>'Inputs by customer type'!Z41</f>
        <v>0</v>
      </c>
      <c r="AA36" s="123">
        <f>'Inputs by customer type'!AA41</f>
        <v>0</v>
      </c>
      <c r="AB36" s="123">
        <f>'Inputs by customer type'!AB41</f>
        <v>0</v>
      </c>
      <c r="AC36" s="123">
        <f>'Inputs by customer type'!AC41</f>
        <v>0</v>
      </c>
      <c r="AD36" s="123">
        <f>'Inputs by customer type'!AD41</f>
        <v>0</v>
      </c>
      <c r="AE36" s="123">
        <f>'Inputs by customer type'!AE41</f>
        <v>0</v>
      </c>
      <c r="AF36" s="123">
        <f>'Inputs by customer type'!AF41</f>
        <v>0</v>
      </c>
      <c r="AG36" s="123">
        <f>'Inputs by customer type'!AG41</f>
        <v>0</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0</v>
      </c>
      <c r="AP36" s="123">
        <f>'Inputs by customer type'!AP41</f>
        <v>0</v>
      </c>
    </row>
    <row r="37" spans="3:44" x14ac:dyDescent="0.25">
      <c r="E37" s="28"/>
      <c r="F37" s="72" t="s">
        <v>249</v>
      </c>
      <c r="G37" s="72" t="s">
        <v>249</v>
      </c>
      <c r="J37" s="123">
        <f>'Inputs by customer type'!J42</f>
        <v>64167.903498630149</v>
      </c>
      <c r="K37" s="123">
        <f>'Inputs by customer type'!K42</f>
        <v>2161.8216369863017</v>
      </c>
      <c r="L37" s="123">
        <f>'Inputs by customer type'!L42</f>
        <v>0</v>
      </c>
      <c r="M37" s="123">
        <f>'Inputs by customer type'!M42</f>
        <v>1513.2644547945206</v>
      </c>
      <c r="N37" s="123">
        <f>'Inputs by customer type'!N42</f>
        <v>45.189687671232882</v>
      </c>
      <c r="O37" s="123">
        <f>'Inputs by customer type'!O42</f>
        <v>0</v>
      </c>
      <c r="P37" s="123">
        <f>'Inputs by customer type'!P42</f>
        <v>14.824323287671234</v>
      </c>
      <c r="Q37" s="123">
        <f>'Inputs by customer type'!Q42</f>
        <v>0</v>
      </c>
      <c r="R37" s="123">
        <f>'Inputs by customer type'!R42</f>
        <v>0</v>
      </c>
      <c r="S37" s="123">
        <f>'Inputs by customer type'!S42</f>
        <v>18.142541095890412</v>
      </c>
      <c r="T37" s="123">
        <f>'Inputs by customer type'!T42</f>
        <v>13.302872602739725</v>
      </c>
      <c r="U37" s="123">
        <f>'Inputs by customer type'!U42</f>
        <v>370.4231013698631</v>
      </c>
      <c r="V37" s="123">
        <f>'Inputs by customer type'!V42</f>
        <v>8.6778547945205506</v>
      </c>
      <c r="W37" s="123">
        <f>'Inputs by customer type'!W42</f>
        <v>37.045227397260277</v>
      </c>
      <c r="X37" s="123">
        <f>'Inputs by customer type'!X42</f>
        <v>0</v>
      </c>
      <c r="Y37" s="123">
        <f>'Inputs by customer type'!Y42</f>
        <v>0</v>
      </c>
      <c r="Z37" s="123">
        <f>'Inputs by customer type'!Z42</f>
        <v>0</v>
      </c>
      <c r="AA37" s="123">
        <f>'Inputs by customer type'!AA42</f>
        <v>0</v>
      </c>
      <c r="AB37" s="123">
        <f>'Inputs by customer type'!AB42</f>
        <v>0</v>
      </c>
      <c r="AC37" s="123">
        <f>'Inputs by customer type'!AC42</f>
        <v>0</v>
      </c>
      <c r="AD37" s="123">
        <f>'Inputs by customer type'!AD42</f>
        <v>0</v>
      </c>
      <c r="AE37" s="123">
        <f>'Inputs by customer type'!AE42</f>
        <v>5.1473068493150684</v>
      </c>
      <c r="AF37" s="123">
        <f>'Inputs by customer type'!AF42</f>
        <v>0</v>
      </c>
      <c r="AG37" s="123">
        <f>'Inputs by customer type'!AG42</f>
        <v>0</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0.21349041095890409</v>
      </c>
      <c r="AN37" s="123">
        <f>'Inputs by customer type'!AN42</f>
        <v>0</v>
      </c>
      <c r="AO37" s="123">
        <f>'Inputs by customer type'!AO42</f>
        <v>0</v>
      </c>
      <c r="AP37" s="123">
        <f>'Inputs by customer type'!AP42</f>
        <v>0</v>
      </c>
    </row>
    <row r="38" spans="3:44" x14ac:dyDescent="0.25">
      <c r="E38" s="28"/>
      <c r="F38" s="72" t="s">
        <v>301</v>
      </c>
      <c r="G38" s="72" t="s">
        <v>302</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110516.27473835615</v>
      </c>
      <c r="V38" s="123">
        <f>'Inputs by customer type'!V43</f>
        <v>5879.2099917808227</v>
      </c>
      <c r="W38" s="123">
        <f>'Inputs by customer type'!W43</f>
        <v>50936.123534246581</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303</v>
      </c>
      <c r="G39" s="72" t="s">
        <v>302</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331.76625342465752</v>
      </c>
      <c r="V39" s="123">
        <f>'Inputs by customer type'!V44</f>
        <v>65.642334246575345</v>
      </c>
      <c r="W39" s="123">
        <f>'Inputs by customer type'!W44</f>
        <v>140.6746</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304</v>
      </c>
      <c r="G40" s="80" t="s">
        <v>305</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9734.5960591000003</v>
      </c>
      <c r="V40" s="128">
        <f>'Inputs by customer type'!V45</f>
        <v>1284.3620080499998</v>
      </c>
      <c r="W40" s="128">
        <f>'Inputs by customer type'!W45</f>
        <v>2361.2876358500007</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33.892680800000008</v>
      </c>
      <c r="AF40" s="128">
        <f>'Inputs by customer type'!AF45</f>
        <v>0</v>
      </c>
      <c r="AG40" s="128">
        <f>'Inputs by customer type'!AG45</f>
        <v>0</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1051</v>
      </c>
      <c r="G44" s="13"/>
      <c r="I44" t="s">
        <v>191</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192</v>
      </c>
    </row>
    <row r="45" spans="3:44" x14ac:dyDescent="0.25">
      <c r="F45" s="23" t="s">
        <v>193</v>
      </c>
      <c r="G45" s="85" t="s">
        <v>328</v>
      </c>
      <c r="H45" s="318"/>
      <c r="I45" s="302"/>
      <c r="J45" s="318">
        <f>Rounding!J89</f>
        <v>2.085</v>
      </c>
      <c r="K45" s="318">
        <f>Rounding!K89</f>
        <v>2.339</v>
      </c>
      <c r="L45" s="318">
        <f>Rounding!L89</f>
        <v>1.2030000000000001</v>
      </c>
      <c r="M45" s="318">
        <f>Rounding!M89</f>
        <v>1.9590000000000001</v>
      </c>
      <c r="N45" s="318">
        <f>Rounding!N89</f>
        <v>2.1160000000000001</v>
      </c>
      <c r="O45" s="318">
        <f>Rounding!O89</f>
        <v>0.98599999999999999</v>
      </c>
      <c r="P45" s="318">
        <f>Rounding!P89</f>
        <v>2.048</v>
      </c>
      <c r="Q45" s="318">
        <f>Rounding!Q89</f>
        <v>1.637</v>
      </c>
      <c r="R45" s="318">
        <f>Rounding!R89</f>
        <v>1.2949999999999999</v>
      </c>
      <c r="S45" s="318">
        <f>Rounding!S89</f>
        <v>8.2260000000000009</v>
      </c>
      <c r="T45" s="318">
        <f>Rounding!T89</f>
        <v>7.7030000000000003</v>
      </c>
      <c r="U45" s="318">
        <f>Rounding!U89</f>
        <v>5.7190000000000003</v>
      </c>
      <c r="V45" s="318">
        <f>Rounding!V89</f>
        <v>4.3209999999999997</v>
      </c>
      <c r="W45" s="318">
        <f>Rounding!W89</f>
        <v>2.9079999999999999</v>
      </c>
      <c r="X45" s="318">
        <f>Rounding!X89</f>
        <v>2.3530000000000002</v>
      </c>
      <c r="Y45" s="318">
        <f>Rounding!Y89</f>
        <v>2.585</v>
      </c>
      <c r="Z45" s="318">
        <f>Rounding!Z89</f>
        <v>3.4870000000000001</v>
      </c>
      <c r="AA45" s="318">
        <f>Rounding!AA89</f>
        <v>2.1190000000000002</v>
      </c>
      <c r="AB45" s="318">
        <f>Rounding!AB89</f>
        <v>21.2</v>
      </c>
      <c r="AC45" s="318">
        <f>Rounding!AC89</f>
        <v>-0.628</v>
      </c>
      <c r="AD45" s="318">
        <f>Rounding!AD89</f>
        <v>-0.54800000000000004</v>
      </c>
      <c r="AE45" s="318">
        <f>Rounding!AE89</f>
        <v>-0.628</v>
      </c>
      <c r="AF45" s="318">
        <f>Rounding!AF89</f>
        <v>-0.628</v>
      </c>
      <c r="AG45" s="318">
        <f>Rounding!AG89</f>
        <v>-4.8959999999999999</v>
      </c>
      <c r="AH45" s="318">
        <f>Rounding!AH89</f>
        <v>-4.8959999999999999</v>
      </c>
      <c r="AI45" s="318">
        <f>Rounding!AI89</f>
        <v>-0.54800000000000004</v>
      </c>
      <c r="AJ45" s="318">
        <f>Rounding!AJ89</f>
        <v>-0.54800000000000004</v>
      </c>
      <c r="AK45" s="318">
        <f>Rounding!AK89</f>
        <v>-4.306</v>
      </c>
      <c r="AL45" s="318">
        <f>Rounding!AL89</f>
        <v>-4.306</v>
      </c>
      <c r="AM45" s="318">
        <f>Rounding!AM89</f>
        <v>-0.34300000000000003</v>
      </c>
      <c r="AN45" s="318">
        <f>Rounding!AN89</f>
        <v>-0.34300000000000003</v>
      </c>
      <c r="AO45" s="318">
        <f>Rounding!AO89</f>
        <v>-2.8090000000000002</v>
      </c>
      <c r="AP45" s="318">
        <f>Rounding!AP89</f>
        <v>-2.8090000000000002</v>
      </c>
      <c r="AQ45" s="304"/>
      <c r="AR45" s="304"/>
    </row>
    <row r="46" spans="3:44" x14ac:dyDescent="0.25">
      <c r="E46" s="28"/>
      <c r="F46" t="s">
        <v>194</v>
      </c>
      <c r="G46" s="13" t="s">
        <v>328</v>
      </c>
      <c r="H46" s="319"/>
      <c r="I46" s="304"/>
      <c r="J46" s="319">
        <f>Rounding!J90</f>
        <v>0</v>
      </c>
      <c r="K46" s="319">
        <f>Rounding!K90</f>
        <v>0.83399999999999996</v>
      </c>
      <c r="L46" s="319">
        <f>Rounding!L90</f>
        <v>0</v>
      </c>
      <c r="M46" s="319">
        <f>Rounding!M90</f>
        <v>0</v>
      </c>
      <c r="N46" s="319">
        <f>Rounding!N90</f>
        <v>0.83</v>
      </c>
      <c r="O46" s="319">
        <f>Rounding!O90</f>
        <v>0</v>
      </c>
      <c r="P46" s="319">
        <f>Rounding!P90</f>
        <v>0.82499999999999996</v>
      </c>
      <c r="Q46" s="319">
        <f>Rounding!Q90</f>
        <v>0.81</v>
      </c>
      <c r="R46" s="319">
        <f>Rounding!R90</f>
        <v>0.79200000000000004</v>
      </c>
      <c r="S46" s="319">
        <f>Rounding!S90</f>
        <v>1.61</v>
      </c>
      <c r="T46" s="319">
        <f>Rounding!T90</f>
        <v>1.5509999999999999</v>
      </c>
      <c r="U46" s="319">
        <f>Rounding!U90</f>
        <v>1.31</v>
      </c>
      <c r="V46" s="319">
        <f>Rounding!V90</f>
        <v>1.127</v>
      </c>
      <c r="W46" s="319">
        <f>Rounding!W90</f>
        <v>0.95499999999999996</v>
      </c>
      <c r="X46" s="319">
        <f>Rounding!X90</f>
        <v>0</v>
      </c>
      <c r="Y46" s="319">
        <f>Rounding!Y90</f>
        <v>0</v>
      </c>
      <c r="Z46" s="319">
        <f>Rounding!Z90</f>
        <v>0</v>
      </c>
      <c r="AA46" s="319">
        <f>Rounding!AA90</f>
        <v>0</v>
      </c>
      <c r="AB46" s="319">
        <f>Rounding!AB90</f>
        <v>2.1850000000000001</v>
      </c>
      <c r="AC46" s="319">
        <f>Rounding!AC90</f>
        <v>0</v>
      </c>
      <c r="AD46" s="319">
        <f>Rounding!AD90</f>
        <v>0</v>
      </c>
      <c r="AE46" s="319">
        <f>Rounding!AE90</f>
        <v>0</v>
      </c>
      <c r="AF46" s="319">
        <f>Rounding!AF90</f>
        <v>0</v>
      </c>
      <c r="AG46" s="319">
        <f>Rounding!AG90</f>
        <v>-0.54500000000000004</v>
      </c>
      <c r="AH46" s="319">
        <f>Rounding!AH90</f>
        <v>-0.54500000000000004</v>
      </c>
      <c r="AI46" s="319">
        <f>Rounding!AI90</f>
        <v>0</v>
      </c>
      <c r="AJ46" s="319">
        <f>Rounding!AJ90</f>
        <v>0</v>
      </c>
      <c r="AK46" s="319">
        <f>Rounding!AK90</f>
        <v>-0.46800000000000003</v>
      </c>
      <c r="AL46" s="319">
        <f>Rounding!AL90</f>
        <v>-0.46800000000000003</v>
      </c>
      <c r="AM46" s="319">
        <f>Rounding!AM90</f>
        <v>0</v>
      </c>
      <c r="AN46" s="319">
        <f>Rounding!AN90</f>
        <v>0</v>
      </c>
      <c r="AO46" s="319">
        <f>Rounding!AO90</f>
        <v>-0.26700000000000002</v>
      </c>
      <c r="AP46" s="319">
        <f>Rounding!AP90</f>
        <v>-0.26700000000000002</v>
      </c>
      <c r="AQ46" s="304"/>
      <c r="AR46" s="304"/>
    </row>
    <row r="47" spans="3:44" x14ac:dyDescent="0.25">
      <c r="E47" s="28"/>
      <c r="F47" t="s">
        <v>195</v>
      </c>
      <c r="G47" s="13" t="s">
        <v>328</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0.83199999999999996</v>
      </c>
      <c r="T47" s="319">
        <f>Rounding!T91</f>
        <v>0.82799999999999996</v>
      </c>
      <c r="U47" s="319">
        <f>Rounding!U91</f>
        <v>0.81299999999999994</v>
      </c>
      <c r="V47" s="319">
        <f>Rounding!V91</f>
        <v>0.8</v>
      </c>
      <c r="W47" s="319">
        <f>Rounding!W91</f>
        <v>0.78900000000000003</v>
      </c>
      <c r="X47" s="319">
        <f>Rounding!X91</f>
        <v>0</v>
      </c>
      <c r="Y47" s="319">
        <f>Rounding!Y91</f>
        <v>0</v>
      </c>
      <c r="Z47" s="319">
        <f>Rounding!Z91</f>
        <v>0</v>
      </c>
      <c r="AA47" s="319">
        <f>Rounding!AA91</f>
        <v>0</v>
      </c>
      <c r="AB47" s="319">
        <f>Rounding!AB91</f>
        <v>1.5309999999999999</v>
      </c>
      <c r="AC47" s="319">
        <f>Rounding!AC91</f>
        <v>0</v>
      </c>
      <c r="AD47" s="319">
        <f>Rounding!AD91</f>
        <v>0</v>
      </c>
      <c r="AE47" s="319">
        <f>Rounding!AE91</f>
        <v>0</v>
      </c>
      <c r="AF47" s="319">
        <f>Rounding!AF91</f>
        <v>0</v>
      </c>
      <c r="AG47" s="319">
        <f>Rounding!AG91</f>
        <v>-3.3000000000000002E-2</v>
      </c>
      <c r="AH47" s="319">
        <f>Rounding!AH91</f>
        <v>-3.3000000000000002E-2</v>
      </c>
      <c r="AI47" s="319">
        <f>Rounding!AI91</f>
        <v>0</v>
      </c>
      <c r="AJ47" s="319">
        <f>Rounding!AJ91</f>
        <v>0</v>
      </c>
      <c r="AK47" s="319">
        <f>Rounding!AK91</f>
        <v>-2.8000000000000001E-2</v>
      </c>
      <c r="AL47" s="319">
        <f>Rounding!AL91</f>
        <v>-2.8000000000000001E-2</v>
      </c>
      <c r="AM47" s="319">
        <f>Rounding!AM91</f>
        <v>0</v>
      </c>
      <c r="AN47" s="319">
        <f>Rounding!AN91</f>
        <v>0</v>
      </c>
      <c r="AO47" s="319">
        <f>Rounding!AO91</f>
        <v>-1.4E-2</v>
      </c>
      <c r="AP47" s="319">
        <f>Rounding!AP91</f>
        <v>-1.4E-2</v>
      </c>
      <c r="AQ47" s="304"/>
      <c r="AR47" s="304"/>
    </row>
    <row r="48" spans="3:44" x14ac:dyDescent="0.25">
      <c r="E48" s="28"/>
      <c r="F48" t="s">
        <v>196</v>
      </c>
      <c r="G48" s="13" t="s">
        <v>329</v>
      </c>
      <c r="H48" s="51"/>
      <c r="J48" s="123">
        <f>Rounding!J92</f>
        <v>3.35</v>
      </c>
      <c r="K48" s="123">
        <f>Rounding!K92</f>
        <v>3.35</v>
      </c>
      <c r="L48" s="123">
        <f>Rounding!L92</f>
        <v>0</v>
      </c>
      <c r="M48" s="123">
        <f>Rounding!M92</f>
        <v>6.64</v>
      </c>
      <c r="N48" s="123">
        <f>Rounding!N92</f>
        <v>6.64</v>
      </c>
      <c r="O48" s="123">
        <f>Rounding!O92</f>
        <v>0</v>
      </c>
      <c r="P48" s="123">
        <f>Rounding!P92</f>
        <v>24.94</v>
      </c>
      <c r="Q48" s="123">
        <f>Rounding!Q92</f>
        <v>4.28</v>
      </c>
      <c r="R48" s="123">
        <f>Rounding!R92</f>
        <v>174.34</v>
      </c>
      <c r="S48" s="123">
        <f>Rounding!S92</f>
        <v>3.35</v>
      </c>
      <c r="T48" s="123">
        <f>Rounding!T92</f>
        <v>6.64</v>
      </c>
      <c r="U48" s="123">
        <f>Rounding!U92</f>
        <v>9.9600000000000009</v>
      </c>
      <c r="V48" s="123">
        <f>Rounding!V92</f>
        <v>7.77</v>
      </c>
      <c r="W48" s="123">
        <f>Rounding!W92</f>
        <v>71.75</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44.91</v>
      </c>
      <c r="AN48" s="123">
        <f>Rounding!AN92</f>
        <v>44.91</v>
      </c>
      <c r="AO48" s="123">
        <f>Rounding!AO92</f>
        <v>44.91</v>
      </c>
      <c r="AP48" s="123">
        <f>Rounding!AP92</f>
        <v>44.91</v>
      </c>
    </row>
    <row r="49" spans="3:44" x14ac:dyDescent="0.25">
      <c r="E49" s="28"/>
      <c r="F49" t="s">
        <v>197</v>
      </c>
      <c r="G49" s="13" t="s">
        <v>330</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2.76</v>
      </c>
      <c r="V49" s="123">
        <f>Rounding!V93</f>
        <v>3.44</v>
      </c>
      <c r="W49" s="123">
        <f>Rounding!W93</f>
        <v>4.2</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198</v>
      </c>
      <c r="G50" s="13" t="s">
        <v>330</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5.79</v>
      </c>
      <c r="V50" s="123">
        <f>Rounding!V94</f>
        <v>5.34</v>
      </c>
      <c r="W50" s="123">
        <f>Rounding!W94</f>
        <v>6.22</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199</v>
      </c>
      <c r="G51" s="87" t="s">
        <v>331</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0.14599999999999999</v>
      </c>
      <c r="V51" s="323">
        <f>Rounding!V95</f>
        <v>0.10100000000000001</v>
      </c>
      <c r="W51" s="323">
        <f>Rounding!W95</f>
        <v>5.2999999999999999E-2</v>
      </c>
      <c r="X51" s="323">
        <f>Rounding!X95</f>
        <v>0</v>
      </c>
      <c r="Y51" s="323">
        <f>Rounding!Y95</f>
        <v>0</v>
      </c>
      <c r="Z51" s="323">
        <f>Rounding!Z95</f>
        <v>0</v>
      </c>
      <c r="AA51" s="323">
        <f>Rounding!AA95</f>
        <v>0</v>
      </c>
      <c r="AB51" s="323">
        <f>Rounding!AB95</f>
        <v>0</v>
      </c>
      <c r="AC51" s="323">
        <f>Rounding!AC95</f>
        <v>0</v>
      </c>
      <c r="AD51" s="323">
        <f>Rounding!AD95</f>
        <v>0</v>
      </c>
      <c r="AE51" s="323">
        <f>Rounding!AE95</f>
        <v>0.14000000000000001</v>
      </c>
      <c r="AF51" s="323">
        <f>Rounding!AF95</f>
        <v>0</v>
      </c>
      <c r="AG51" s="323">
        <f>Rounding!AG95</f>
        <v>0.14000000000000001</v>
      </c>
      <c r="AH51" s="323">
        <f>Rounding!AH95</f>
        <v>0</v>
      </c>
      <c r="AI51" s="323">
        <f>Rounding!AI95</f>
        <v>0.11899999999999999</v>
      </c>
      <c r="AJ51" s="323">
        <f>Rounding!AJ95</f>
        <v>0</v>
      </c>
      <c r="AK51" s="323">
        <f>Rounding!AK95</f>
        <v>0.11899999999999999</v>
      </c>
      <c r="AL51" s="323">
        <f>Rounding!AL95</f>
        <v>0</v>
      </c>
      <c r="AM51" s="323">
        <f>Rounding!AM95</f>
        <v>9.5000000000000001E-2</v>
      </c>
      <c r="AN51" s="323">
        <f>Rounding!AN95</f>
        <v>0</v>
      </c>
      <c r="AO51" s="323">
        <f>Rounding!AO95</f>
        <v>9.5000000000000001E-2</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1052</v>
      </c>
      <c r="G53" s="13"/>
      <c r="I53" t="s">
        <v>191</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192</v>
      </c>
    </row>
    <row r="54" spans="3:44" x14ac:dyDescent="0.25">
      <c r="F54" s="23" t="s">
        <v>193</v>
      </c>
      <c r="G54" s="85" t="s">
        <v>328</v>
      </c>
      <c r="H54" s="318"/>
      <c r="I54" s="302"/>
      <c r="J54" s="318">
        <f>Rounding!J98</f>
        <v>1.45</v>
      </c>
      <c r="K54" s="318">
        <f>Rounding!K98</f>
        <v>1.627</v>
      </c>
      <c r="L54" s="318">
        <f>Rounding!L98</f>
        <v>0.83699999999999997</v>
      </c>
      <c r="M54" s="318">
        <f>Rounding!M98</f>
        <v>1.363</v>
      </c>
      <c r="N54" s="318">
        <f>Rounding!N98</f>
        <v>1.472</v>
      </c>
      <c r="O54" s="318">
        <f>Rounding!O98</f>
        <v>0.68600000000000005</v>
      </c>
      <c r="P54" s="318">
        <f>Rounding!P98</f>
        <v>1.4239999999999999</v>
      </c>
      <c r="Q54" s="318">
        <f>Rounding!Q98</f>
        <v>0</v>
      </c>
      <c r="R54" s="318">
        <f>Rounding!R98</f>
        <v>0</v>
      </c>
      <c r="S54" s="318">
        <f>Rounding!S98</f>
        <v>5.7210000000000001</v>
      </c>
      <c r="T54" s="318">
        <f>Rounding!T98</f>
        <v>5.3579999999999997</v>
      </c>
      <c r="U54" s="318">
        <f>Rounding!U98</f>
        <v>3.9780000000000002</v>
      </c>
      <c r="V54" s="318">
        <f>Rounding!V98</f>
        <v>0</v>
      </c>
      <c r="W54" s="318">
        <f>Rounding!W98</f>
        <v>0</v>
      </c>
      <c r="X54" s="318">
        <f>Rounding!X98</f>
        <v>1.637</v>
      </c>
      <c r="Y54" s="318">
        <f>Rounding!Y98</f>
        <v>1.798</v>
      </c>
      <c r="Z54" s="318">
        <f>Rounding!Z98</f>
        <v>2.4249999999999998</v>
      </c>
      <c r="AA54" s="318">
        <f>Rounding!AA98</f>
        <v>1.474</v>
      </c>
      <c r="AB54" s="318">
        <f>Rounding!AB98</f>
        <v>14.744999999999999</v>
      </c>
      <c r="AC54" s="318">
        <f>Rounding!AC98</f>
        <v>-0.628</v>
      </c>
      <c r="AD54" s="318">
        <f>Rounding!AD98</f>
        <v>0</v>
      </c>
      <c r="AE54" s="318">
        <f>Rounding!AE98</f>
        <v>-0.628</v>
      </c>
      <c r="AF54" s="318">
        <f>Rounding!AF98</f>
        <v>0</v>
      </c>
      <c r="AG54" s="318">
        <f>Rounding!AG98</f>
        <v>-4.8959999999999999</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194</v>
      </c>
      <c r="G55" s="13" t="s">
        <v>328</v>
      </c>
      <c r="H55" s="319"/>
      <c r="I55" s="304"/>
      <c r="J55" s="319">
        <f>Rounding!J99</f>
        <v>0</v>
      </c>
      <c r="K55" s="319">
        <f>Rounding!K99</f>
        <v>0.57999999999999996</v>
      </c>
      <c r="L55" s="319">
        <f>Rounding!L99</f>
        <v>0</v>
      </c>
      <c r="M55" s="319">
        <f>Rounding!M99</f>
        <v>0</v>
      </c>
      <c r="N55" s="319">
        <f>Rounding!N99</f>
        <v>0.57699999999999996</v>
      </c>
      <c r="O55" s="319">
        <f>Rounding!O99</f>
        <v>0</v>
      </c>
      <c r="P55" s="319">
        <f>Rounding!P99</f>
        <v>0.57399999999999995</v>
      </c>
      <c r="Q55" s="319">
        <f>Rounding!Q99</f>
        <v>0</v>
      </c>
      <c r="R55" s="319">
        <f>Rounding!R99</f>
        <v>0</v>
      </c>
      <c r="S55" s="319">
        <f>Rounding!S99</f>
        <v>1.1200000000000001</v>
      </c>
      <c r="T55" s="319">
        <f>Rounding!T99</f>
        <v>1.079</v>
      </c>
      <c r="U55" s="319">
        <f>Rounding!U99</f>
        <v>0.91100000000000003</v>
      </c>
      <c r="V55" s="319">
        <f>Rounding!V99</f>
        <v>0</v>
      </c>
      <c r="W55" s="319">
        <f>Rounding!W99</f>
        <v>0</v>
      </c>
      <c r="X55" s="319">
        <f>Rounding!X99</f>
        <v>0</v>
      </c>
      <c r="Y55" s="319">
        <f>Rounding!Y99</f>
        <v>0</v>
      </c>
      <c r="Z55" s="319">
        <f>Rounding!Z99</f>
        <v>0</v>
      </c>
      <c r="AA55" s="319">
        <f>Rounding!AA99</f>
        <v>0</v>
      </c>
      <c r="AB55" s="319">
        <f>Rounding!AB99</f>
        <v>1.52</v>
      </c>
      <c r="AC55" s="319">
        <f>Rounding!AC99</f>
        <v>0</v>
      </c>
      <c r="AD55" s="319">
        <f>Rounding!AD99</f>
        <v>0</v>
      </c>
      <c r="AE55" s="319">
        <f>Rounding!AE99</f>
        <v>0</v>
      </c>
      <c r="AF55" s="319">
        <f>Rounding!AF99</f>
        <v>0</v>
      </c>
      <c r="AG55" s="319">
        <f>Rounding!AG99</f>
        <v>-0.54500000000000004</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195</v>
      </c>
      <c r="G56" s="13" t="s">
        <v>328</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0.57899999999999996</v>
      </c>
      <c r="T56" s="319">
        <f>Rounding!T100</f>
        <v>0.57599999999999996</v>
      </c>
      <c r="U56" s="319">
        <f>Rounding!U100</f>
        <v>0.56499999999999995</v>
      </c>
      <c r="V56" s="319">
        <f>Rounding!V100</f>
        <v>0</v>
      </c>
      <c r="W56" s="319">
        <f>Rounding!W100</f>
        <v>0</v>
      </c>
      <c r="X56" s="319">
        <f>Rounding!X100</f>
        <v>0</v>
      </c>
      <c r="Y56" s="319">
        <f>Rounding!Y100</f>
        <v>0</v>
      </c>
      <c r="Z56" s="319">
        <f>Rounding!Z100</f>
        <v>0</v>
      </c>
      <c r="AA56" s="319">
        <f>Rounding!AA100</f>
        <v>0</v>
      </c>
      <c r="AB56" s="319">
        <f>Rounding!AB100</f>
        <v>1.0649999999999999</v>
      </c>
      <c r="AC56" s="319">
        <f>Rounding!AC100</f>
        <v>0</v>
      </c>
      <c r="AD56" s="319">
        <f>Rounding!AD100</f>
        <v>0</v>
      </c>
      <c r="AE56" s="319">
        <f>Rounding!AE100</f>
        <v>0</v>
      </c>
      <c r="AF56" s="319">
        <f>Rounding!AF100</f>
        <v>0</v>
      </c>
      <c r="AG56" s="319">
        <f>Rounding!AG100</f>
        <v>-3.3000000000000002E-2</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196</v>
      </c>
      <c r="G57" s="13" t="s">
        <v>329</v>
      </c>
      <c r="H57" s="51"/>
      <c r="J57" s="123">
        <f>Rounding!J101</f>
        <v>2.33</v>
      </c>
      <c r="K57" s="123">
        <f>Rounding!K101</f>
        <v>2.33</v>
      </c>
      <c r="L57" s="123">
        <f>Rounding!L101</f>
        <v>0</v>
      </c>
      <c r="M57" s="123">
        <f>Rounding!M101</f>
        <v>4.62</v>
      </c>
      <c r="N57" s="123">
        <f>Rounding!N101</f>
        <v>4.62</v>
      </c>
      <c r="O57" s="123">
        <f>Rounding!O101</f>
        <v>0</v>
      </c>
      <c r="P57" s="123">
        <f>Rounding!P101</f>
        <v>17.350000000000001</v>
      </c>
      <c r="Q57" s="123">
        <f>Rounding!Q101</f>
        <v>0</v>
      </c>
      <c r="R57" s="123">
        <f>Rounding!R101</f>
        <v>0</v>
      </c>
      <c r="S57" s="123">
        <f>Rounding!S101</f>
        <v>2.33</v>
      </c>
      <c r="T57" s="123">
        <f>Rounding!T101</f>
        <v>4.62</v>
      </c>
      <c r="U57" s="123">
        <f>Rounding!U101</f>
        <v>6.93</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197</v>
      </c>
      <c r="G58" s="13" t="s">
        <v>330</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1.92</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198</v>
      </c>
      <c r="G59" s="13" t="s">
        <v>330</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4.03</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199</v>
      </c>
      <c r="G60" s="87" t="s">
        <v>331</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0.10199999999999999</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0.14000000000000001</v>
      </c>
      <c r="AF60" s="323">
        <f>Rounding!AF104</f>
        <v>0</v>
      </c>
      <c r="AG60" s="323">
        <f>Rounding!AG104</f>
        <v>0.14000000000000001</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1053</v>
      </c>
      <c r="G62" s="13"/>
      <c r="I62" t="s">
        <v>191</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192</v>
      </c>
    </row>
    <row r="63" spans="3:44" x14ac:dyDescent="0.25">
      <c r="C63" s="91"/>
      <c r="F63" s="23" t="s">
        <v>193</v>
      </c>
      <c r="G63" s="85" t="s">
        <v>328</v>
      </c>
      <c r="H63" s="318"/>
      <c r="I63" s="302"/>
      <c r="J63" s="318">
        <f>Rounding!J107</f>
        <v>1.1020000000000001</v>
      </c>
      <c r="K63" s="318">
        <f>Rounding!K107</f>
        <v>1.2370000000000001</v>
      </c>
      <c r="L63" s="318">
        <f>Rounding!L107</f>
        <v>0.63600000000000001</v>
      </c>
      <c r="M63" s="318">
        <f>Rounding!M107</f>
        <v>1.036</v>
      </c>
      <c r="N63" s="318">
        <f>Rounding!N107</f>
        <v>1.119</v>
      </c>
      <c r="O63" s="318">
        <f>Rounding!O107</f>
        <v>0.52100000000000002</v>
      </c>
      <c r="P63" s="318">
        <f>Rounding!P107</f>
        <v>1.083</v>
      </c>
      <c r="Q63" s="318">
        <f>Rounding!Q107</f>
        <v>0</v>
      </c>
      <c r="R63" s="318">
        <f>Rounding!R107</f>
        <v>0</v>
      </c>
      <c r="S63" s="318">
        <f>Rounding!S107</f>
        <v>4.3499999999999996</v>
      </c>
      <c r="T63" s="318">
        <f>Rounding!T107</f>
        <v>4.0730000000000004</v>
      </c>
      <c r="U63" s="318">
        <f>Rounding!U107</f>
        <v>3.024</v>
      </c>
      <c r="V63" s="318">
        <f>Rounding!V107</f>
        <v>3.335</v>
      </c>
      <c r="W63" s="318">
        <f>Rounding!W107</f>
        <v>2.5430000000000001</v>
      </c>
      <c r="X63" s="318">
        <f>Rounding!X107</f>
        <v>1.244</v>
      </c>
      <c r="Y63" s="318">
        <f>Rounding!Y107</f>
        <v>1.367</v>
      </c>
      <c r="Z63" s="318">
        <f>Rounding!Z107</f>
        <v>1.8440000000000001</v>
      </c>
      <c r="AA63" s="318">
        <f>Rounding!AA107</f>
        <v>1.1200000000000001</v>
      </c>
      <c r="AB63" s="318">
        <f>Rounding!AB107</f>
        <v>11.21</v>
      </c>
      <c r="AC63" s="318">
        <f>Rounding!AC107</f>
        <v>-0.628</v>
      </c>
      <c r="AD63" s="318">
        <f>Rounding!AD107</f>
        <v>-0.54800000000000004</v>
      </c>
      <c r="AE63" s="318">
        <f>Rounding!AE107</f>
        <v>-0.628</v>
      </c>
      <c r="AF63" s="318">
        <f>Rounding!AF107</f>
        <v>0</v>
      </c>
      <c r="AG63" s="318">
        <f>Rounding!AG107</f>
        <v>-4.8959999999999999</v>
      </c>
      <c r="AH63" s="318">
        <f>Rounding!AH107</f>
        <v>0</v>
      </c>
      <c r="AI63" s="318">
        <f>Rounding!AI107</f>
        <v>-0.54800000000000004</v>
      </c>
      <c r="AJ63" s="318">
        <f>Rounding!AJ107</f>
        <v>0</v>
      </c>
      <c r="AK63" s="318">
        <f>Rounding!AK107</f>
        <v>-4.306</v>
      </c>
      <c r="AL63" s="318">
        <f>Rounding!AL107</f>
        <v>0</v>
      </c>
      <c r="AM63" s="318">
        <f>Rounding!AM107</f>
        <v>-0.34300000000000003</v>
      </c>
      <c r="AN63" s="318">
        <f>Rounding!AN107</f>
        <v>0</v>
      </c>
      <c r="AO63" s="318">
        <f>Rounding!AO107</f>
        <v>-2.8090000000000002</v>
      </c>
      <c r="AP63" s="318">
        <f>Rounding!AP107</f>
        <v>0</v>
      </c>
      <c r="AQ63" s="304"/>
      <c r="AR63" s="304"/>
    </row>
    <row r="64" spans="3:44" x14ac:dyDescent="0.25">
      <c r="C64" s="91"/>
      <c r="F64" t="s">
        <v>194</v>
      </c>
      <c r="G64" s="13" t="s">
        <v>328</v>
      </c>
      <c r="H64" s="319"/>
      <c r="I64" s="304"/>
      <c r="J64" s="319">
        <f>Rounding!J108</f>
        <v>0</v>
      </c>
      <c r="K64" s="319">
        <f>Rounding!K108</f>
        <v>0.441</v>
      </c>
      <c r="L64" s="319">
        <f>Rounding!L108</f>
        <v>0</v>
      </c>
      <c r="M64" s="319">
        <f>Rounding!M108</f>
        <v>0</v>
      </c>
      <c r="N64" s="319">
        <f>Rounding!N108</f>
        <v>0.439</v>
      </c>
      <c r="O64" s="319">
        <f>Rounding!O108</f>
        <v>0</v>
      </c>
      <c r="P64" s="319">
        <f>Rounding!P108</f>
        <v>0.436</v>
      </c>
      <c r="Q64" s="319">
        <f>Rounding!Q108</f>
        <v>0</v>
      </c>
      <c r="R64" s="319">
        <f>Rounding!R108</f>
        <v>0</v>
      </c>
      <c r="S64" s="319">
        <f>Rounding!S108</f>
        <v>0.85099999999999998</v>
      </c>
      <c r="T64" s="319">
        <f>Rounding!T108</f>
        <v>0.82</v>
      </c>
      <c r="U64" s="319">
        <f>Rounding!U108</f>
        <v>0.69299999999999995</v>
      </c>
      <c r="V64" s="319">
        <f>Rounding!V108</f>
        <v>0.87</v>
      </c>
      <c r="W64" s="319">
        <f>Rounding!W108</f>
        <v>0.83499999999999996</v>
      </c>
      <c r="X64" s="319">
        <f>Rounding!X108</f>
        <v>0</v>
      </c>
      <c r="Y64" s="319">
        <f>Rounding!Y108</f>
        <v>0</v>
      </c>
      <c r="Z64" s="319">
        <f>Rounding!Z108</f>
        <v>0</v>
      </c>
      <c r="AA64" s="319">
        <f>Rounding!AA108</f>
        <v>0</v>
      </c>
      <c r="AB64" s="319">
        <f>Rounding!AB108</f>
        <v>1.155</v>
      </c>
      <c r="AC64" s="319">
        <f>Rounding!AC108</f>
        <v>0</v>
      </c>
      <c r="AD64" s="319">
        <f>Rounding!AD108</f>
        <v>0</v>
      </c>
      <c r="AE64" s="319">
        <f>Rounding!AE108</f>
        <v>0</v>
      </c>
      <c r="AF64" s="319">
        <f>Rounding!AF108</f>
        <v>0</v>
      </c>
      <c r="AG64" s="319">
        <f>Rounding!AG108</f>
        <v>-0.54500000000000004</v>
      </c>
      <c r="AH64" s="319">
        <f>Rounding!AH108</f>
        <v>0</v>
      </c>
      <c r="AI64" s="319">
        <f>Rounding!AI108</f>
        <v>0</v>
      </c>
      <c r="AJ64" s="319">
        <f>Rounding!AJ108</f>
        <v>0</v>
      </c>
      <c r="AK64" s="319">
        <f>Rounding!AK108</f>
        <v>-0.46800000000000003</v>
      </c>
      <c r="AL64" s="319">
        <f>Rounding!AL108</f>
        <v>0</v>
      </c>
      <c r="AM64" s="319">
        <f>Rounding!AM108</f>
        <v>0</v>
      </c>
      <c r="AN64" s="319">
        <f>Rounding!AN108</f>
        <v>0</v>
      </c>
      <c r="AO64" s="319">
        <f>Rounding!AO108</f>
        <v>-0.26700000000000002</v>
      </c>
      <c r="AP64" s="319">
        <f>Rounding!AP108</f>
        <v>0</v>
      </c>
      <c r="AQ64" s="304"/>
      <c r="AR64" s="304"/>
    </row>
    <row r="65" spans="2:44" x14ac:dyDescent="0.25">
      <c r="C65" s="91"/>
      <c r="F65" t="s">
        <v>195</v>
      </c>
      <c r="G65" s="13" t="s">
        <v>328</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0.44</v>
      </c>
      <c r="T65" s="319">
        <f>Rounding!T109</f>
        <v>0.438</v>
      </c>
      <c r="U65" s="319">
        <f>Rounding!U109</f>
        <v>0.43</v>
      </c>
      <c r="V65" s="319">
        <f>Rounding!V109</f>
        <v>0.61699999999999999</v>
      </c>
      <c r="W65" s="319">
        <f>Rounding!W109</f>
        <v>0.69</v>
      </c>
      <c r="X65" s="319">
        <f>Rounding!X109</f>
        <v>0</v>
      </c>
      <c r="Y65" s="319">
        <f>Rounding!Y109</f>
        <v>0</v>
      </c>
      <c r="Z65" s="319">
        <f>Rounding!Z109</f>
        <v>0</v>
      </c>
      <c r="AA65" s="319">
        <f>Rounding!AA109</f>
        <v>0</v>
      </c>
      <c r="AB65" s="319">
        <f>Rounding!AB109</f>
        <v>0.81</v>
      </c>
      <c r="AC65" s="319">
        <f>Rounding!AC109</f>
        <v>0</v>
      </c>
      <c r="AD65" s="319">
        <f>Rounding!AD109</f>
        <v>0</v>
      </c>
      <c r="AE65" s="319">
        <f>Rounding!AE109</f>
        <v>0</v>
      </c>
      <c r="AF65" s="319">
        <f>Rounding!AF109</f>
        <v>0</v>
      </c>
      <c r="AG65" s="319">
        <f>Rounding!AG109</f>
        <v>-3.3000000000000002E-2</v>
      </c>
      <c r="AH65" s="319">
        <f>Rounding!AH109</f>
        <v>0</v>
      </c>
      <c r="AI65" s="319">
        <f>Rounding!AI109</f>
        <v>0</v>
      </c>
      <c r="AJ65" s="319">
        <f>Rounding!AJ109</f>
        <v>0</v>
      </c>
      <c r="AK65" s="319">
        <f>Rounding!AK109</f>
        <v>-2.8000000000000001E-2</v>
      </c>
      <c r="AL65" s="319">
        <f>Rounding!AL109</f>
        <v>0</v>
      </c>
      <c r="AM65" s="319">
        <f>Rounding!AM109</f>
        <v>0</v>
      </c>
      <c r="AN65" s="319">
        <f>Rounding!AN109</f>
        <v>0</v>
      </c>
      <c r="AO65" s="319">
        <f>Rounding!AO109</f>
        <v>-1.4E-2</v>
      </c>
      <c r="AP65" s="319">
        <f>Rounding!AP109</f>
        <v>0</v>
      </c>
      <c r="AQ65" s="304"/>
      <c r="AR65" s="304"/>
    </row>
    <row r="66" spans="2:44" x14ac:dyDescent="0.25">
      <c r="C66" s="91"/>
      <c r="F66" t="s">
        <v>196</v>
      </c>
      <c r="G66" s="13" t="s">
        <v>329</v>
      </c>
      <c r="H66" s="51"/>
      <c r="J66" s="123">
        <f>Rounding!J110</f>
        <v>1.77</v>
      </c>
      <c r="K66" s="123">
        <f>Rounding!K110</f>
        <v>1.77</v>
      </c>
      <c r="L66" s="123">
        <f>Rounding!L110</f>
        <v>0</v>
      </c>
      <c r="M66" s="123">
        <f>Rounding!M110</f>
        <v>3.51</v>
      </c>
      <c r="N66" s="123">
        <f>Rounding!N110</f>
        <v>3.51</v>
      </c>
      <c r="O66" s="123">
        <f>Rounding!O110</f>
        <v>0</v>
      </c>
      <c r="P66" s="123">
        <f>Rounding!P110</f>
        <v>13.19</v>
      </c>
      <c r="Q66" s="123">
        <f>Rounding!Q110</f>
        <v>0</v>
      </c>
      <c r="R66" s="123">
        <f>Rounding!R110</f>
        <v>0</v>
      </c>
      <c r="S66" s="123">
        <f>Rounding!S110</f>
        <v>1.77</v>
      </c>
      <c r="T66" s="123">
        <f>Rounding!T110</f>
        <v>3.51</v>
      </c>
      <c r="U66" s="123">
        <f>Rounding!U110</f>
        <v>5.27</v>
      </c>
      <c r="V66" s="123">
        <f>Rounding!V110</f>
        <v>6</v>
      </c>
      <c r="W66" s="123">
        <f>Rounding!W110</f>
        <v>62.74</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197</v>
      </c>
      <c r="G67" s="13" t="s">
        <v>330</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1.46</v>
      </c>
      <c r="V67" s="123">
        <f>Rounding!V111</f>
        <v>2.65</v>
      </c>
      <c r="W67" s="123">
        <f>Rounding!W111</f>
        <v>3.67</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198</v>
      </c>
      <c r="G68" s="13" t="s">
        <v>330</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3.06</v>
      </c>
      <c r="V68" s="123">
        <f>Rounding!V112</f>
        <v>4.12</v>
      </c>
      <c r="W68" s="123">
        <f>Rounding!W112</f>
        <v>5.44</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199</v>
      </c>
      <c r="G69" s="87" t="s">
        <v>331</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7.6999999999999999E-2</v>
      </c>
      <c r="V69" s="323">
        <f>Rounding!V113</f>
        <v>7.8E-2</v>
      </c>
      <c r="W69" s="323">
        <f>Rounding!W113</f>
        <v>4.5999999999999999E-2</v>
      </c>
      <c r="X69" s="323">
        <f>Rounding!X113</f>
        <v>0</v>
      </c>
      <c r="Y69" s="323">
        <f>Rounding!Y113</f>
        <v>0</v>
      </c>
      <c r="Z69" s="323">
        <f>Rounding!Z113</f>
        <v>0</v>
      </c>
      <c r="AA69" s="323">
        <f>Rounding!AA113</f>
        <v>0</v>
      </c>
      <c r="AB69" s="323">
        <f>Rounding!AB113</f>
        <v>0</v>
      </c>
      <c r="AC69" s="323">
        <f>Rounding!AC113</f>
        <v>0</v>
      </c>
      <c r="AD69" s="323">
        <f>Rounding!AD113</f>
        <v>0</v>
      </c>
      <c r="AE69" s="323">
        <f>Rounding!AE113</f>
        <v>0.14000000000000001</v>
      </c>
      <c r="AF69" s="323">
        <f>Rounding!AF113</f>
        <v>0</v>
      </c>
      <c r="AG69" s="323">
        <f>Rounding!AG113</f>
        <v>0.14000000000000001</v>
      </c>
      <c r="AH69" s="323">
        <f>Rounding!AH113</f>
        <v>0</v>
      </c>
      <c r="AI69" s="323">
        <f>Rounding!AI113</f>
        <v>0.11899999999999999</v>
      </c>
      <c r="AJ69" s="323">
        <f>Rounding!AJ113</f>
        <v>0</v>
      </c>
      <c r="AK69" s="323">
        <f>Rounding!AK113</f>
        <v>0.11899999999999999</v>
      </c>
      <c r="AL69" s="323">
        <f>Rounding!AL113</f>
        <v>0</v>
      </c>
      <c r="AM69" s="323">
        <f>Rounding!AM113</f>
        <v>9.5000000000000001E-2</v>
      </c>
      <c r="AN69" s="323">
        <f>Rounding!AN113</f>
        <v>0</v>
      </c>
      <c r="AO69" s="323">
        <f>Rounding!AO113</f>
        <v>9.5000000000000001E-2</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864</v>
      </c>
      <c r="G73" s="13" t="s">
        <v>336</v>
      </c>
      <c r="H73" s="123">
        <f>'General inputs'!$H$85</f>
        <v>495608957.81586874</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1054</v>
      </c>
      <c r="G74" s="13" t="s">
        <v>336</v>
      </c>
      <c r="H74" s="123">
        <f>'Revenue matching'!H52</f>
        <v>305404542.36093813</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1055</v>
      </c>
      <c r="G75" s="13" t="s">
        <v>336</v>
      </c>
      <c r="H75" s="123">
        <f>'Revenue matching'!H152</f>
        <v>495608957.81586874</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1056</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1057</v>
      </c>
      <c r="G81" s="13"/>
      <c r="H81" s="243" t="s">
        <v>658</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193</v>
      </c>
      <c r="G82" s="85" t="s">
        <v>336</v>
      </c>
      <c r="H82" s="129">
        <f t="shared" ref="H82:H88" si="0">SUM(J82:AP82)</f>
        <v>272097304.05345571</v>
      </c>
      <c r="I82" s="23"/>
      <c r="J82" s="129">
        <f t="shared" ref="J82:AP82" si="1">J16 * thousand * J45 / hundred</f>
        <v>119412611.11353558</v>
      </c>
      <c r="K82" s="129">
        <f t="shared" si="1"/>
        <v>52548839.90396855</v>
      </c>
      <c r="L82" s="129">
        <f t="shared" si="1"/>
        <v>286047.07966741745</v>
      </c>
      <c r="M82" s="129">
        <f t="shared" si="1"/>
        <v>22548842.744311191</v>
      </c>
      <c r="N82" s="129">
        <f t="shared" si="1"/>
        <v>31770028.236639306</v>
      </c>
      <c r="O82" s="129">
        <f t="shared" si="1"/>
        <v>25720.10220409208</v>
      </c>
      <c r="P82" s="129">
        <f t="shared" si="1"/>
        <v>306385.75406462554</v>
      </c>
      <c r="Q82" s="129">
        <f t="shared" si="1"/>
        <v>7.082267559039999</v>
      </c>
      <c r="R82" s="129">
        <f t="shared" si="1"/>
        <v>33004.482239325</v>
      </c>
      <c r="S82" s="129">
        <f t="shared" si="1"/>
        <v>218592.54313628885</v>
      </c>
      <c r="T82" s="129">
        <f t="shared" si="1"/>
        <v>1513276.7422709689</v>
      </c>
      <c r="U82" s="129">
        <f t="shared" si="1"/>
        <v>21429151.348649245</v>
      </c>
      <c r="V82" s="129">
        <f t="shared" si="1"/>
        <v>1305141.2905477737</v>
      </c>
      <c r="W82" s="129">
        <f t="shared" si="1"/>
        <v>21449755.455373034</v>
      </c>
      <c r="X82" s="129">
        <f t="shared" si="1"/>
        <v>682959.74767218472</v>
      </c>
      <c r="Y82" s="129">
        <f t="shared" si="1"/>
        <v>577757.03378306609</v>
      </c>
      <c r="Z82" s="129">
        <f t="shared" si="1"/>
        <v>13787.467485051337</v>
      </c>
      <c r="AA82" s="129">
        <f t="shared" si="1"/>
        <v>162733.19008335244</v>
      </c>
      <c r="AB82" s="129">
        <f t="shared" si="1"/>
        <v>2252683.3085073791</v>
      </c>
      <c r="AC82" s="129">
        <f t="shared" si="1"/>
        <v>-9052.2494799999986</v>
      </c>
      <c r="AD82" s="129">
        <f t="shared" si="1"/>
        <v>0</v>
      </c>
      <c r="AE82" s="129">
        <f t="shared" si="1"/>
        <v>-194859.05536000003</v>
      </c>
      <c r="AF82" s="129">
        <f t="shared" si="1"/>
        <v>0</v>
      </c>
      <c r="AG82" s="129">
        <f t="shared" si="1"/>
        <v>-74911.822075193675</v>
      </c>
      <c r="AH82" s="129">
        <f t="shared" si="1"/>
        <v>0</v>
      </c>
      <c r="AI82" s="129">
        <f t="shared" si="1"/>
        <v>-19749.627603640009</v>
      </c>
      <c r="AJ82" s="129">
        <f t="shared" si="1"/>
        <v>0</v>
      </c>
      <c r="AK82" s="129">
        <f t="shared" si="1"/>
        <v>-18240.050861906529</v>
      </c>
      <c r="AL82" s="129">
        <f t="shared" si="1"/>
        <v>0</v>
      </c>
      <c r="AM82" s="129">
        <f t="shared" si="1"/>
        <v>-1580998.0674422556</v>
      </c>
      <c r="AN82" s="129">
        <f t="shared" si="1"/>
        <v>0</v>
      </c>
      <c r="AO82" s="129">
        <f t="shared" si="1"/>
        <v>-2542209.7001273064</v>
      </c>
      <c r="AP82" s="129">
        <f t="shared" si="1"/>
        <v>0</v>
      </c>
    </row>
    <row r="83" spans="5:42" x14ac:dyDescent="0.25">
      <c r="E83" s="28"/>
      <c r="F83" t="s">
        <v>194</v>
      </c>
      <c r="G83" s="13" t="s">
        <v>336</v>
      </c>
      <c r="H83" s="101">
        <f t="shared" si="0"/>
        <v>61477330.723833404</v>
      </c>
      <c r="J83" s="101">
        <f t="shared" ref="J83:AP83" si="2">J17 * thousand * J46 / hundred</f>
        <v>0</v>
      </c>
      <c r="K83" s="101">
        <f t="shared" si="2"/>
        <v>8478073.5185839776</v>
      </c>
      <c r="L83" s="101">
        <f t="shared" si="2"/>
        <v>0</v>
      </c>
      <c r="M83" s="101">
        <f t="shared" si="2"/>
        <v>0</v>
      </c>
      <c r="N83" s="101">
        <f t="shared" si="2"/>
        <v>3745384.8054115474</v>
      </c>
      <c r="O83" s="101">
        <f t="shared" si="2"/>
        <v>0</v>
      </c>
      <c r="P83" s="101">
        <f t="shared" si="2"/>
        <v>35816.469123913266</v>
      </c>
      <c r="Q83" s="101">
        <f t="shared" si="2"/>
        <v>0</v>
      </c>
      <c r="R83" s="101">
        <f t="shared" si="2"/>
        <v>6675.3667844217453</v>
      </c>
      <c r="S83" s="101">
        <f t="shared" si="2"/>
        <v>131820.29553859425</v>
      </c>
      <c r="T83" s="101">
        <f t="shared" si="2"/>
        <v>1207346.1605170027</v>
      </c>
      <c r="U83" s="101">
        <f t="shared" si="2"/>
        <v>19631681.573725935</v>
      </c>
      <c r="V83" s="101">
        <f t="shared" si="2"/>
        <v>1315346.8772371893</v>
      </c>
      <c r="W83" s="101">
        <f t="shared" si="2"/>
        <v>26868492.299338628</v>
      </c>
      <c r="X83" s="101">
        <f t="shared" si="2"/>
        <v>0</v>
      </c>
      <c r="Y83" s="101">
        <f t="shared" si="2"/>
        <v>0</v>
      </c>
      <c r="Z83" s="101">
        <f t="shared" si="2"/>
        <v>0</v>
      </c>
      <c r="AA83" s="101">
        <f t="shared" si="2"/>
        <v>0</v>
      </c>
      <c r="AB83" s="101">
        <f t="shared" si="2"/>
        <v>721736.97034472076</v>
      </c>
      <c r="AC83" s="101">
        <f t="shared" si="2"/>
        <v>0</v>
      </c>
      <c r="AD83" s="101">
        <f t="shared" si="2"/>
        <v>0</v>
      </c>
      <c r="AE83" s="101">
        <f t="shared" si="2"/>
        <v>0</v>
      </c>
      <c r="AF83" s="101">
        <f t="shared" si="2"/>
        <v>0</v>
      </c>
      <c r="AG83" s="101">
        <f t="shared" si="2"/>
        <v>-32719.441235246002</v>
      </c>
      <c r="AH83" s="101">
        <f t="shared" si="2"/>
        <v>0</v>
      </c>
      <c r="AI83" s="101">
        <f t="shared" si="2"/>
        <v>0</v>
      </c>
      <c r="AJ83" s="101">
        <f t="shared" si="2"/>
        <v>0</v>
      </c>
      <c r="AK83" s="101">
        <f t="shared" si="2"/>
        <v>-6487.9617890355448</v>
      </c>
      <c r="AL83" s="101">
        <f t="shared" si="2"/>
        <v>0</v>
      </c>
      <c r="AM83" s="101">
        <f t="shared" si="2"/>
        <v>0</v>
      </c>
      <c r="AN83" s="101">
        <f t="shared" si="2"/>
        <v>0</v>
      </c>
      <c r="AO83" s="101">
        <f t="shared" si="2"/>
        <v>-625836.20974825346</v>
      </c>
      <c r="AP83" s="101">
        <f t="shared" si="2"/>
        <v>0</v>
      </c>
    </row>
    <row r="84" spans="5:42" x14ac:dyDescent="0.25">
      <c r="E84" s="28"/>
      <c r="F84" t="s">
        <v>195</v>
      </c>
      <c r="G84" s="13" t="s">
        <v>336</v>
      </c>
      <c r="H84" s="101">
        <f t="shared" si="0"/>
        <v>49581073.489850797</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114422.19670028539</v>
      </c>
      <c r="T84" s="101">
        <f t="shared" si="3"/>
        <v>698714.41135893913</v>
      </c>
      <c r="U84" s="101">
        <f t="shared" si="3"/>
        <v>13223840.988811491</v>
      </c>
      <c r="V84" s="101">
        <f t="shared" si="3"/>
        <v>1086182.5712114642</v>
      </c>
      <c r="W84" s="101">
        <f t="shared" si="3"/>
        <v>31972543.573561922</v>
      </c>
      <c r="X84" s="101">
        <f t="shared" si="3"/>
        <v>0</v>
      </c>
      <c r="Y84" s="101">
        <f t="shared" si="3"/>
        <v>0</v>
      </c>
      <c r="Z84" s="101">
        <f t="shared" si="3"/>
        <v>0</v>
      </c>
      <c r="AA84" s="101">
        <f t="shared" si="3"/>
        <v>0</v>
      </c>
      <c r="AB84" s="101">
        <f t="shared" si="3"/>
        <v>2545916.5809911722</v>
      </c>
      <c r="AC84" s="101">
        <f t="shared" si="3"/>
        <v>0</v>
      </c>
      <c r="AD84" s="101">
        <f t="shared" si="3"/>
        <v>0</v>
      </c>
      <c r="AE84" s="101">
        <f t="shared" si="3"/>
        <v>0</v>
      </c>
      <c r="AF84" s="101">
        <f t="shared" si="3"/>
        <v>0</v>
      </c>
      <c r="AG84" s="101">
        <f t="shared" si="3"/>
        <v>-2945.9391119676293</v>
      </c>
      <c r="AH84" s="101">
        <f t="shared" si="3"/>
        <v>0</v>
      </c>
      <c r="AI84" s="101">
        <f t="shared" si="3"/>
        <v>0</v>
      </c>
      <c r="AJ84" s="101">
        <f t="shared" si="3"/>
        <v>0</v>
      </c>
      <c r="AK84" s="101">
        <f t="shared" si="3"/>
        <v>-868.0882022734819</v>
      </c>
      <c r="AL84" s="101">
        <f t="shared" si="3"/>
        <v>0</v>
      </c>
      <c r="AM84" s="101">
        <f t="shared" si="3"/>
        <v>0</v>
      </c>
      <c r="AN84" s="101">
        <f t="shared" si="3"/>
        <v>0</v>
      </c>
      <c r="AO84" s="101">
        <f t="shared" si="3"/>
        <v>-56732.80547022829</v>
      </c>
      <c r="AP84" s="101">
        <f t="shared" si="3"/>
        <v>0</v>
      </c>
    </row>
    <row r="85" spans="5:42" x14ac:dyDescent="0.25">
      <c r="E85" s="28"/>
      <c r="F85" s="23" t="s">
        <v>196</v>
      </c>
      <c r="G85" s="85" t="s">
        <v>336</v>
      </c>
      <c r="H85" s="129">
        <f t="shared" si="0"/>
        <v>36277527.288457677</v>
      </c>
      <c r="I85" s="23"/>
      <c r="J85" s="129">
        <f t="shared" ref="J85:AP85" si="4" xml:space="preserve"> J19 * J48 * days_in_year / hundred</f>
        <v>21113314.825860508</v>
      </c>
      <c r="K85" s="129">
        <f t="shared" si="4"/>
        <v>9090573.6097785216</v>
      </c>
      <c r="L85" s="129">
        <f t="shared" si="4"/>
        <v>0</v>
      </c>
      <c r="M85" s="129">
        <f t="shared" si="4"/>
        <v>2323740.927517273</v>
      </c>
      <c r="N85" s="129">
        <f t="shared" si="4"/>
        <v>1994445.2226319695</v>
      </c>
      <c r="O85" s="129">
        <f t="shared" si="4"/>
        <v>0</v>
      </c>
      <c r="P85" s="129">
        <f t="shared" si="4"/>
        <v>28607.661424727274</v>
      </c>
      <c r="Q85" s="129">
        <f t="shared" si="4"/>
        <v>13.011199999999999</v>
      </c>
      <c r="R85" s="129">
        <f t="shared" si="4"/>
        <v>23438.269600000003</v>
      </c>
      <c r="S85" s="129">
        <f t="shared" si="4"/>
        <v>81295.62939100682</v>
      </c>
      <c r="T85" s="129">
        <f t="shared" si="4"/>
        <v>65560.82119869467</v>
      </c>
      <c r="U85" s="129">
        <f t="shared" si="4"/>
        <v>545427.09996741114</v>
      </c>
      <c r="V85" s="129">
        <f t="shared" si="4"/>
        <v>10691.549508189026</v>
      </c>
      <c r="W85" s="129">
        <f t="shared" si="4"/>
        <v>925354.83316581545</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36961.027903800001</v>
      </c>
      <c r="AN85" s="129">
        <f t="shared" si="4"/>
        <v>0</v>
      </c>
      <c r="AO85" s="129">
        <f t="shared" si="4"/>
        <v>38102.799309749993</v>
      </c>
      <c r="AP85" s="129">
        <f t="shared" si="4"/>
        <v>0</v>
      </c>
    </row>
    <row r="86" spans="5:42" x14ac:dyDescent="0.25">
      <c r="E86" s="28"/>
      <c r="F86" t="s">
        <v>197</v>
      </c>
      <c r="G86" s="13" t="s">
        <v>336</v>
      </c>
      <c r="H86" s="101">
        <f t="shared" si="0"/>
        <v>64767441.019670069</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20276505.222783297</v>
      </c>
      <c r="V86" s="101">
        <f t="shared" si="5"/>
        <v>1693442.1680000001</v>
      </c>
      <c r="W86" s="101">
        <f t="shared" si="5"/>
        <v>42797493.628886774</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198</v>
      </c>
      <c r="G87" s="13" t="s">
        <v>336</v>
      </c>
      <c r="H87" s="101">
        <f t="shared" si="0"/>
        <v>2524687.381799344</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900125.98366490228</v>
      </c>
      <c r="V87" s="101">
        <f t="shared" si="6"/>
        <v>57601.662267600019</v>
      </c>
      <c r="W87" s="101">
        <f t="shared" si="6"/>
        <v>1566959.7358668414</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199</v>
      </c>
      <c r="G88" s="85" t="s">
        <v>336</v>
      </c>
      <c r="H88" s="129">
        <f t="shared" si="0"/>
        <v>925379.711647494</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545551.36712867557</v>
      </c>
      <c r="V88" s="129">
        <f t="shared" si="7"/>
        <v>22522.24747223001</v>
      </c>
      <c r="W88" s="129">
        <f t="shared" si="7"/>
        <v>333182.41724464891</v>
      </c>
      <c r="X88" s="129">
        <f t="shared" si="7"/>
        <v>0</v>
      </c>
      <c r="Y88" s="129">
        <f t="shared" si="7"/>
        <v>0</v>
      </c>
      <c r="Z88" s="129">
        <f t="shared" si="7"/>
        <v>0</v>
      </c>
      <c r="AA88" s="129">
        <f t="shared" si="7"/>
        <v>0</v>
      </c>
      <c r="AB88" s="129">
        <f t="shared" si="7"/>
        <v>0</v>
      </c>
      <c r="AC88" s="129">
        <f t="shared" si="7"/>
        <v>0</v>
      </c>
      <c r="AD88" s="129">
        <f t="shared" si="7"/>
        <v>0</v>
      </c>
      <c r="AE88" s="129">
        <f t="shared" si="7"/>
        <v>3707.3106000000012</v>
      </c>
      <c r="AF88" s="129">
        <f t="shared" si="7"/>
        <v>0</v>
      </c>
      <c r="AG88" s="129">
        <f t="shared" si="7"/>
        <v>1076.835099312</v>
      </c>
      <c r="AH88" s="129">
        <f t="shared" si="7"/>
        <v>0</v>
      </c>
      <c r="AI88" s="129">
        <f t="shared" si="7"/>
        <v>386.58017629000011</v>
      </c>
      <c r="AJ88" s="129">
        <f t="shared" si="7"/>
        <v>0</v>
      </c>
      <c r="AK88" s="129">
        <f t="shared" si="7"/>
        <v>398.01691999999986</v>
      </c>
      <c r="AL88" s="129">
        <f t="shared" si="7"/>
        <v>0</v>
      </c>
      <c r="AM88" s="129">
        <f t="shared" si="7"/>
        <v>5924.9340063375012</v>
      </c>
      <c r="AN88" s="129">
        <f t="shared" si="7"/>
        <v>0</v>
      </c>
      <c r="AO88" s="129">
        <f t="shared" si="7"/>
        <v>12630.002999999999</v>
      </c>
      <c r="AP88" s="129">
        <f t="shared" si="7"/>
        <v>0</v>
      </c>
    </row>
    <row r="89" spans="5:42" x14ac:dyDescent="0.25">
      <c r="E89" s="28"/>
      <c r="F89" s="111" t="s">
        <v>102</v>
      </c>
      <c r="G89" s="244" t="s">
        <v>336</v>
      </c>
      <c r="H89" s="157">
        <f>SUM(H82:H88)</f>
        <v>487650743.66871452</v>
      </c>
      <c r="I89" s="54"/>
      <c r="J89" s="157">
        <f t="shared" ref="J89:AP89" si="8">SUM(J82:J88)</f>
        <v>140525925.93939608</v>
      </c>
      <c r="K89" s="157">
        <f t="shared" si="8"/>
        <v>70117487.032331049</v>
      </c>
      <c r="L89" s="157">
        <f t="shared" si="8"/>
        <v>286047.07966741745</v>
      </c>
      <c r="M89" s="157">
        <f t="shared" si="8"/>
        <v>24872583.671828464</v>
      </c>
      <c r="N89" s="157">
        <f t="shared" si="8"/>
        <v>37509858.264682822</v>
      </c>
      <c r="O89" s="157">
        <f t="shared" si="8"/>
        <v>25720.10220409208</v>
      </c>
      <c r="P89" s="157">
        <f t="shared" si="8"/>
        <v>370809.8846132661</v>
      </c>
      <c r="Q89" s="157">
        <f t="shared" si="8"/>
        <v>20.093467559039997</v>
      </c>
      <c r="R89" s="157">
        <f t="shared" si="8"/>
        <v>63118.118623746748</v>
      </c>
      <c r="S89" s="157">
        <f t="shared" si="8"/>
        <v>546130.66476617532</v>
      </c>
      <c r="T89" s="157">
        <f t="shared" si="8"/>
        <v>3484898.1353456052</v>
      </c>
      <c r="U89" s="157">
        <f t="shared" si="8"/>
        <v>76552283.584730953</v>
      </c>
      <c r="V89" s="157">
        <f t="shared" si="8"/>
        <v>5490928.3662444465</v>
      </c>
      <c r="W89" s="157">
        <f t="shared" si="8"/>
        <v>125913781.94343765</v>
      </c>
      <c r="X89" s="157">
        <f t="shared" si="8"/>
        <v>682959.74767218472</v>
      </c>
      <c r="Y89" s="157">
        <f t="shared" si="8"/>
        <v>577757.03378306609</v>
      </c>
      <c r="Z89" s="157">
        <f t="shared" si="8"/>
        <v>13787.467485051337</v>
      </c>
      <c r="AA89" s="157">
        <f t="shared" si="8"/>
        <v>162733.19008335244</v>
      </c>
      <c r="AB89" s="157">
        <f t="shared" si="8"/>
        <v>5520336.8598432727</v>
      </c>
      <c r="AC89" s="157">
        <f t="shared" si="8"/>
        <v>-9052.2494799999986</v>
      </c>
      <c r="AD89" s="157">
        <f t="shared" si="8"/>
        <v>0</v>
      </c>
      <c r="AE89" s="157">
        <f t="shared" si="8"/>
        <v>-191151.74476000003</v>
      </c>
      <c r="AF89" s="157">
        <f t="shared" si="8"/>
        <v>0</v>
      </c>
      <c r="AG89" s="157">
        <f t="shared" si="8"/>
        <v>-109500.36732309531</v>
      </c>
      <c r="AH89" s="157">
        <f t="shared" si="8"/>
        <v>0</v>
      </c>
      <c r="AI89" s="157">
        <f t="shared" si="8"/>
        <v>-19363.047427350008</v>
      </c>
      <c r="AJ89" s="157">
        <f t="shared" si="8"/>
        <v>0</v>
      </c>
      <c r="AK89" s="157">
        <f t="shared" si="8"/>
        <v>-25198.083933215556</v>
      </c>
      <c r="AL89" s="157">
        <f t="shared" si="8"/>
        <v>0</v>
      </c>
      <c r="AM89" s="157">
        <f t="shared" si="8"/>
        <v>-1538112.1055321181</v>
      </c>
      <c r="AN89" s="157">
        <f t="shared" si="8"/>
        <v>0</v>
      </c>
      <c r="AO89" s="157">
        <f t="shared" si="8"/>
        <v>-3174045.9130360377</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1058</v>
      </c>
      <c r="G91" s="13"/>
      <c r="H91" s="243" t="s">
        <v>658</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193</v>
      </c>
      <c r="G92" s="85" t="s">
        <v>336</v>
      </c>
      <c r="H92" s="129">
        <f t="shared" ref="H92:H98" si="9">SUM(J92:AP92)</f>
        <v>1505201.3091485067</v>
      </c>
      <c r="I92" s="23"/>
      <c r="J92" s="129">
        <f t="shared" ref="J92:AP92" si="10">J25 * thousand * J54 / hundred</f>
        <v>1315240.3527159984</v>
      </c>
      <c r="K92" s="129">
        <f t="shared" si="10"/>
        <v>65285.857264846905</v>
      </c>
      <c r="L92" s="129">
        <f t="shared" si="10"/>
        <v>0</v>
      </c>
      <c r="M92" s="129">
        <f t="shared" si="10"/>
        <v>52682.610682517829</v>
      </c>
      <c r="N92" s="129">
        <f t="shared" si="10"/>
        <v>3254.3104478453697</v>
      </c>
      <c r="O92" s="129">
        <f t="shared" si="10"/>
        <v>0</v>
      </c>
      <c r="P92" s="129">
        <f t="shared" si="10"/>
        <v>1839.9015694177265</v>
      </c>
      <c r="Q92" s="129">
        <f t="shared" si="10"/>
        <v>0</v>
      </c>
      <c r="R92" s="129">
        <f t="shared" si="10"/>
        <v>0</v>
      </c>
      <c r="S92" s="129">
        <f t="shared" si="10"/>
        <v>398.90040433727182</v>
      </c>
      <c r="T92" s="129">
        <f t="shared" si="10"/>
        <v>213.01444921258167</v>
      </c>
      <c r="U92" s="129">
        <f t="shared" si="10"/>
        <v>58755.053626534369</v>
      </c>
      <c r="V92" s="129">
        <f t="shared" si="10"/>
        <v>0</v>
      </c>
      <c r="W92" s="129">
        <f t="shared" si="10"/>
        <v>0</v>
      </c>
      <c r="X92" s="129">
        <f t="shared" si="10"/>
        <v>2304.6338770705629</v>
      </c>
      <c r="Y92" s="129">
        <f t="shared" si="10"/>
        <v>5298.4760741114205</v>
      </c>
      <c r="Z92" s="129">
        <f t="shared" si="10"/>
        <v>0</v>
      </c>
      <c r="AA92" s="129">
        <f t="shared" si="10"/>
        <v>49.977925174590112</v>
      </c>
      <c r="AB92" s="129">
        <f t="shared" si="10"/>
        <v>0</v>
      </c>
      <c r="AC92" s="129">
        <f t="shared" si="10"/>
        <v>-121.77988856</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194</v>
      </c>
      <c r="G93" s="13" t="s">
        <v>336</v>
      </c>
      <c r="H93" s="101">
        <f t="shared" si="9"/>
        <v>59355.155142894844</v>
      </c>
      <c r="J93" s="101">
        <f t="shared" ref="J93:AP93" si="11">J26 * thousand * J55 / hundred</f>
        <v>0</v>
      </c>
      <c r="K93" s="101">
        <f t="shared" si="11"/>
        <v>8550.5467531495651</v>
      </c>
      <c r="L93" s="101">
        <f t="shared" si="11"/>
        <v>0</v>
      </c>
      <c r="M93" s="101">
        <f t="shared" si="11"/>
        <v>0</v>
      </c>
      <c r="N93" s="101">
        <f t="shared" si="11"/>
        <v>463.73970510654277</v>
      </c>
      <c r="O93" s="101">
        <f t="shared" si="11"/>
        <v>0</v>
      </c>
      <c r="P93" s="101">
        <f t="shared" si="11"/>
        <v>501.98478061572774</v>
      </c>
      <c r="Q93" s="101">
        <f t="shared" si="11"/>
        <v>0</v>
      </c>
      <c r="R93" s="101">
        <f t="shared" si="11"/>
        <v>0</v>
      </c>
      <c r="S93" s="101">
        <f t="shared" si="11"/>
        <v>237.68167672185436</v>
      </c>
      <c r="T93" s="101">
        <f t="shared" si="11"/>
        <v>149.05566954098242</v>
      </c>
      <c r="U93" s="101">
        <f t="shared" si="11"/>
        <v>49452.14655776017</v>
      </c>
      <c r="V93" s="101">
        <f t="shared" si="11"/>
        <v>0</v>
      </c>
      <c r="W93" s="101">
        <f t="shared" si="11"/>
        <v>0</v>
      </c>
      <c r="X93" s="101">
        <f t="shared" si="11"/>
        <v>0</v>
      </c>
      <c r="Y93" s="101">
        <f t="shared" si="11"/>
        <v>0</v>
      </c>
      <c r="Z93" s="101">
        <f t="shared" si="11"/>
        <v>0</v>
      </c>
      <c r="AA93" s="101">
        <f t="shared" si="11"/>
        <v>0</v>
      </c>
      <c r="AB93" s="101">
        <f t="shared" si="11"/>
        <v>0</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195</v>
      </c>
      <c r="G94" s="13" t="s">
        <v>336</v>
      </c>
      <c r="H94" s="101">
        <f t="shared" si="9"/>
        <v>37861.157493442159</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216.96005136695484</v>
      </c>
      <c r="T94" s="101">
        <f t="shared" si="12"/>
        <v>263.91030842910948</v>
      </c>
      <c r="U94" s="101">
        <f t="shared" si="12"/>
        <v>37380.287133646096</v>
      </c>
      <c r="V94" s="101">
        <f t="shared" si="12"/>
        <v>0</v>
      </c>
      <c r="W94" s="101">
        <f t="shared" si="12"/>
        <v>0</v>
      </c>
      <c r="X94" s="101">
        <f t="shared" si="12"/>
        <v>0</v>
      </c>
      <c r="Y94" s="101">
        <f t="shared" si="12"/>
        <v>0</v>
      </c>
      <c r="Z94" s="101">
        <f t="shared" si="12"/>
        <v>0</v>
      </c>
      <c r="AA94" s="101">
        <f t="shared" si="12"/>
        <v>0</v>
      </c>
      <c r="AB94" s="101">
        <f t="shared" si="12"/>
        <v>0</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196</v>
      </c>
      <c r="G95" s="85" t="s">
        <v>336</v>
      </c>
      <c r="H95" s="129">
        <f t="shared" si="9"/>
        <v>296798.76456174999</v>
      </c>
      <c r="I95" s="23"/>
      <c r="J95" s="129">
        <f t="shared" ref="J95:AP95" si="13" xml:space="preserve"> J28 * J57 * days_in_year / hundred</f>
        <v>273855.35987094999</v>
      </c>
      <c r="K95" s="129">
        <f t="shared" si="13"/>
        <v>10519.539908350001</v>
      </c>
      <c r="L95" s="129">
        <f t="shared" si="13"/>
        <v>0</v>
      </c>
      <c r="M95" s="129">
        <f t="shared" si="13"/>
        <v>10244.701143600001</v>
      </c>
      <c r="N95" s="129">
        <f t="shared" si="13"/>
        <v>180.86533080000001</v>
      </c>
      <c r="O95" s="129">
        <f t="shared" si="13"/>
        <v>0</v>
      </c>
      <c r="P95" s="129">
        <f t="shared" si="13"/>
        <v>307.84868400000005</v>
      </c>
      <c r="Q95" s="129">
        <f t="shared" si="13"/>
        <v>0</v>
      </c>
      <c r="R95" s="129">
        <f t="shared" si="13"/>
        <v>0</v>
      </c>
      <c r="S95" s="129">
        <f t="shared" si="13"/>
        <v>149.10290945</v>
      </c>
      <c r="T95" s="129">
        <f t="shared" si="13"/>
        <v>22.181913599999998</v>
      </c>
      <c r="U95" s="129">
        <f t="shared" si="13"/>
        <v>1519.1648010000001</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197</v>
      </c>
      <c r="G96" s="13" t="s">
        <v>336</v>
      </c>
      <c r="H96" s="101">
        <f t="shared" si="9"/>
        <v>82166.261548799972</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82166.261548799972</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198</v>
      </c>
      <c r="G97" s="13" t="s">
        <v>336</v>
      </c>
      <c r="H97" s="101">
        <f t="shared" si="9"/>
        <v>585.65777127000013</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585.65777127000013</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199</v>
      </c>
      <c r="G98" s="85" t="s">
        <v>336</v>
      </c>
      <c r="H98" s="129">
        <f t="shared" si="9"/>
        <v>938.28937431899976</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938.28937431899976</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102</v>
      </c>
      <c r="G99" s="244" t="s">
        <v>336</v>
      </c>
      <c r="H99" s="157">
        <f>SUM(H92:H98)</f>
        <v>1982906.5950409826</v>
      </c>
      <c r="I99" s="111"/>
      <c r="J99" s="157">
        <f t="shared" ref="J99:AP99" si="17">SUM(J92:J98)</f>
        <v>1589095.7125869484</v>
      </c>
      <c r="K99" s="157">
        <f t="shared" si="17"/>
        <v>84355.943926346459</v>
      </c>
      <c r="L99" s="157">
        <f t="shared" si="17"/>
        <v>0</v>
      </c>
      <c r="M99" s="157">
        <f t="shared" si="17"/>
        <v>62927.311826117832</v>
      </c>
      <c r="N99" s="157">
        <f t="shared" si="17"/>
        <v>3898.9154837519122</v>
      </c>
      <c r="O99" s="157">
        <f t="shared" si="17"/>
        <v>0</v>
      </c>
      <c r="P99" s="157">
        <f t="shared" si="17"/>
        <v>2649.7350340334542</v>
      </c>
      <c r="Q99" s="157">
        <f t="shared" si="17"/>
        <v>0</v>
      </c>
      <c r="R99" s="157">
        <f t="shared" si="17"/>
        <v>0</v>
      </c>
      <c r="S99" s="157">
        <f t="shared" si="17"/>
        <v>1002.645041876081</v>
      </c>
      <c r="T99" s="157">
        <f t="shared" si="17"/>
        <v>648.1623407826736</v>
      </c>
      <c r="U99" s="157">
        <f t="shared" si="17"/>
        <v>230796.86081332958</v>
      </c>
      <c r="V99" s="157">
        <f t="shared" si="17"/>
        <v>0</v>
      </c>
      <c r="W99" s="157">
        <f t="shared" si="17"/>
        <v>0</v>
      </c>
      <c r="X99" s="157">
        <f t="shared" si="17"/>
        <v>2304.6338770705629</v>
      </c>
      <c r="Y99" s="157">
        <f t="shared" si="17"/>
        <v>5298.4760741114205</v>
      </c>
      <c r="Z99" s="157">
        <f t="shared" si="17"/>
        <v>0</v>
      </c>
      <c r="AA99" s="157">
        <f t="shared" si="17"/>
        <v>49.977925174590112</v>
      </c>
      <c r="AB99" s="157">
        <f t="shared" si="17"/>
        <v>0</v>
      </c>
      <c r="AC99" s="157">
        <f t="shared" si="17"/>
        <v>-121.77988856</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1059</v>
      </c>
      <c r="G101" s="13"/>
      <c r="H101" s="243" t="s">
        <v>658</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193</v>
      </c>
      <c r="G102" s="85" t="s">
        <v>336</v>
      </c>
      <c r="H102" s="129">
        <f t="shared" ref="H102:H108" si="18">SUM(J102:AP102)</f>
        <v>2898045.2911319332</v>
      </c>
      <c r="I102" s="23"/>
      <c r="J102" s="129">
        <f t="shared" ref="J102:AP102" si="19">J34 * thousand * J63 / hundred</f>
        <v>1937780.8891286775</v>
      </c>
      <c r="K102" s="129">
        <f t="shared" si="19"/>
        <v>88213.511750731792</v>
      </c>
      <c r="L102" s="129">
        <f t="shared" si="19"/>
        <v>0</v>
      </c>
      <c r="M102" s="129">
        <f t="shared" si="19"/>
        <v>158304.70614297126</v>
      </c>
      <c r="N102" s="129">
        <f t="shared" si="19"/>
        <v>13962.866845125422</v>
      </c>
      <c r="O102" s="129">
        <f t="shared" si="19"/>
        <v>0</v>
      </c>
      <c r="P102" s="129">
        <f t="shared" si="19"/>
        <v>5384.3050099685588</v>
      </c>
      <c r="Q102" s="129">
        <f t="shared" si="19"/>
        <v>0</v>
      </c>
      <c r="R102" s="129">
        <f t="shared" si="19"/>
        <v>0</v>
      </c>
      <c r="S102" s="129">
        <f t="shared" si="19"/>
        <v>265.44408750803547</v>
      </c>
      <c r="T102" s="129">
        <f t="shared" si="19"/>
        <v>3621.2800320026436</v>
      </c>
      <c r="U102" s="129">
        <f t="shared" si="19"/>
        <v>441414.35505747923</v>
      </c>
      <c r="V102" s="129">
        <f t="shared" si="19"/>
        <v>41296.324878466061</v>
      </c>
      <c r="W102" s="129">
        <f t="shared" si="19"/>
        <v>199030.54195437714</v>
      </c>
      <c r="X102" s="129">
        <f t="shared" si="19"/>
        <v>424.63753305364452</v>
      </c>
      <c r="Y102" s="129">
        <f t="shared" si="19"/>
        <v>8812.8164670289643</v>
      </c>
      <c r="Z102" s="129">
        <f t="shared" si="19"/>
        <v>2.530146563636736E-2</v>
      </c>
      <c r="AA102" s="129">
        <f t="shared" si="19"/>
        <v>0</v>
      </c>
      <c r="AB102" s="129">
        <f t="shared" si="19"/>
        <v>0</v>
      </c>
      <c r="AC102" s="129">
        <f t="shared" si="19"/>
        <v>0</v>
      </c>
      <c r="AD102" s="129">
        <f t="shared" si="19"/>
        <v>0</v>
      </c>
      <c r="AE102" s="129">
        <f t="shared" si="19"/>
        <v>-448.12828772800009</v>
      </c>
      <c r="AF102" s="129">
        <f t="shared" si="19"/>
        <v>0</v>
      </c>
      <c r="AG102" s="129">
        <f t="shared" si="19"/>
        <v>0</v>
      </c>
      <c r="AH102" s="129">
        <f t="shared" si="19"/>
        <v>0</v>
      </c>
      <c r="AI102" s="129">
        <f t="shared" si="19"/>
        <v>0</v>
      </c>
      <c r="AJ102" s="129">
        <f t="shared" si="19"/>
        <v>0</v>
      </c>
      <c r="AK102" s="129">
        <f t="shared" si="19"/>
        <v>0</v>
      </c>
      <c r="AL102" s="129">
        <f t="shared" si="19"/>
        <v>0</v>
      </c>
      <c r="AM102" s="129">
        <f t="shared" si="19"/>
        <v>-18.284769195000003</v>
      </c>
      <c r="AN102" s="129">
        <f t="shared" si="19"/>
        <v>0</v>
      </c>
      <c r="AO102" s="129">
        <f t="shared" si="19"/>
        <v>0</v>
      </c>
      <c r="AP102" s="129">
        <f t="shared" si="19"/>
        <v>0</v>
      </c>
    </row>
    <row r="103" spans="3:44" x14ac:dyDescent="0.25">
      <c r="C103" s="91"/>
      <c r="F103" t="s">
        <v>194</v>
      </c>
      <c r="G103" s="13" t="s">
        <v>336</v>
      </c>
      <c r="H103" s="101">
        <f t="shared" si="18"/>
        <v>664142.23297679005</v>
      </c>
      <c r="J103" s="101">
        <f t="shared" ref="J103:AP103" si="20">J35 * thousand * J64 / hundred</f>
        <v>0</v>
      </c>
      <c r="K103" s="101">
        <f t="shared" si="20"/>
        <v>12139.913808411826</v>
      </c>
      <c r="L103" s="101">
        <f t="shared" si="20"/>
        <v>0</v>
      </c>
      <c r="M103" s="101">
        <f t="shared" si="20"/>
        <v>0</v>
      </c>
      <c r="N103" s="101">
        <f t="shared" si="20"/>
        <v>1452.8728949126244</v>
      </c>
      <c r="O103" s="101">
        <f t="shared" si="20"/>
        <v>0</v>
      </c>
      <c r="P103" s="101">
        <f t="shared" si="20"/>
        <v>924.64188622898428</v>
      </c>
      <c r="Q103" s="101">
        <f t="shared" si="20"/>
        <v>0</v>
      </c>
      <c r="R103" s="101">
        <f t="shared" si="20"/>
        <v>0</v>
      </c>
      <c r="S103" s="101">
        <f t="shared" si="20"/>
        <v>157.75438827283412</v>
      </c>
      <c r="T103" s="101">
        <f t="shared" si="20"/>
        <v>2358.8985665849827</v>
      </c>
      <c r="U103" s="101">
        <f t="shared" si="20"/>
        <v>379066.41718028917</v>
      </c>
      <c r="V103" s="101">
        <f t="shared" si="20"/>
        <v>39822.500544410825</v>
      </c>
      <c r="W103" s="101">
        <f t="shared" si="20"/>
        <v>228219.23370767885</v>
      </c>
      <c r="X103" s="101">
        <f t="shared" si="20"/>
        <v>0</v>
      </c>
      <c r="Y103" s="101">
        <f t="shared" si="20"/>
        <v>0</v>
      </c>
      <c r="Z103" s="101">
        <f t="shared" si="20"/>
        <v>0</v>
      </c>
      <c r="AA103" s="101">
        <f t="shared" si="20"/>
        <v>0</v>
      </c>
      <c r="AB103" s="101">
        <f t="shared" si="20"/>
        <v>0</v>
      </c>
      <c r="AC103" s="101">
        <f t="shared" si="20"/>
        <v>0</v>
      </c>
      <c r="AD103" s="101">
        <f t="shared" si="20"/>
        <v>0</v>
      </c>
      <c r="AE103" s="101">
        <f t="shared" si="20"/>
        <v>0</v>
      </c>
      <c r="AF103" s="101">
        <f t="shared" si="20"/>
        <v>0</v>
      </c>
      <c r="AG103" s="101">
        <f t="shared" si="20"/>
        <v>0</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v>
      </c>
      <c r="AP103" s="101">
        <f t="shared" si="20"/>
        <v>0</v>
      </c>
    </row>
    <row r="104" spans="3:44" x14ac:dyDescent="0.25">
      <c r="C104" s="91"/>
      <c r="F104" t="s">
        <v>195</v>
      </c>
      <c r="G104" s="13" t="s">
        <v>336</v>
      </c>
      <c r="H104" s="101">
        <f t="shared" si="18"/>
        <v>613057.03393880406</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131.53677784059352</v>
      </c>
      <c r="T104" s="101">
        <f t="shared" si="21"/>
        <v>1207.9962113479646</v>
      </c>
      <c r="U104" s="101">
        <f t="shared" si="21"/>
        <v>280907.21002265916</v>
      </c>
      <c r="V104" s="101">
        <f t="shared" si="21"/>
        <v>45278.00253826136</v>
      </c>
      <c r="W104" s="101">
        <f t="shared" si="21"/>
        <v>285532.28838869499</v>
      </c>
      <c r="X104" s="101">
        <f t="shared" si="21"/>
        <v>0</v>
      </c>
      <c r="Y104" s="101">
        <f t="shared" si="21"/>
        <v>0</v>
      </c>
      <c r="Z104" s="101">
        <f t="shared" si="21"/>
        <v>0</v>
      </c>
      <c r="AA104" s="101">
        <f t="shared" si="21"/>
        <v>0</v>
      </c>
      <c r="AB104" s="101">
        <f t="shared" si="21"/>
        <v>0</v>
      </c>
      <c r="AC104" s="101">
        <f t="shared" si="21"/>
        <v>0</v>
      </c>
      <c r="AD104" s="101">
        <f t="shared" si="21"/>
        <v>0</v>
      </c>
      <c r="AE104" s="101">
        <f t="shared" si="21"/>
        <v>0</v>
      </c>
      <c r="AF104" s="101">
        <f t="shared" si="21"/>
        <v>0</v>
      </c>
      <c r="AG104" s="101">
        <f t="shared" si="21"/>
        <v>0</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v>
      </c>
      <c r="AP104" s="101">
        <f t="shared" si="21"/>
        <v>0</v>
      </c>
    </row>
    <row r="105" spans="3:44" x14ac:dyDescent="0.25">
      <c r="C105" s="91"/>
      <c r="F105" s="23" t="s">
        <v>196</v>
      </c>
      <c r="G105" s="85" t="s">
        <v>336</v>
      </c>
      <c r="H105" s="129">
        <f t="shared" si="18"/>
        <v>465289.37163775013</v>
      </c>
      <c r="I105" s="23"/>
      <c r="J105" s="129">
        <f t="shared" ref="J105:AP105" si="22" xml:space="preserve"> J37 * J66 * days_in_year / hundred</f>
        <v>414556.74055290007</v>
      </c>
      <c r="K105" s="129">
        <f t="shared" si="22"/>
        <v>13966.448685750001</v>
      </c>
      <c r="L105" s="129">
        <f t="shared" si="22"/>
        <v>0</v>
      </c>
      <c r="M105" s="129">
        <f t="shared" si="22"/>
        <v>19387.1875626</v>
      </c>
      <c r="N105" s="129">
        <f t="shared" si="22"/>
        <v>578.9476836</v>
      </c>
      <c r="O105" s="129">
        <f t="shared" si="22"/>
        <v>0</v>
      </c>
      <c r="P105" s="129">
        <f t="shared" si="22"/>
        <v>713.69480820000012</v>
      </c>
      <c r="Q105" s="129">
        <f t="shared" si="22"/>
        <v>0</v>
      </c>
      <c r="R105" s="129">
        <f t="shared" si="22"/>
        <v>0</v>
      </c>
      <c r="S105" s="129">
        <f t="shared" si="22"/>
        <v>117.20988675000002</v>
      </c>
      <c r="T105" s="129">
        <f t="shared" si="22"/>
        <v>170.42975234999997</v>
      </c>
      <c r="U105" s="129">
        <f t="shared" si="22"/>
        <v>7125.2735664000011</v>
      </c>
      <c r="V105" s="129">
        <f t="shared" si="22"/>
        <v>190.04502000000008</v>
      </c>
      <c r="W105" s="129">
        <f t="shared" si="22"/>
        <v>8483.3941192000002</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197</v>
      </c>
      <c r="G106" s="13" t="s">
        <v>336</v>
      </c>
      <c r="H106" s="101">
        <f t="shared" si="18"/>
        <v>1328122.7295291999</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588941.22808069992</v>
      </c>
      <c r="V106" s="101">
        <f t="shared" si="23"/>
        <v>56866.658645500007</v>
      </c>
      <c r="W106" s="101">
        <f t="shared" si="23"/>
        <v>682314.84280300001</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198</v>
      </c>
      <c r="G107" s="13" t="s">
        <v>336</v>
      </c>
      <c r="H107" s="101">
        <f t="shared" si="18"/>
        <v>7485.8615644999991</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3705.4972844999998</v>
      </c>
      <c r="V107" s="101">
        <f t="shared" si="24"/>
        <v>987.12942240000007</v>
      </c>
      <c r="W107" s="101">
        <f t="shared" si="24"/>
        <v>2793.2348575999999</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199</v>
      </c>
      <c r="G108" s="85" t="s">
        <v>336</v>
      </c>
      <c r="H108" s="129">
        <f t="shared" si="18"/>
        <v>9631.0833973970002</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7495.6389655069997</v>
      </c>
      <c r="V108" s="129">
        <f t="shared" si="25"/>
        <v>1001.8023662789998</v>
      </c>
      <c r="W108" s="129">
        <f t="shared" si="25"/>
        <v>1086.1923124910004</v>
      </c>
      <c r="X108" s="129">
        <f t="shared" si="25"/>
        <v>0</v>
      </c>
      <c r="Y108" s="129">
        <f t="shared" si="25"/>
        <v>0</v>
      </c>
      <c r="Z108" s="129">
        <f t="shared" si="25"/>
        <v>0</v>
      </c>
      <c r="AA108" s="129">
        <f t="shared" si="25"/>
        <v>0</v>
      </c>
      <c r="AB108" s="129">
        <f t="shared" si="25"/>
        <v>0</v>
      </c>
      <c r="AC108" s="129">
        <f t="shared" si="25"/>
        <v>0</v>
      </c>
      <c r="AD108" s="129">
        <f t="shared" si="25"/>
        <v>0</v>
      </c>
      <c r="AE108" s="129">
        <f t="shared" si="25"/>
        <v>47.449753120000011</v>
      </c>
      <c r="AF108" s="129">
        <f t="shared" si="25"/>
        <v>0</v>
      </c>
      <c r="AG108" s="129">
        <f t="shared" si="25"/>
        <v>0</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v>
      </c>
      <c r="AP108" s="129">
        <f t="shared" si="25"/>
        <v>0</v>
      </c>
    </row>
    <row r="109" spans="3:44" x14ac:dyDescent="0.25">
      <c r="C109" s="91"/>
      <c r="F109" s="111" t="s">
        <v>102</v>
      </c>
      <c r="G109" s="244" t="s">
        <v>336</v>
      </c>
      <c r="H109" s="157">
        <f>SUM(H102:H108)</f>
        <v>5985773.6041763751</v>
      </c>
      <c r="I109" s="111"/>
      <c r="J109" s="157">
        <f t="shared" ref="J109:AP109" si="26">SUM(J102:J108)</f>
        <v>2352337.6296815774</v>
      </c>
      <c r="K109" s="157">
        <f t="shared" si="26"/>
        <v>114319.87424489362</v>
      </c>
      <c r="L109" s="157">
        <f t="shared" si="26"/>
        <v>0</v>
      </c>
      <c r="M109" s="157">
        <f t="shared" si="26"/>
        <v>177691.89370557127</v>
      </c>
      <c r="N109" s="157">
        <f t="shared" si="26"/>
        <v>15994.687423638046</v>
      </c>
      <c r="O109" s="157">
        <f t="shared" si="26"/>
        <v>0</v>
      </c>
      <c r="P109" s="157">
        <f t="shared" si="26"/>
        <v>7022.6417043975434</v>
      </c>
      <c r="Q109" s="157">
        <f t="shared" si="26"/>
        <v>0</v>
      </c>
      <c r="R109" s="157">
        <f t="shared" si="26"/>
        <v>0</v>
      </c>
      <c r="S109" s="157">
        <f t="shared" si="26"/>
        <v>671.94514037146303</v>
      </c>
      <c r="T109" s="157">
        <f t="shared" si="26"/>
        <v>7358.6045622855918</v>
      </c>
      <c r="U109" s="157">
        <f t="shared" si="26"/>
        <v>1708655.6201575343</v>
      </c>
      <c r="V109" s="157">
        <f t="shared" si="26"/>
        <v>185442.46341531727</v>
      </c>
      <c r="W109" s="157">
        <f t="shared" si="26"/>
        <v>1407459.728143042</v>
      </c>
      <c r="X109" s="157">
        <f t="shared" si="26"/>
        <v>424.63753305364452</v>
      </c>
      <c r="Y109" s="157">
        <f t="shared" si="26"/>
        <v>8812.8164670289643</v>
      </c>
      <c r="Z109" s="157">
        <f t="shared" si="26"/>
        <v>2.530146563636736E-2</v>
      </c>
      <c r="AA109" s="157">
        <f t="shared" si="26"/>
        <v>0</v>
      </c>
      <c r="AB109" s="157">
        <f t="shared" si="26"/>
        <v>0</v>
      </c>
      <c r="AC109" s="157">
        <f t="shared" si="26"/>
        <v>0</v>
      </c>
      <c r="AD109" s="157">
        <f t="shared" si="26"/>
        <v>0</v>
      </c>
      <c r="AE109" s="157">
        <f t="shared" si="26"/>
        <v>-400.67853460800006</v>
      </c>
      <c r="AF109" s="157">
        <f t="shared" si="26"/>
        <v>0</v>
      </c>
      <c r="AG109" s="157">
        <f t="shared" si="26"/>
        <v>0</v>
      </c>
      <c r="AH109" s="157">
        <f t="shared" si="26"/>
        <v>0</v>
      </c>
      <c r="AI109" s="157">
        <f t="shared" si="26"/>
        <v>0</v>
      </c>
      <c r="AJ109" s="157">
        <f t="shared" si="26"/>
        <v>0</v>
      </c>
      <c r="AK109" s="157">
        <f t="shared" si="26"/>
        <v>0</v>
      </c>
      <c r="AL109" s="157">
        <f t="shared" si="26"/>
        <v>0</v>
      </c>
      <c r="AM109" s="157">
        <f t="shared" si="26"/>
        <v>-18.284769195000003</v>
      </c>
      <c r="AN109" s="157">
        <f t="shared" si="26"/>
        <v>0</v>
      </c>
      <c r="AO109" s="157">
        <f t="shared" si="26"/>
        <v>0</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864</v>
      </c>
      <c r="G113" s="13" t="s">
        <v>336</v>
      </c>
      <c r="H113" s="245">
        <f>H73</f>
        <v>495608957.81586874</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1060</v>
      </c>
      <c r="G114" s="13" t="s">
        <v>336</v>
      </c>
      <c r="H114" s="245">
        <f>H74</f>
        <v>305404542.36093813</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1061</v>
      </c>
      <c r="G115" s="13" t="s">
        <v>336</v>
      </c>
      <c r="H115" s="245">
        <f>H75-'Net revenue summary'!H114</f>
        <v>190204415.4549306</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1062</v>
      </c>
      <c r="G116" s="13" t="s">
        <v>336</v>
      </c>
      <c r="H116" s="245">
        <f>SUM(H89,H99,H109) - SUM(H114:H115)</f>
        <v>10466.052063167095</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1063</v>
      </c>
      <c r="F117" s="111"/>
      <c r="G117" s="244" t="s">
        <v>336</v>
      </c>
      <c r="H117" s="246">
        <f>SUM(H114:H116)</f>
        <v>495619423.8679319</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1064</v>
      </c>
      <c r="G119" s="13" t="s">
        <v>336</v>
      </c>
      <c r="H119" s="245">
        <f>H117 - H113</f>
        <v>10466.052063167095</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1064</v>
      </c>
      <c r="G120" s="13" t="s">
        <v>204</v>
      </c>
      <c r="H120" s="245">
        <f>(H117 - H113) / H113</f>
        <v>2.1117560322740369E-5</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1065</v>
      </c>
      <c r="G124" s="13" t="s">
        <v>1066</v>
      </c>
      <c r="H124" t="s">
        <v>1067</v>
      </c>
      <c r="J124" s="216">
        <f t="shared" ref="J124:AP124" si="27" xml:space="preserve"> IF( J19 &lt;&gt; 0, J89 / J19, "")</f>
        <v>81.383751135058176</v>
      </c>
      <c r="K124" s="216">
        <f t="shared" si="27"/>
        <v>94.313253430518813</v>
      </c>
      <c r="L124" s="216" t="str">
        <f t="shared" si="27"/>
        <v/>
      </c>
      <c r="M124" s="216">
        <f t="shared" si="27"/>
        <v>259.41443417037453</v>
      </c>
      <c r="N124" s="216">
        <f t="shared" si="27"/>
        <v>455.8104251683452</v>
      </c>
      <c r="O124" s="216" t="str">
        <f t="shared" si="27"/>
        <v/>
      </c>
      <c r="P124" s="216">
        <f t="shared" si="27"/>
        <v>1179.9354762026667</v>
      </c>
      <c r="Q124" s="216">
        <f t="shared" si="27"/>
        <v>24.125380457399999</v>
      </c>
      <c r="R124" s="216">
        <f t="shared" si="27"/>
        <v>1713.6353241347488</v>
      </c>
      <c r="S124" s="216">
        <f t="shared" si="27"/>
        <v>82.142333523370567</v>
      </c>
      <c r="T124" s="216">
        <f t="shared" si="27"/>
        <v>1288.2692691152211</v>
      </c>
      <c r="U124" s="216">
        <f t="shared" si="27"/>
        <v>5102.3898841945884</v>
      </c>
      <c r="V124" s="216">
        <f t="shared" si="27"/>
        <v>14565.285771870587</v>
      </c>
      <c r="W124" s="216">
        <f t="shared" si="27"/>
        <v>35635.244326651889</v>
      </c>
      <c r="X124" s="216">
        <f t="shared" si="27"/>
        <v>423.6723000447796</v>
      </c>
      <c r="Y124" s="216">
        <f t="shared" si="27"/>
        <v>440.36359282245888</v>
      </c>
      <c r="Z124" s="216">
        <f t="shared" si="27"/>
        <v>69.987144594169223</v>
      </c>
      <c r="AA124" s="216">
        <f t="shared" si="27"/>
        <v>678.0549586806352</v>
      </c>
      <c r="AB124" s="216">
        <f t="shared" si="27"/>
        <v>203733.36237035337</v>
      </c>
      <c r="AC124" s="216" t="str">
        <f t="shared" si="27"/>
        <v/>
      </c>
      <c r="AD124" s="216" t="str">
        <f t="shared" si="27"/>
        <v/>
      </c>
      <c r="AE124" s="216">
        <f t="shared" si="27"/>
        <v>-360.99585869937363</v>
      </c>
      <c r="AF124" s="216" t="str">
        <f t="shared" si="27"/>
        <v/>
      </c>
      <c r="AG124" s="216">
        <f t="shared" si="27"/>
        <v>-1051.8547194722621</v>
      </c>
      <c r="AH124" s="216" t="str">
        <f t="shared" si="27"/>
        <v/>
      </c>
      <c r="AI124" s="216">
        <f t="shared" si="27"/>
        <v>-669.22494426720004</v>
      </c>
      <c r="AJ124" s="216" t="str">
        <f t="shared" si="27"/>
        <v/>
      </c>
      <c r="AK124" s="216">
        <f t="shared" si="27"/>
        <v>-3702.248119651395</v>
      </c>
      <c r="AL124" s="216" t="str">
        <f t="shared" si="27"/>
        <v/>
      </c>
      <c r="AM124" s="216">
        <f t="shared" si="27"/>
        <v>-6821.4997743896984</v>
      </c>
      <c r="AN124" s="216" t="str">
        <f t="shared" si="27"/>
        <v/>
      </c>
      <c r="AO124" s="216">
        <f t="shared" si="27"/>
        <v>-13655.016863829227</v>
      </c>
      <c r="AP124" s="216" t="str">
        <f t="shared" si="27"/>
        <v/>
      </c>
    </row>
    <row r="125" spans="3:44" x14ac:dyDescent="0.25">
      <c r="E125" t="s">
        <v>1068</v>
      </c>
      <c r="G125" s="13" t="s">
        <v>1066</v>
      </c>
      <c r="H125" t="s">
        <v>509</v>
      </c>
      <c r="J125" s="216">
        <f t="shared" ref="J125:AP125" si="28" xml:space="preserve"> IF( J28 &lt;&gt; 0, J99 / J28, "")</f>
        <v>49.348913580016038</v>
      </c>
      <c r="K125" s="216">
        <f t="shared" si="28"/>
        <v>68.197386137787774</v>
      </c>
      <c r="L125" s="216" t="str">
        <f t="shared" si="28"/>
        <v/>
      </c>
      <c r="M125" s="216">
        <f t="shared" si="28"/>
        <v>103.57971837828917</v>
      </c>
      <c r="N125" s="216">
        <f t="shared" si="28"/>
        <v>363.51583529964438</v>
      </c>
      <c r="O125" s="216" t="str">
        <f t="shared" si="28"/>
        <v/>
      </c>
      <c r="P125" s="216">
        <f t="shared" si="28"/>
        <v>545.07653951105908</v>
      </c>
      <c r="Q125" s="216" t="str">
        <f t="shared" si="28"/>
        <v/>
      </c>
      <c r="R125" s="216" t="str">
        <f t="shared" si="28"/>
        <v/>
      </c>
      <c r="S125" s="216">
        <f t="shared" si="28"/>
        <v>57.188654400433165</v>
      </c>
      <c r="T125" s="216">
        <f t="shared" si="28"/>
        <v>492.74204875715611</v>
      </c>
      <c r="U125" s="216">
        <f t="shared" si="28"/>
        <v>3842.8294231145528</v>
      </c>
      <c r="V125" s="216" t="str">
        <f t="shared" si="28"/>
        <v/>
      </c>
      <c r="W125" s="216" t="str">
        <f t="shared" si="28"/>
        <v/>
      </c>
      <c r="X125" s="216" t="str">
        <f t="shared" si="28"/>
        <v/>
      </c>
      <c r="Y125" s="216" t="str">
        <f t="shared" si="28"/>
        <v/>
      </c>
      <c r="Z125" s="216" t="str">
        <f t="shared" si="28"/>
        <v/>
      </c>
      <c r="AA125" s="216" t="str">
        <f t="shared" si="28"/>
        <v/>
      </c>
      <c r="AB125" s="216" t="str">
        <f t="shared" si="28"/>
        <v/>
      </c>
      <c r="AC125" s="216" t="str">
        <f t="shared" si="28"/>
        <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1069</v>
      </c>
      <c r="G126" s="13" t="s">
        <v>1066</v>
      </c>
      <c r="H126" t="s">
        <v>510</v>
      </c>
      <c r="J126" s="216">
        <f t="shared" ref="J126:AP126" si="29" xml:space="preserve"> IF( J37 &lt;&gt; 0, J109 / J37, "")</f>
        <v>36.659100600533023</v>
      </c>
      <c r="K126" s="216">
        <f t="shared" si="29"/>
        <v>52.881270262546643</v>
      </c>
      <c r="L126" s="216" t="str">
        <f t="shared" si="29"/>
        <v/>
      </c>
      <c r="M126" s="216">
        <f t="shared" si="29"/>
        <v>117.42289534561179</v>
      </c>
      <c r="N126" s="216">
        <f t="shared" si="29"/>
        <v>353.94551827849961</v>
      </c>
      <c r="O126" s="216" t="str">
        <f t="shared" si="29"/>
        <v/>
      </c>
      <c r="P126" s="216">
        <f t="shared" si="29"/>
        <v>473.72426842835915</v>
      </c>
      <c r="Q126" s="216" t="str">
        <f t="shared" si="29"/>
        <v/>
      </c>
      <c r="R126" s="216" t="str">
        <f t="shared" si="29"/>
        <v/>
      </c>
      <c r="S126" s="216">
        <f t="shared" si="29"/>
        <v>37.03699150080304</v>
      </c>
      <c r="T126" s="216">
        <f t="shared" si="29"/>
        <v>553.15906436404475</v>
      </c>
      <c r="U126" s="216">
        <f t="shared" si="29"/>
        <v>4612.7134453514054</v>
      </c>
      <c r="V126" s="216">
        <f t="shared" si="29"/>
        <v>21369.620465695163</v>
      </c>
      <c r="W126" s="216">
        <f t="shared" si="29"/>
        <v>37993.010895841668</v>
      </c>
      <c r="X126" s="216" t="str">
        <f t="shared" si="29"/>
        <v/>
      </c>
      <c r="Y126" s="216" t="str">
        <f t="shared" si="29"/>
        <v/>
      </c>
      <c r="Z126" s="216" t="str">
        <f t="shared" si="29"/>
        <v/>
      </c>
      <c r="AA126" s="216" t="str">
        <f t="shared" si="29"/>
        <v/>
      </c>
      <c r="AB126" s="216" t="str">
        <f t="shared" si="29"/>
        <v/>
      </c>
      <c r="AC126" s="216" t="str">
        <f t="shared" si="29"/>
        <v/>
      </c>
      <c r="AD126" s="216" t="str">
        <f t="shared" si="29"/>
        <v/>
      </c>
      <c r="AE126" s="216">
        <f t="shared" si="29"/>
        <v>-77.842364237779364</v>
      </c>
      <c r="AF126" s="216" t="str">
        <f t="shared" si="29"/>
        <v/>
      </c>
      <c r="AG126" s="216" t="str">
        <f t="shared" si="29"/>
        <v/>
      </c>
      <c r="AH126" s="216" t="str">
        <f t="shared" si="29"/>
        <v/>
      </c>
      <c r="AI126" s="216" t="str">
        <f t="shared" si="29"/>
        <v/>
      </c>
      <c r="AJ126" s="216" t="str">
        <f t="shared" si="29"/>
        <v/>
      </c>
      <c r="AK126" s="216" t="str">
        <f t="shared" si="29"/>
        <v/>
      </c>
      <c r="AL126" s="216" t="str">
        <f t="shared" si="29"/>
        <v/>
      </c>
      <c r="AM126" s="216">
        <f t="shared" si="29"/>
        <v>-85.646793750000015</v>
      </c>
      <c r="AN126" s="216" t="str">
        <f t="shared" si="29"/>
        <v/>
      </c>
      <c r="AO126" s="216" t="str">
        <f t="shared" si="29"/>
        <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1070</v>
      </c>
      <c r="G130" s="13" t="s">
        <v>328</v>
      </c>
      <c r="H130" s="304" t="s">
        <v>1067</v>
      </c>
      <c r="I130" s="304"/>
      <c r="J130" s="315">
        <f t="shared" ref="J130:AP130" si="30" xml:space="preserve"> IF( SUM(J$16:J$18) &lt;&gt; 0, J$89 / SUM(J$16:J$18) * hundred / thousand, "")</f>
        <v>2.4536483446046118</v>
      </c>
      <c r="K130" s="315">
        <f t="shared" si="30"/>
        <v>2.1487388477966967</v>
      </c>
      <c r="L130" s="315">
        <f t="shared" si="30"/>
        <v>1.2030000000000001</v>
      </c>
      <c r="M130" s="315">
        <f t="shared" si="30"/>
        <v>2.1608821333150154</v>
      </c>
      <c r="N130" s="315">
        <f t="shared" si="30"/>
        <v>1.9209519676340741</v>
      </c>
      <c r="O130" s="315">
        <f t="shared" si="30"/>
        <v>0.98599999999999999</v>
      </c>
      <c r="P130" s="315">
        <f t="shared" si="30"/>
        <v>1.9211322793705752</v>
      </c>
      <c r="Q130" s="315">
        <f t="shared" si="30"/>
        <v>4.6444173592627047</v>
      </c>
      <c r="R130" s="315">
        <f t="shared" si="30"/>
        <v>1.8610909662969046</v>
      </c>
      <c r="S130" s="315">
        <f t="shared" si="30"/>
        <v>2.2202598833501423</v>
      </c>
      <c r="T130" s="315">
        <f t="shared" si="30"/>
        <v>1.9161039547158767</v>
      </c>
      <c r="U130" s="315">
        <f t="shared" si="30"/>
        <v>2.1873009850824139</v>
      </c>
      <c r="V130" s="315">
        <f t="shared" si="30"/>
        <v>1.9423873585159641</v>
      </c>
      <c r="W130" s="315">
        <f t="shared" si="30"/>
        <v>1.6560295589879035</v>
      </c>
      <c r="X130" s="315">
        <f t="shared" si="30"/>
        <v>2.3530000000000002</v>
      </c>
      <c r="Y130" s="315">
        <f t="shared" si="30"/>
        <v>2.5849999999999995</v>
      </c>
      <c r="Z130" s="315">
        <f t="shared" si="30"/>
        <v>3.4870000000000005</v>
      </c>
      <c r="AA130" s="315">
        <f t="shared" si="30"/>
        <v>2.1190000000000002</v>
      </c>
      <c r="AB130" s="315">
        <f t="shared" si="30"/>
        <v>2.629377982594538</v>
      </c>
      <c r="AC130" s="315">
        <f t="shared" si="30"/>
        <v>-0.628</v>
      </c>
      <c r="AD130" s="315" t="str">
        <f t="shared" si="30"/>
        <v/>
      </c>
      <c r="AE130" s="315">
        <f t="shared" si="30"/>
        <v>-0.61605192269613185</v>
      </c>
      <c r="AF130" s="315" t="str">
        <f t="shared" si="30"/>
        <v/>
      </c>
      <c r="AG130" s="315">
        <f t="shared" si="30"/>
        <v>-0.66522233736516601</v>
      </c>
      <c r="AH130" s="315" t="str">
        <f t="shared" si="30"/>
        <v/>
      </c>
      <c r="AI130" s="315">
        <f t="shared" si="30"/>
        <v>-0.53727342120780675</v>
      </c>
      <c r="AJ130" s="315" t="str">
        <f t="shared" si="30"/>
        <v/>
      </c>
      <c r="AK130" s="315">
        <f t="shared" si="30"/>
        <v>-0.51317545716978041</v>
      </c>
      <c r="AL130" s="315" t="str">
        <f t="shared" si="30"/>
        <v/>
      </c>
      <c r="AM130" s="315">
        <f t="shared" si="30"/>
        <v>-0.33369582358252042</v>
      </c>
      <c r="AN130" s="315" t="str">
        <f t="shared" si="30"/>
        <v/>
      </c>
      <c r="AO130" s="315">
        <f t="shared" si="30"/>
        <v>-0.43472207631175414</v>
      </c>
      <c r="AP130" s="315" t="str">
        <f t="shared" si="30"/>
        <v/>
      </c>
      <c r="AQ130" s="304"/>
      <c r="AR130" s="304"/>
    </row>
    <row r="131" spans="2:44" x14ac:dyDescent="0.25">
      <c r="E131" t="s">
        <v>1071</v>
      </c>
      <c r="G131" s="13" t="s">
        <v>328</v>
      </c>
      <c r="H131" s="304" t="s">
        <v>509</v>
      </c>
      <c r="I131" s="304"/>
      <c r="J131" s="315">
        <f t="shared" ref="J131:AP131" si="31" xml:space="preserve"> IF( SUM(J$25:J$27) &lt;&gt; 0, J$99 / SUM(J$25:J$27) * hundred / thousand, "")</f>
        <v>1.751914605184427</v>
      </c>
      <c r="K131" s="315">
        <f t="shared" si="31"/>
        <v>1.5374105257701081</v>
      </c>
      <c r="L131" s="315" t="str">
        <f t="shared" si="31"/>
        <v/>
      </c>
      <c r="M131" s="315">
        <f t="shared" si="31"/>
        <v>1.628050032217945</v>
      </c>
      <c r="N131" s="315">
        <f t="shared" si="31"/>
        <v>1.2933798056060466</v>
      </c>
      <c r="O131" s="315" t="str">
        <f t="shared" si="31"/>
        <v/>
      </c>
      <c r="P131" s="315">
        <f t="shared" si="31"/>
        <v>1.2229901989300438</v>
      </c>
      <c r="Q131" s="315" t="str">
        <f t="shared" si="31"/>
        <v/>
      </c>
      <c r="R131" s="315" t="str">
        <f t="shared" si="31"/>
        <v/>
      </c>
      <c r="S131" s="315">
        <f t="shared" si="31"/>
        <v>1.5268941676159813</v>
      </c>
      <c r="T131" s="315">
        <f t="shared" si="31"/>
        <v>1.0190008115895899</v>
      </c>
      <c r="U131" s="315">
        <f t="shared" si="31"/>
        <v>1.7069111664575267</v>
      </c>
      <c r="V131" s="315" t="str">
        <f t="shared" si="31"/>
        <v/>
      </c>
      <c r="W131" s="315" t="str">
        <f t="shared" si="31"/>
        <v/>
      </c>
      <c r="X131" s="315">
        <f t="shared" si="31"/>
        <v>1.637</v>
      </c>
      <c r="Y131" s="315">
        <f t="shared" si="31"/>
        <v>1.7979999999999998</v>
      </c>
      <c r="Z131" s="315" t="str">
        <f t="shared" si="31"/>
        <v/>
      </c>
      <c r="AA131" s="315">
        <f t="shared" si="31"/>
        <v>1.474</v>
      </c>
      <c r="AB131" s="315" t="str">
        <f t="shared" si="31"/>
        <v/>
      </c>
      <c r="AC131" s="315">
        <f t="shared" si="31"/>
        <v>-0.62799999999999989</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1072</v>
      </c>
      <c r="G132" s="13" t="s">
        <v>328</v>
      </c>
      <c r="H132" s="304" t="s">
        <v>510</v>
      </c>
      <c r="I132" s="304"/>
      <c r="J132" s="315">
        <f t="shared" ref="J132:AP132" si="32" xml:space="preserve"> IF( SUM(J$34:J$36) &lt;&gt; 0, J$109 / SUM(J$34:J$36) * hundred / thousand, "")</f>
        <v>1.3377549971992524</v>
      </c>
      <c r="K132" s="315">
        <f t="shared" si="32"/>
        <v>1.1566083649985026</v>
      </c>
      <c r="L132" s="315" t="str">
        <f t="shared" si="32"/>
        <v/>
      </c>
      <c r="M132" s="315">
        <f t="shared" si="32"/>
        <v>1.1628763690241397</v>
      </c>
      <c r="N132" s="315">
        <f t="shared" si="32"/>
        <v>1.0131240296203683</v>
      </c>
      <c r="O132" s="315" t="str">
        <f t="shared" si="32"/>
        <v/>
      </c>
      <c r="P132" s="315">
        <f t="shared" si="32"/>
        <v>0.99016495809748928</v>
      </c>
      <c r="Q132" s="315" t="str">
        <f t="shared" si="32"/>
        <v/>
      </c>
      <c r="R132" s="315" t="str">
        <f t="shared" si="32"/>
        <v/>
      </c>
      <c r="S132" s="315">
        <f t="shared" si="32"/>
        <v>1.2321487757064908</v>
      </c>
      <c r="T132" s="315">
        <f t="shared" si="32"/>
        <v>1.1279660717978846</v>
      </c>
      <c r="U132" s="315">
        <f t="shared" si="32"/>
        <v>1.2692092686635894</v>
      </c>
      <c r="V132" s="315">
        <f t="shared" si="32"/>
        <v>1.4097819883332361</v>
      </c>
      <c r="W132" s="315">
        <f t="shared" si="32"/>
        <v>1.83886139373171</v>
      </c>
      <c r="X132" s="315">
        <f t="shared" si="32"/>
        <v>1.2440000000000002</v>
      </c>
      <c r="Y132" s="315">
        <f t="shared" si="32"/>
        <v>1.3669999999999998</v>
      </c>
      <c r="Z132" s="315">
        <f t="shared" si="32"/>
        <v>1.8440000000000003</v>
      </c>
      <c r="AA132" s="315" t="str">
        <f t="shared" si="32"/>
        <v/>
      </c>
      <c r="AB132" s="315" t="str">
        <f t="shared" si="32"/>
        <v/>
      </c>
      <c r="AC132" s="315" t="str">
        <f t="shared" si="32"/>
        <v/>
      </c>
      <c r="AD132" s="315" t="str">
        <f t="shared" si="32"/>
        <v/>
      </c>
      <c r="AE132" s="315">
        <f t="shared" si="32"/>
        <v>-0.56150465530654758</v>
      </c>
      <c r="AF132" s="315" t="str">
        <f t="shared" si="32"/>
        <v/>
      </c>
      <c r="AG132" s="315" t="str">
        <f t="shared" si="32"/>
        <v/>
      </c>
      <c r="AH132" s="315" t="str">
        <f t="shared" si="32"/>
        <v/>
      </c>
      <c r="AI132" s="315" t="str">
        <f t="shared" si="32"/>
        <v/>
      </c>
      <c r="AJ132" s="315" t="str">
        <f t="shared" si="32"/>
        <v/>
      </c>
      <c r="AK132" s="315" t="str">
        <f t="shared" si="32"/>
        <v/>
      </c>
      <c r="AL132" s="315" t="str">
        <f t="shared" si="32"/>
        <v/>
      </c>
      <c r="AM132" s="315">
        <f t="shared" si="32"/>
        <v>-0.34300000000000003</v>
      </c>
      <c r="AN132" s="315" t="str">
        <f t="shared" si="32"/>
        <v/>
      </c>
      <c r="AO132" s="315" t="str">
        <f t="shared" si="32"/>
        <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1073</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1074</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193</v>
      </c>
      <c r="G139" s="23" t="s">
        <v>328</v>
      </c>
      <c r="H139" s="302"/>
      <c r="I139" s="302"/>
      <c r="J139" s="318">
        <f>'Inputs by customer type'!J82</f>
        <v>2.06</v>
      </c>
      <c r="K139" s="318">
        <f>'Inputs by customer type'!K82</f>
        <v>2.2909999999999999</v>
      </c>
      <c r="L139" s="318">
        <f>'Inputs by customer type'!L82</f>
        <v>1.2629999999999999</v>
      </c>
      <c r="M139" s="318">
        <f>'Inputs by customer type'!M82</f>
        <v>2.1179999999999999</v>
      </c>
      <c r="N139" s="318">
        <f>'Inputs by customer type'!N82</f>
        <v>2.1920000000000002</v>
      </c>
      <c r="O139" s="318">
        <f>'Inputs by customer type'!O82</f>
        <v>1.056</v>
      </c>
      <c r="P139" s="318">
        <f>'Inputs by customer type'!P82</f>
        <v>2.1419999999999999</v>
      </c>
      <c r="Q139" s="318">
        <f>'Inputs by customer type'!Q82</f>
        <v>1.9970000000000001</v>
      </c>
      <c r="R139" s="318">
        <f>'Inputs by customer type'!R82</f>
        <v>1.361</v>
      </c>
      <c r="S139" s="318">
        <f>'Inputs by customer type'!S82</f>
        <v>7.5659999999999998</v>
      </c>
      <c r="T139" s="318">
        <f>'Inputs by customer type'!T82</f>
        <v>7.9980000000000002</v>
      </c>
      <c r="U139" s="318">
        <f>'Inputs by customer type'!U82</f>
        <v>6.0449999999999999</v>
      </c>
      <c r="V139" s="318">
        <f>'Inputs by customer type'!V82</f>
        <v>4.6349999999999998</v>
      </c>
      <c r="W139" s="318">
        <f>'Inputs by customer type'!W82</f>
        <v>3.129</v>
      </c>
      <c r="X139" s="318">
        <f>'Inputs by customer type'!X82</f>
        <v>2.3570000000000002</v>
      </c>
      <c r="Y139" s="318">
        <f>'Inputs by customer type'!Y82</f>
        <v>2.6190000000000002</v>
      </c>
      <c r="Z139" s="318">
        <f>'Inputs by customer type'!Z82</f>
        <v>3.581</v>
      </c>
      <c r="AA139" s="318">
        <f>'Inputs by customer type'!AA82</f>
        <v>2.097</v>
      </c>
      <c r="AB139" s="318">
        <f>'Inputs by customer type'!AB82</f>
        <v>21.657</v>
      </c>
      <c r="AC139" s="318">
        <f>'Inputs by customer type'!AC82</f>
        <v>-0.626</v>
      </c>
      <c r="AD139" s="318">
        <f>'Inputs by customer type'!AD82</f>
        <v>-0.54800000000000004</v>
      </c>
      <c r="AE139" s="318">
        <f>'Inputs by customer type'!AE82</f>
        <v>-0.626</v>
      </c>
      <c r="AF139" s="318">
        <f>'Inputs by customer type'!AF82</f>
        <v>-0.626</v>
      </c>
      <c r="AG139" s="318">
        <f>'Inputs by customer type'!AG82</f>
        <v>-4.99</v>
      </c>
      <c r="AH139" s="318">
        <f>'Inputs by customer type'!AH82</f>
        <v>-4.99</v>
      </c>
      <c r="AI139" s="318">
        <f>'Inputs by customer type'!AI82</f>
        <v>-0.54800000000000004</v>
      </c>
      <c r="AJ139" s="318">
        <f>'Inputs by customer type'!AJ82</f>
        <v>-0.54800000000000004</v>
      </c>
      <c r="AK139" s="318">
        <f>'Inputs by customer type'!AK82</f>
        <v>-4.4020000000000001</v>
      </c>
      <c r="AL139" s="318">
        <f>'Inputs by customer type'!AL82</f>
        <v>-4.4020000000000001</v>
      </c>
      <c r="AM139" s="318">
        <f>'Inputs by customer type'!AM82</f>
        <v>-0.33900000000000002</v>
      </c>
      <c r="AN139" s="318">
        <f>'Inputs by customer type'!AN82</f>
        <v>-0.33900000000000002</v>
      </c>
      <c r="AO139" s="318">
        <f>'Inputs by customer type'!AO82</f>
        <v>-2.851</v>
      </c>
      <c r="AP139" s="318">
        <f>'Inputs by customer type'!AP82</f>
        <v>-2.851</v>
      </c>
      <c r="AQ139" s="304"/>
      <c r="AR139" s="304"/>
    </row>
    <row r="140" spans="2:44" x14ac:dyDescent="0.25">
      <c r="E140" s="28"/>
      <c r="F140" t="s">
        <v>194</v>
      </c>
      <c r="G140" t="s">
        <v>328</v>
      </c>
      <c r="H140" s="304"/>
      <c r="I140" s="304"/>
      <c r="J140" s="319">
        <f>'Inputs by customer type'!J83</f>
        <v>0</v>
      </c>
      <c r="K140" s="319">
        <f>'Inputs by customer type'!K83</f>
        <v>0.89800000000000002</v>
      </c>
      <c r="L140" s="319">
        <f>'Inputs by customer type'!L83</f>
        <v>0</v>
      </c>
      <c r="M140" s="319">
        <f>'Inputs by customer type'!M83</f>
        <v>0</v>
      </c>
      <c r="N140" s="319">
        <f>'Inputs by customer type'!N83</f>
        <v>0.89800000000000002</v>
      </c>
      <c r="O140" s="319">
        <f>'Inputs by customer type'!O83</f>
        <v>0</v>
      </c>
      <c r="P140" s="319">
        <f>'Inputs by customer type'!P83</f>
        <v>0.89400000000000002</v>
      </c>
      <c r="Q140" s="319">
        <f>'Inputs by customer type'!Q83</f>
        <v>0.88900000000000001</v>
      </c>
      <c r="R140" s="319">
        <f>'Inputs by customer type'!R83</f>
        <v>0.86199999999999999</v>
      </c>
      <c r="S140" s="319">
        <f>'Inputs by customer type'!S83</f>
        <v>1.544</v>
      </c>
      <c r="T140" s="319">
        <f>'Inputs by customer type'!T83</f>
        <v>1.5880000000000001</v>
      </c>
      <c r="U140" s="319">
        <f>'Inputs by customer type'!U83</f>
        <v>1.365</v>
      </c>
      <c r="V140" s="319">
        <f>'Inputs by customer type'!V83</f>
        <v>1.1890000000000001</v>
      </c>
      <c r="W140" s="319">
        <f>'Inputs by customer type'!W83</f>
        <v>1.018</v>
      </c>
      <c r="X140" s="319">
        <f>'Inputs by customer type'!X83</f>
        <v>0</v>
      </c>
      <c r="Y140" s="319">
        <f>'Inputs by customer type'!Y83</f>
        <v>0</v>
      </c>
      <c r="Z140" s="319">
        <f>'Inputs by customer type'!Z83</f>
        <v>0</v>
      </c>
      <c r="AA140" s="319">
        <f>'Inputs by customer type'!AA83</f>
        <v>0</v>
      </c>
      <c r="AB140" s="319">
        <f>'Inputs by customer type'!AB83</f>
        <v>2.13</v>
      </c>
      <c r="AC140" s="319">
        <f>'Inputs by customer type'!AC83</f>
        <v>0</v>
      </c>
      <c r="AD140" s="319">
        <f>'Inputs by customer type'!AD83</f>
        <v>0</v>
      </c>
      <c r="AE140" s="319">
        <f>'Inputs by customer type'!AE83</f>
        <v>0</v>
      </c>
      <c r="AF140" s="319">
        <f>'Inputs by customer type'!AF83</f>
        <v>0</v>
      </c>
      <c r="AG140" s="319">
        <f>'Inputs by customer type'!AG83</f>
        <v>-0.51300000000000001</v>
      </c>
      <c r="AH140" s="319">
        <f>'Inputs by customer type'!AH83</f>
        <v>-0.51300000000000001</v>
      </c>
      <c r="AI140" s="319">
        <f>'Inputs by customer type'!AI83</f>
        <v>0</v>
      </c>
      <c r="AJ140" s="319">
        <f>'Inputs by customer type'!AJ83</f>
        <v>0</v>
      </c>
      <c r="AK140" s="319">
        <f>'Inputs by customer type'!AK83</f>
        <v>-0.442</v>
      </c>
      <c r="AL140" s="319">
        <f>'Inputs by customer type'!AL83</f>
        <v>-0.442</v>
      </c>
      <c r="AM140" s="319">
        <f>'Inputs by customer type'!AM83</f>
        <v>0</v>
      </c>
      <c r="AN140" s="319">
        <f>'Inputs by customer type'!AN83</f>
        <v>0</v>
      </c>
      <c r="AO140" s="319">
        <f>'Inputs by customer type'!AO83</f>
        <v>-0.245</v>
      </c>
      <c r="AP140" s="319">
        <f>'Inputs by customer type'!AP83</f>
        <v>-0.245</v>
      </c>
      <c r="AQ140" s="304"/>
      <c r="AR140" s="304"/>
    </row>
    <row r="141" spans="2:44" x14ac:dyDescent="0.25">
      <c r="E141" s="28"/>
      <c r="F141" t="s">
        <v>195</v>
      </c>
      <c r="G141" t="s">
        <v>328</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0.89400000000000002</v>
      </c>
      <c r="T141" s="319">
        <f>'Inputs by customer type'!T84</f>
        <v>0.89700000000000002</v>
      </c>
      <c r="U141" s="319">
        <f>'Inputs by customer type'!U84</f>
        <v>0.88300000000000001</v>
      </c>
      <c r="V141" s="319">
        <f>'Inputs by customer type'!V84</f>
        <v>0.871</v>
      </c>
      <c r="W141" s="319">
        <f>'Inputs by customer type'!W84</f>
        <v>0.86</v>
      </c>
      <c r="X141" s="319">
        <f>'Inputs by customer type'!X84</f>
        <v>0</v>
      </c>
      <c r="Y141" s="319">
        <f>'Inputs by customer type'!Y84</f>
        <v>0</v>
      </c>
      <c r="Z141" s="319">
        <f>'Inputs by customer type'!Z84</f>
        <v>0</v>
      </c>
      <c r="AA141" s="319">
        <f>'Inputs by customer type'!AA84</f>
        <v>0</v>
      </c>
      <c r="AB141" s="319">
        <f>'Inputs by customer type'!AB84</f>
        <v>1.552</v>
      </c>
      <c r="AC141" s="319">
        <f>'Inputs by customer type'!AC84</f>
        <v>0</v>
      </c>
      <c r="AD141" s="319">
        <f>'Inputs by customer type'!AD84</f>
        <v>0</v>
      </c>
      <c r="AE141" s="319">
        <f>'Inputs by customer type'!AE84</f>
        <v>0</v>
      </c>
      <c r="AF141" s="319">
        <f>'Inputs by customer type'!AF84</f>
        <v>0</v>
      </c>
      <c r="AG141" s="319">
        <f>'Inputs by customer type'!AG84</f>
        <v>-0.03</v>
      </c>
      <c r="AH141" s="319">
        <f>'Inputs by customer type'!AH84</f>
        <v>-0.03</v>
      </c>
      <c r="AI141" s="319">
        <f>'Inputs by customer type'!AI84</f>
        <v>0</v>
      </c>
      <c r="AJ141" s="319">
        <f>'Inputs by customer type'!AJ84</f>
        <v>0</v>
      </c>
      <c r="AK141" s="319">
        <f>'Inputs by customer type'!AK84</f>
        <v>-2.5999999999999999E-2</v>
      </c>
      <c r="AL141" s="319">
        <f>'Inputs by customer type'!AL84</f>
        <v>-2.5999999999999999E-2</v>
      </c>
      <c r="AM141" s="319">
        <f>'Inputs by customer type'!AM84</f>
        <v>0</v>
      </c>
      <c r="AN141" s="319">
        <f>'Inputs by customer type'!AN84</f>
        <v>0</v>
      </c>
      <c r="AO141" s="319">
        <f>'Inputs by customer type'!AO84</f>
        <v>-1.2E-2</v>
      </c>
      <c r="AP141" s="319">
        <f>'Inputs by customer type'!AP84</f>
        <v>-1.2E-2</v>
      </c>
      <c r="AQ141" s="304"/>
      <c r="AR141" s="304"/>
    </row>
    <row r="142" spans="2:44" x14ac:dyDescent="0.25">
      <c r="E142" s="28"/>
      <c r="F142" t="s">
        <v>196</v>
      </c>
      <c r="G142" t="s">
        <v>329</v>
      </c>
      <c r="J142" s="123">
        <f>'Inputs by customer type'!J85</f>
        <v>3.03</v>
      </c>
      <c r="K142" s="123">
        <f>'Inputs by customer type'!K85</f>
        <v>3.03</v>
      </c>
      <c r="L142" s="123">
        <f>'Inputs by customer type'!L85</f>
        <v>0</v>
      </c>
      <c r="M142" s="123">
        <f>'Inputs by customer type'!M85</f>
        <v>6.15</v>
      </c>
      <c r="N142" s="123">
        <f>'Inputs by customer type'!N85</f>
        <v>6.15</v>
      </c>
      <c r="O142" s="123">
        <f>'Inputs by customer type'!O85</f>
        <v>0</v>
      </c>
      <c r="P142" s="123">
        <f>'Inputs by customer type'!P85</f>
        <v>17.329999999999998</v>
      </c>
      <c r="Q142" s="123">
        <f>'Inputs by customer type'!Q85</f>
        <v>15.74</v>
      </c>
      <c r="R142" s="123">
        <f>'Inputs by customer type'!R85</f>
        <v>150.18</v>
      </c>
      <c r="S142" s="123">
        <f>'Inputs by customer type'!S85</f>
        <v>3.03</v>
      </c>
      <c r="T142" s="123">
        <f>'Inputs by customer type'!T85</f>
        <v>6.15</v>
      </c>
      <c r="U142" s="123">
        <f>'Inputs by customer type'!U85</f>
        <v>8.6</v>
      </c>
      <c r="V142" s="123">
        <f>'Inputs by customer type'!V85</f>
        <v>6.71</v>
      </c>
      <c r="W142" s="123">
        <f>'Inputs by customer type'!W85</f>
        <v>72.5</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29.81</v>
      </c>
      <c r="AN142" s="123">
        <f>'Inputs by customer type'!AN85</f>
        <v>29.81</v>
      </c>
      <c r="AO142" s="123">
        <f>'Inputs by customer type'!AO85</f>
        <v>29.81</v>
      </c>
      <c r="AP142" s="123">
        <f>'Inputs by customer type'!AP85</f>
        <v>29.81</v>
      </c>
    </row>
    <row r="143" spans="2:44" x14ac:dyDescent="0.25">
      <c r="E143" s="28"/>
      <c r="F143" t="s">
        <v>197</v>
      </c>
      <c r="G143" t="s">
        <v>330</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2.66</v>
      </c>
      <c r="V143" s="123">
        <f>'Inputs by customer type'!V86</f>
        <v>3.44</v>
      </c>
      <c r="W143" s="123">
        <f>'Inputs by customer type'!W86</f>
        <v>4.13</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198</v>
      </c>
      <c r="G144" t="s">
        <v>330</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5.75</v>
      </c>
      <c r="V144" s="123">
        <f>'Inputs by customer type'!V87</f>
        <v>5.43</v>
      </c>
      <c r="W144" s="123">
        <f>'Inputs by customer type'!W87</f>
        <v>6.24</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199</v>
      </c>
      <c r="G145" s="37" t="s">
        <v>331</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0.129</v>
      </c>
      <c r="V145" s="323">
        <f>'Inputs by customer type'!V88</f>
        <v>0.09</v>
      </c>
      <c r="W145" s="323">
        <f>'Inputs by customer type'!W88</f>
        <v>4.7E-2</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0.14000000000000001</v>
      </c>
      <c r="AF145" s="323">
        <f>'Inputs by customer type'!AF88</f>
        <v>0</v>
      </c>
      <c r="AG145" s="323">
        <f>'Inputs by customer type'!AG88</f>
        <v>0.14000000000000001</v>
      </c>
      <c r="AH145" s="323">
        <f>'Inputs by customer type'!AH88</f>
        <v>0</v>
      </c>
      <c r="AI145" s="323">
        <f>'Inputs by customer type'!AI88</f>
        <v>0.122</v>
      </c>
      <c r="AJ145" s="323">
        <f>'Inputs by customer type'!AJ88</f>
        <v>0</v>
      </c>
      <c r="AK145" s="323">
        <f>'Inputs by customer type'!AK88</f>
        <v>0.122</v>
      </c>
      <c r="AL145" s="323">
        <f>'Inputs by customer type'!AL88</f>
        <v>0</v>
      </c>
      <c r="AM145" s="323">
        <f>'Inputs by customer type'!AM88</f>
        <v>9.7000000000000003E-2</v>
      </c>
      <c r="AN145" s="323">
        <f>'Inputs by customer type'!AN88</f>
        <v>0</v>
      </c>
      <c r="AO145" s="323">
        <f>'Inputs by customer type'!AO88</f>
        <v>9.7000000000000003E-2</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1075</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1076</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1077</v>
      </c>
      <c r="F152" s="111"/>
      <c r="G152" s="111" t="s">
        <v>336</v>
      </c>
      <c r="H152" s="111"/>
      <c r="I152" s="111"/>
      <c r="J152" s="247" t="str">
        <f>IF('Inputs by customer type'!J96 = "", "", 'Inputs by customer type'!J96)</f>
        <v/>
      </c>
      <c r="K152" s="247" t="str">
        <f>IF('Inputs by customer type'!K96 = "", "", 'Inputs by customer type'!K96)</f>
        <v/>
      </c>
      <c r="L152" s="247" t="str">
        <f>IF('Inputs by customer type'!L96 = "", "", 'Inputs by customer type'!L96)</f>
        <v/>
      </c>
      <c r="M152" s="247" t="str">
        <f>IF('Inputs by customer type'!M96 = "", "", 'Inputs by customer type'!M96)</f>
        <v/>
      </c>
      <c r="N152" s="247" t="str">
        <f>IF('Inputs by customer type'!N96 = "", "", 'Inputs by customer type'!N96)</f>
        <v/>
      </c>
      <c r="O152" s="247" t="str">
        <f>IF('Inputs by customer type'!O96 = "", "", 'Inputs by customer type'!O96)</f>
        <v/>
      </c>
      <c r="P152" s="247" t="str">
        <f>IF('Inputs by customer type'!P96 = "", "", 'Inputs by customer type'!P96)</f>
        <v/>
      </c>
      <c r="Q152" s="247" t="str">
        <f>IF('Inputs by customer type'!Q96 = "", "", 'Inputs by customer type'!Q96)</f>
        <v/>
      </c>
      <c r="R152" s="247" t="str">
        <f>IF('Inputs by customer type'!R96 = "", "", 'Inputs by customer type'!R96)</f>
        <v/>
      </c>
      <c r="S152" s="247" t="str">
        <f>IF('Inputs by customer type'!S96 = "", "", 'Inputs by customer type'!S96)</f>
        <v/>
      </c>
      <c r="T152" s="247" t="str">
        <f>IF('Inputs by customer type'!T96 = "", "", 'Inputs by customer type'!T96)</f>
        <v/>
      </c>
      <c r="U152" s="247" t="str">
        <f>IF('Inputs by customer type'!U96 = "", "", 'Inputs by customer type'!U96)</f>
        <v/>
      </c>
      <c r="V152" s="247" t="str">
        <f>IF('Inputs by customer type'!V96 = "", "", 'Inputs by customer type'!V96)</f>
        <v/>
      </c>
      <c r="W152" s="247" t="str">
        <f>IF('Inputs by customer type'!W96 = "", "", 'Inputs by customer type'!W96)</f>
        <v/>
      </c>
      <c r="X152" s="247" t="str">
        <f>IF('Inputs by customer type'!X96 = "", "", 'Inputs by customer type'!X96)</f>
        <v/>
      </c>
      <c r="Y152" s="247" t="str">
        <f>IF('Inputs by customer type'!Y96 = "", "", 'Inputs by customer type'!Y96)</f>
        <v/>
      </c>
      <c r="Z152" s="247" t="str">
        <f>IF('Inputs by customer type'!Z96 = "", "", 'Inputs by customer type'!Z96)</f>
        <v/>
      </c>
      <c r="AA152" s="247" t="str">
        <f>IF('Inputs by customer type'!AA96 = "", "", 'Inputs by customer type'!AA96)</f>
        <v/>
      </c>
      <c r="AB152" s="247" t="str">
        <f>IF('Inputs by customer type'!AB96 = "", "", 'Inputs by customer type'!AB96)</f>
        <v/>
      </c>
      <c r="AC152" s="247" t="str">
        <f>IF('Inputs by customer type'!AC96 = "", "", 'Inputs by customer type'!AC96)</f>
        <v/>
      </c>
      <c r="AD152" s="247" t="str">
        <f>IF('Inputs by customer type'!AD96 = "", "", 'Inputs by customer type'!AD96)</f>
        <v/>
      </c>
      <c r="AE152" s="247" t="str">
        <f>IF('Inputs by customer type'!AE96 = "", "", 'Inputs by customer type'!AE96)</f>
        <v/>
      </c>
      <c r="AF152" s="247" t="str">
        <f>IF('Inputs by customer type'!AF96 = "", "", 'Inputs by customer type'!AF96)</f>
        <v/>
      </c>
      <c r="AG152" s="247" t="str">
        <f>IF('Inputs by customer type'!AG96 = "", "", 'Inputs by customer type'!AG96)</f>
        <v/>
      </c>
      <c r="AH152" s="247" t="str">
        <f>IF('Inputs by customer type'!AH96 = "", "", 'Inputs by customer type'!AH96)</f>
        <v/>
      </c>
      <c r="AI152" s="247" t="str">
        <f>IF('Inputs by customer type'!AI96 = "", "", 'Inputs by customer type'!AI96)</f>
        <v/>
      </c>
      <c r="AJ152" s="247" t="str">
        <f>IF('Inputs by customer type'!AJ96 = "", "", 'Inputs by customer type'!AJ96)</f>
        <v/>
      </c>
      <c r="AK152" s="247" t="str">
        <f>IF('Inputs by customer type'!AK96 = "", "", 'Inputs by customer type'!AK96)</f>
        <v/>
      </c>
      <c r="AL152" s="247" t="str">
        <f>IF('Inputs by customer type'!AL96 = "", "", 'Inputs by customer type'!AL96)</f>
        <v/>
      </c>
      <c r="AM152" s="247" t="str">
        <f>IF('Inputs by customer type'!AM96 = "", "", 'Inputs by customer type'!AM96)</f>
        <v/>
      </c>
      <c r="AN152" s="247" t="str">
        <f>IF('Inputs by customer type'!AN96 = "", "", 'Inputs by customer type'!AN96)</f>
        <v/>
      </c>
      <c r="AO152" s="247" t="str">
        <f>IF('Inputs by customer type'!AO96 = "", "", 'Inputs by customer type'!AO96)</f>
        <v/>
      </c>
      <c r="AP152" s="247" t="str">
        <f>IF('Inputs by customer type'!AP96 = "", "", 'Inputs by customer type'!AP96)</f>
        <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1078</v>
      </c>
      <c r="G154" t="s">
        <v>336</v>
      </c>
      <c r="J154" s="101">
        <f t="shared" ref="J154:AP154" si="33">IF(J152 = "", (J142*J19 + J143*J20 + J144*J21) / hundred * days_in_year + (J139*J16 + J140*J17 + J141*J18 + J145*J22) * ten, J152)</f>
        <v>137077325.79872209</v>
      </c>
      <c r="K154" s="101">
        <f t="shared" si="33"/>
        <v>68821343.532337353</v>
      </c>
      <c r="L154" s="101">
        <f t="shared" si="33"/>
        <v>300313.76693262521</v>
      </c>
      <c r="M154" s="101">
        <f t="shared" si="33"/>
        <v>26531253.885762364</v>
      </c>
      <c r="N154" s="101">
        <f t="shared" si="33"/>
        <v>38810607.141268015</v>
      </c>
      <c r="O154" s="101">
        <f t="shared" si="33"/>
        <v>27546.0729488045</v>
      </c>
      <c r="P154" s="101">
        <f t="shared" si="33"/>
        <v>379138.94920234958</v>
      </c>
      <c r="Q154" s="101">
        <f t="shared" si="33"/>
        <v>56.489360730240001</v>
      </c>
      <c r="R154" s="101">
        <f t="shared" si="33"/>
        <v>62142.124483079293</v>
      </c>
      <c r="S154" s="101">
        <f t="shared" si="33"/>
        <v>523949.52850982099</v>
      </c>
      <c r="T154" s="101">
        <f t="shared" si="33"/>
        <v>3625041.8105497733</v>
      </c>
      <c r="U154" s="101">
        <f t="shared" si="33"/>
        <v>78857750.344310164</v>
      </c>
      <c r="V154" s="101">
        <f t="shared" si="33"/>
        <v>5751590.4691061387</v>
      </c>
      <c r="W154" s="101">
        <f t="shared" si="33"/>
        <v>131457205.32701963</v>
      </c>
      <c r="X154" s="101">
        <f t="shared" si="33"/>
        <v>684120.75021816371</v>
      </c>
      <c r="Y154" s="101">
        <f t="shared" si="33"/>
        <v>585356.15917905245</v>
      </c>
      <c r="Z154" s="101">
        <f t="shared" si="33"/>
        <v>14159.139966724644</v>
      </c>
      <c r="AA154" s="101">
        <f t="shared" si="33"/>
        <v>161043.65247984428</v>
      </c>
      <c r="AB154" s="101">
        <f t="shared" si="33"/>
        <v>5585650.8979976624</v>
      </c>
      <c r="AC154" s="101">
        <f t="shared" si="33"/>
        <v>-9023.4206599999998</v>
      </c>
      <c r="AD154" s="101">
        <f t="shared" si="33"/>
        <v>0</v>
      </c>
      <c r="AE154" s="101">
        <f t="shared" si="33"/>
        <v>-190531.17452</v>
      </c>
      <c r="AF154" s="101">
        <f t="shared" si="33"/>
        <v>0</v>
      </c>
      <c r="AG154" s="101">
        <f t="shared" si="33"/>
        <v>-108749.67119470044</v>
      </c>
      <c r="AH154" s="101">
        <f t="shared" si="33"/>
        <v>0</v>
      </c>
      <c r="AI154" s="101">
        <f t="shared" si="33"/>
        <v>-19353.301708620009</v>
      </c>
      <c r="AJ154" s="101">
        <f t="shared" si="33"/>
        <v>0</v>
      </c>
      <c r="AK154" s="101">
        <f t="shared" si="33"/>
        <v>-25172.25358977334</v>
      </c>
      <c r="AL154" s="101">
        <f t="shared" si="33"/>
        <v>0</v>
      </c>
      <c r="AM154" s="101">
        <f t="shared" si="33"/>
        <v>-1531977.4077502131</v>
      </c>
      <c r="AN154" s="101">
        <f t="shared" si="33"/>
        <v>0</v>
      </c>
      <c r="AO154" s="101">
        <f t="shared" si="33"/>
        <v>-3164930.4990616427</v>
      </c>
      <c r="AP154" s="101">
        <f t="shared" si="33"/>
        <v>0</v>
      </c>
    </row>
    <row r="155" spans="2:44" x14ac:dyDescent="0.25">
      <c r="F155" s="3"/>
      <c r="G155" s="242"/>
      <c r="H155" s="3"/>
      <c r="I155" s="3"/>
    </row>
    <row r="156" spans="2:44" x14ac:dyDescent="0.25">
      <c r="E156" t="s">
        <v>1079</v>
      </c>
      <c r="G156" s="13" t="s">
        <v>204</v>
      </c>
      <c r="J156" s="114">
        <f t="shared" ref="J156:AP156" si="34">IF( J154 &lt;&gt; 0, (J89 - J154) / J154, 0)</f>
        <v>2.5158064038524924E-2</v>
      </c>
      <c r="K156" s="114">
        <f t="shared" si="34"/>
        <v>1.8833452435939046E-2</v>
      </c>
      <c r="L156" s="114">
        <f t="shared" si="34"/>
        <v>-4.7505938242279985E-2</v>
      </c>
      <c r="M156" s="114">
        <f t="shared" si="34"/>
        <v>-6.251759608029693E-2</v>
      </c>
      <c r="N156" s="114">
        <f t="shared" si="34"/>
        <v>-3.3515293173604681E-2</v>
      </c>
      <c r="O156" s="114">
        <f t="shared" si="34"/>
        <v>-6.6287878787878812E-2</v>
      </c>
      <c r="P156" s="114">
        <f t="shared" si="34"/>
        <v>-2.1968369661324864E-2</v>
      </c>
      <c r="Q156" s="114">
        <f t="shared" si="34"/>
        <v>-0.64429642503843165</v>
      </c>
      <c r="R156" s="114">
        <f t="shared" si="34"/>
        <v>1.5705838009017686E-2</v>
      </c>
      <c r="S156" s="114">
        <f t="shared" si="34"/>
        <v>4.2334490345740564E-2</v>
      </c>
      <c r="T156" s="114">
        <f t="shared" si="34"/>
        <v>-3.86598782933524E-2</v>
      </c>
      <c r="U156" s="114">
        <f t="shared" si="34"/>
        <v>-2.923576629453719E-2</v>
      </c>
      <c r="V156" s="114">
        <f t="shared" si="34"/>
        <v>-4.5320003964434204E-2</v>
      </c>
      <c r="W156" s="114">
        <f t="shared" si="34"/>
        <v>-4.2169034171933586E-2</v>
      </c>
      <c r="X156" s="114">
        <f t="shared" si="34"/>
        <v>-1.6970725498513979E-3</v>
      </c>
      <c r="Y156" s="114">
        <f t="shared" si="34"/>
        <v>-1.2982054219167956E-2</v>
      </c>
      <c r="Z156" s="114">
        <f t="shared" si="34"/>
        <v>-2.6249650935492842E-2</v>
      </c>
      <c r="AA156" s="114">
        <f t="shared" si="34"/>
        <v>1.0491177873152215E-2</v>
      </c>
      <c r="AB156" s="114">
        <f t="shared" si="34"/>
        <v>-1.1693183005368884E-2</v>
      </c>
      <c r="AC156" s="114">
        <f t="shared" si="34"/>
        <v>3.1948881789136065E-3</v>
      </c>
      <c r="AD156" s="114">
        <f t="shared" si="34"/>
        <v>0</v>
      </c>
      <c r="AE156" s="114">
        <f t="shared" si="34"/>
        <v>3.2570535586284801E-3</v>
      </c>
      <c r="AF156" s="114">
        <f t="shared" si="34"/>
        <v>0</v>
      </c>
      <c r="AG156" s="114">
        <f t="shared" si="34"/>
        <v>6.9029737759010298E-3</v>
      </c>
      <c r="AH156" s="114">
        <f t="shared" si="34"/>
        <v>0</v>
      </c>
      <c r="AI156" s="114">
        <f t="shared" si="34"/>
        <v>5.0356879031436812E-4</v>
      </c>
      <c r="AJ156" s="114">
        <f t="shared" si="34"/>
        <v>0</v>
      </c>
      <c r="AK156" s="114">
        <f t="shared" si="34"/>
        <v>1.0261434618913097E-3</v>
      </c>
      <c r="AL156" s="114">
        <f t="shared" si="34"/>
        <v>0</v>
      </c>
      <c r="AM156" s="114">
        <f t="shared" si="34"/>
        <v>4.004430973244039E-3</v>
      </c>
      <c r="AN156" s="114">
        <f t="shared" si="34"/>
        <v>0</v>
      </c>
      <c r="AO156" s="114">
        <f t="shared" si="34"/>
        <v>2.8801308518773519E-3</v>
      </c>
      <c r="AP156" s="114">
        <f t="shared" si="34"/>
        <v>0</v>
      </c>
    </row>
    <row r="157" spans="2:44" x14ac:dyDescent="0.25">
      <c r="C157" s="91"/>
      <c r="D157" s="2"/>
      <c r="E157" s="2"/>
      <c r="G157" s="13"/>
    </row>
    <row r="158" spans="2:44" x14ac:dyDescent="0.25">
      <c r="E158" t="s">
        <v>1080</v>
      </c>
      <c r="G158" s="13" t="s">
        <v>328</v>
      </c>
      <c r="H158" s="304"/>
      <c r="I158" s="304"/>
      <c r="J158" s="315">
        <f t="shared" ref="J158:AP158" si="35" xml:space="preserve"> (J89 - J154) / IF( SUM(J16:J18) = 0, 1, SUM(J16:J18)) / ten</f>
        <v>6.0214170230888167E-2</v>
      </c>
      <c r="K158" s="315">
        <f t="shared" si="35"/>
        <v>3.9720104194142618E-2</v>
      </c>
      <c r="L158" s="315">
        <f t="shared" si="35"/>
        <v>-5.9999999999999609E-2</v>
      </c>
      <c r="M158" s="315">
        <f t="shared" si="35"/>
        <v>-0.14410207148729529</v>
      </c>
      <c r="N158" s="315">
        <f t="shared" si="35"/>
        <v>-6.6613851117287501E-2</v>
      </c>
      <c r="O158" s="315">
        <f t="shared" si="35"/>
        <v>-7.0000000000000034E-2</v>
      </c>
      <c r="P158" s="315">
        <f t="shared" si="35"/>
        <v>-4.3152125935744919E-2</v>
      </c>
      <c r="Q158" s="315">
        <f t="shared" si="35"/>
        <v>-8.4125707797080853</v>
      </c>
      <c r="R158" s="315">
        <f t="shared" si="35"/>
        <v>2.8778010466102944E-2</v>
      </c>
      <c r="S158" s="315">
        <f t="shared" si="35"/>
        <v>9.0176014961899781E-2</v>
      </c>
      <c r="T158" s="315">
        <f t="shared" si="35"/>
        <v>-7.7055293973605068E-2</v>
      </c>
      <c r="U158" s="315">
        <f t="shared" si="35"/>
        <v>-6.5873276121421825E-2</v>
      </c>
      <c r="V158" s="315">
        <f t="shared" si="35"/>
        <v>-9.220786352910125E-2</v>
      </c>
      <c r="W158" s="315">
        <f t="shared" si="35"/>
        <v>-7.2907610584839119E-2</v>
      </c>
      <c r="X158" s="315">
        <f t="shared" si="35"/>
        <v>-3.9999999999997451E-3</v>
      </c>
      <c r="Y158" s="315">
        <f t="shared" si="35"/>
        <v>-3.4000000000000884E-2</v>
      </c>
      <c r="Z158" s="315">
        <f t="shared" si="35"/>
        <v>-9.3999999999999861E-2</v>
      </c>
      <c r="AA158" s="315">
        <f t="shared" si="35"/>
        <v>2.2000000000000193E-2</v>
      </c>
      <c r="AB158" s="315">
        <f t="shared" si="35"/>
        <v>-3.1109567810390398E-2</v>
      </c>
      <c r="AC158" s="315">
        <f t="shared" si="35"/>
        <v>-1.9999999999999176E-3</v>
      </c>
      <c r="AD158" s="315">
        <f t="shared" si="35"/>
        <v>0</v>
      </c>
      <c r="AE158" s="315">
        <f t="shared" si="35"/>
        <v>-2.0000000000000963E-3</v>
      </c>
      <c r="AF158" s="315">
        <f t="shared" si="35"/>
        <v>0</v>
      </c>
      <c r="AG158" s="315">
        <f t="shared" si="35"/>
        <v>-4.5605311232275085E-3</v>
      </c>
      <c r="AH158" s="315">
        <f t="shared" si="35"/>
        <v>0</v>
      </c>
      <c r="AI158" s="315">
        <f t="shared" si="35"/>
        <v>-2.7041795274433444E-4</v>
      </c>
      <c r="AJ158" s="315">
        <f t="shared" si="35"/>
        <v>0</v>
      </c>
      <c r="AK158" s="315">
        <f t="shared" si="35"/>
        <v>-5.2605183552621292E-4</v>
      </c>
      <c r="AL158" s="315">
        <f t="shared" si="35"/>
        <v>0</v>
      </c>
      <c r="AM158" s="315">
        <f t="shared" si="35"/>
        <v>-1.3309322652099269E-3</v>
      </c>
      <c r="AN158" s="315">
        <f t="shared" si="35"/>
        <v>0</v>
      </c>
      <c r="AO158" s="315">
        <f t="shared" si="35"/>
        <v>-1.2484607337011732E-3</v>
      </c>
      <c r="AP158" s="315">
        <f t="shared" si="35"/>
        <v>0</v>
      </c>
      <c r="AQ158" s="304"/>
      <c r="AR158" s="304"/>
    </row>
    <row r="159" spans="2:44" x14ac:dyDescent="0.25">
      <c r="C159" s="91"/>
      <c r="D159" s="2"/>
      <c r="E159" s="2"/>
      <c r="G159" s="13"/>
    </row>
    <row r="160" spans="2:44" x14ac:dyDescent="0.25">
      <c r="B160" s="30" t="s">
        <v>1081</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1082</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1083</v>
      </c>
    </row>
    <row r="166" spans="3:44" x14ac:dyDescent="0.25">
      <c r="E166" s="28"/>
      <c r="F166" s="23" t="s">
        <v>193</v>
      </c>
      <c r="G166" s="85" t="s">
        <v>1084</v>
      </c>
      <c r="H166" s="248"/>
      <c r="I166" s="23"/>
      <c r="J166" s="129">
        <f t="shared" ref="J166:AP166" si="36" xml:space="preserve"> IF( J$19 &lt;&gt; 0, J$16 * thousand * J54 / hundred / J$19, "")</f>
        <v>48.094275369704725</v>
      </c>
      <c r="K166" s="129">
        <f t="shared" si="36"/>
        <v>49.166223107004669</v>
      </c>
      <c r="L166" s="129" t="str">
        <f t="shared" si="36"/>
        <v/>
      </c>
      <c r="M166" s="129">
        <f t="shared" si="36"/>
        <v>163.62848686790221</v>
      </c>
      <c r="N166" s="129">
        <f t="shared" si="36"/>
        <v>268.56448338078854</v>
      </c>
      <c r="O166" s="129" t="str">
        <f t="shared" si="36"/>
        <v/>
      </c>
      <c r="P166" s="129">
        <f t="shared" si="36"/>
        <v>677.8842779899353</v>
      </c>
      <c r="Q166" s="129">
        <f t="shared" si="36"/>
        <v>0</v>
      </c>
      <c r="R166" s="129">
        <f t="shared" si="36"/>
        <v>0</v>
      </c>
      <c r="S166" s="129">
        <f t="shared" si="36"/>
        <v>22.865939975892029</v>
      </c>
      <c r="T166" s="129">
        <f t="shared" si="36"/>
        <v>389.11478056680812</v>
      </c>
      <c r="U166" s="129">
        <f t="shared" si="36"/>
        <v>993.49376269941808</v>
      </c>
      <c r="V166" s="129">
        <f t="shared" si="36"/>
        <v>0</v>
      </c>
      <c r="W166" s="129">
        <f t="shared" si="36"/>
        <v>0</v>
      </c>
      <c r="X166" s="129">
        <f t="shared" si="36"/>
        <v>294.7520421476006</v>
      </c>
      <c r="Y166" s="129">
        <f t="shared" si="36"/>
        <v>306.29545063627899</v>
      </c>
      <c r="Z166" s="129">
        <f t="shared" si="36"/>
        <v>48.671874287599756</v>
      </c>
      <c r="AA166" s="129">
        <f t="shared" si="36"/>
        <v>471.66258097935639</v>
      </c>
      <c r="AB166" s="129">
        <f t="shared" si="36"/>
        <v>57823.66701231747</v>
      </c>
      <c r="AC166" s="129" t="str">
        <f t="shared" si="36"/>
        <v/>
      </c>
      <c r="AD166" s="129" t="str">
        <f t="shared" si="36"/>
        <v/>
      </c>
      <c r="AE166" s="129">
        <f t="shared" si="36"/>
        <v>-367.99722703735358</v>
      </c>
      <c r="AF166" s="129" t="str">
        <f t="shared" si="36"/>
        <v/>
      </c>
      <c r="AG166" s="129">
        <f t="shared" si="36"/>
        <v>-719.59898875553358</v>
      </c>
      <c r="AH166" s="129" t="str">
        <f t="shared" si="36"/>
        <v/>
      </c>
      <c r="AI166" s="129">
        <f t="shared" si="36"/>
        <v>0</v>
      </c>
      <c r="AJ166" s="129" t="str">
        <f t="shared" si="36"/>
        <v/>
      </c>
      <c r="AK166" s="129">
        <f t="shared" si="36"/>
        <v>0</v>
      </c>
      <c r="AL166" s="129" t="str">
        <f t="shared" si="36"/>
        <v/>
      </c>
      <c r="AM166" s="129">
        <f t="shared" si="36"/>
        <v>0</v>
      </c>
      <c r="AN166" s="129" t="str">
        <f t="shared" si="36"/>
        <v/>
      </c>
      <c r="AO166" s="129">
        <f t="shared" si="36"/>
        <v>0</v>
      </c>
      <c r="AP166" s="129" t="str">
        <f t="shared" si="36"/>
        <v/>
      </c>
    </row>
    <row r="167" spans="3:44" x14ac:dyDescent="0.25">
      <c r="E167" s="28"/>
      <c r="F167" t="s">
        <v>194</v>
      </c>
      <c r="G167" s="13" t="s">
        <v>1084</v>
      </c>
      <c r="H167" s="105"/>
      <c r="J167" s="101">
        <f t="shared" ref="J167:AP167" si="37" xml:space="preserve"> IF( J$19 &lt;&gt; 0, J$17 * thousand * J55 / hundred / J$19, "")</f>
        <v>0</v>
      </c>
      <c r="K167" s="101">
        <f t="shared" si="37"/>
        <v>7.9305901246933983</v>
      </c>
      <c r="L167" s="101" t="str">
        <f t="shared" si="37"/>
        <v/>
      </c>
      <c r="M167" s="101">
        <f t="shared" si="37"/>
        <v>0</v>
      </c>
      <c r="N167" s="101">
        <f t="shared" si="37"/>
        <v>31.639746551786001</v>
      </c>
      <c r="O167" s="101" t="str">
        <f t="shared" si="37"/>
        <v/>
      </c>
      <c r="P167" s="101">
        <f t="shared" si="37"/>
        <v>79.295340807802418</v>
      </c>
      <c r="Q167" s="101">
        <f t="shared" si="37"/>
        <v>0</v>
      </c>
      <c r="R167" s="101">
        <f t="shared" si="37"/>
        <v>0</v>
      </c>
      <c r="S167" s="101">
        <f t="shared" si="37"/>
        <v>13.792560619620671</v>
      </c>
      <c r="T167" s="101">
        <f t="shared" si="37"/>
        <v>310.49743099410676</v>
      </c>
      <c r="U167" s="101">
        <f t="shared" si="37"/>
        <v>909.95532954879525</v>
      </c>
      <c r="V167" s="101">
        <f t="shared" si="37"/>
        <v>0</v>
      </c>
      <c r="W167" s="101">
        <f t="shared" si="37"/>
        <v>0</v>
      </c>
      <c r="X167" s="101">
        <f t="shared" si="37"/>
        <v>0</v>
      </c>
      <c r="Y167" s="101">
        <f t="shared" si="37"/>
        <v>0</v>
      </c>
      <c r="Z167" s="101">
        <f t="shared" si="37"/>
        <v>0</v>
      </c>
      <c r="AA167" s="101">
        <f t="shared" si="37"/>
        <v>0</v>
      </c>
      <c r="AB167" s="101">
        <f t="shared" si="37"/>
        <v>18529.669436906715</v>
      </c>
      <c r="AC167" s="101" t="str">
        <f t="shared" si="37"/>
        <v/>
      </c>
      <c r="AD167" s="101" t="str">
        <f t="shared" si="37"/>
        <v/>
      </c>
      <c r="AE167" s="101">
        <f t="shared" si="37"/>
        <v>0</v>
      </c>
      <c r="AF167" s="101" t="str">
        <f t="shared" si="37"/>
        <v/>
      </c>
      <c r="AG167" s="101">
        <f t="shared" si="37"/>
        <v>-314.30121672779052</v>
      </c>
      <c r="AH167" s="101" t="str">
        <f t="shared" si="37"/>
        <v/>
      </c>
      <c r="AI167" s="101">
        <f t="shared" si="37"/>
        <v>0</v>
      </c>
      <c r="AJ167" s="101" t="str">
        <f t="shared" si="37"/>
        <v/>
      </c>
      <c r="AK167" s="101">
        <f t="shared" si="37"/>
        <v>0</v>
      </c>
      <c r="AL167" s="101" t="str">
        <f t="shared" si="37"/>
        <v/>
      </c>
      <c r="AM167" s="101">
        <f t="shared" si="37"/>
        <v>0</v>
      </c>
      <c r="AN167" s="101" t="str">
        <f t="shared" si="37"/>
        <v/>
      </c>
      <c r="AO167" s="101">
        <f t="shared" si="37"/>
        <v>0</v>
      </c>
      <c r="AP167" s="101" t="str">
        <f t="shared" si="37"/>
        <v/>
      </c>
    </row>
    <row r="168" spans="3:44" x14ac:dyDescent="0.25">
      <c r="E168" s="28"/>
      <c r="F168" t="s">
        <v>195</v>
      </c>
      <c r="G168" s="13" t="s">
        <v>1084</v>
      </c>
      <c r="H168" s="105"/>
      <c r="J168" s="101">
        <f t="shared" ref="J168:AP168" si="38" xml:space="preserve"> IF( J$19 &lt;&gt; 0, J$18 * thousand * J56 / hundred / J$19, "")</f>
        <v>0</v>
      </c>
      <c r="K168" s="101">
        <f t="shared" si="38"/>
        <v>0</v>
      </c>
      <c r="L168" s="101" t="str">
        <f t="shared" si="38"/>
        <v/>
      </c>
      <c r="M168" s="101">
        <f t="shared" si="38"/>
        <v>0</v>
      </c>
      <c r="N168" s="101">
        <f t="shared" si="38"/>
        <v>0</v>
      </c>
      <c r="O168" s="101" t="str">
        <f t="shared" si="38"/>
        <v/>
      </c>
      <c r="P168" s="101">
        <f t="shared" si="38"/>
        <v>0</v>
      </c>
      <c r="Q168" s="101">
        <f t="shared" si="38"/>
        <v>0</v>
      </c>
      <c r="R168" s="101">
        <f t="shared" si="38"/>
        <v>0</v>
      </c>
      <c r="S168" s="101">
        <f t="shared" si="38"/>
        <v>11.976667491507213</v>
      </c>
      <c r="T168" s="101">
        <f t="shared" si="38"/>
        <v>179.68358608962112</v>
      </c>
      <c r="U168" s="101">
        <f t="shared" si="38"/>
        <v>612.53514377156591</v>
      </c>
      <c r="V168" s="101">
        <f t="shared" si="38"/>
        <v>0</v>
      </c>
      <c r="W168" s="101">
        <f t="shared" si="38"/>
        <v>0</v>
      </c>
      <c r="X168" s="101">
        <f t="shared" si="38"/>
        <v>0</v>
      </c>
      <c r="Y168" s="101">
        <f t="shared" si="38"/>
        <v>0</v>
      </c>
      <c r="Z168" s="101">
        <f t="shared" si="38"/>
        <v>0</v>
      </c>
      <c r="AA168" s="101">
        <f t="shared" si="38"/>
        <v>0</v>
      </c>
      <c r="AB168" s="101">
        <f t="shared" si="38"/>
        <v>65360.468943208303</v>
      </c>
      <c r="AC168" s="101" t="str">
        <f t="shared" si="38"/>
        <v/>
      </c>
      <c r="AD168" s="101" t="str">
        <f t="shared" si="38"/>
        <v/>
      </c>
      <c r="AE168" s="101">
        <f t="shared" si="38"/>
        <v>0</v>
      </c>
      <c r="AF168" s="101" t="str">
        <f t="shared" si="38"/>
        <v/>
      </c>
      <c r="AG168" s="101">
        <f t="shared" si="38"/>
        <v>-28.298534826444477</v>
      </c>
      <c r="AH168" s="101" t="str">
        <f t="shared" si="38"/>
        <v/>
      </c>
      <c r="AI168" s="101">
        <f t="shared" si="38"/>
        <v>0</v>
      </c>
      <c r="AJ168" s="101" t="str">
        <f t="shared" si="38"/>
        <v/>
      </c>
      <c r="AK168" s="101">
        <f t="shared" si="38"/>
        <v>0</v>
      </c>
      <c r="AL168" s="101" t="str">
        <f t="shared" si="38"/>
        <v/>
      </c>
      <c r="AM168" s="101">
        <f t="shared" si="38"/>
        <v>0</v>
      </c>
      <c r="AN168" s="101" t="str">
        <f t="shared" si="38"/>
        <v/>
      </c>
      <c r="AO168" s="101">
        <f t="shared" si="38"/>
        <v>0</v>
      </c>
      <c r="AP168" s="101" t="str">
        <f t="shared" si="38"/>
        <v/>
      </c>
    </row>
    <row r="169" spans="3:44" x14ac:dyDescent="0.25">
      <c r="E169" s="28"/>
      <c r="F169" s="23" t="s">
        <v>196</v>
      </c>
      <c r="G169" s="85" t="s">
        <v>1084</v>
      </c>
      <c r="H169" s="248"/>
      <c r="I169" s="23"/>
      <c r="J169" s="129">
        <f t="shared" ref="J169:AP169" si="39" xml:space="preserve"> IF( J$19 &lt;&gt; 0, J$19 * J57 * days_in_year / hundred / J$19, "")</f>
        <v>8.5045000000000019</v>
      </c>
      <c r="K169" s="129">
        <f t="shared" si="39"/>
        <v>8.5045000000000002</v>
      </c>
      <c r="L169" s="129" t="str">
        <f t="shared" si="39"/>
        <v/>
      </c>
      <c r="M169" s="129">
        <f t="shared" si="39"/>
        <v>16.863000000000003</v>
      </c>
      <c r="N169" s="129">
        <f t="shared" si="39"/>
        <v>16.863000000000003</v>
      </c>
      <c r="O169" s="129" t="str">
        <f t="shared" si="39"/>
        <v/>
      </c>
      <c r="P169" s="129">
        <f t="shared" si="39"/>
        <v>63.327500000000008</v>
      </c>
      <c r="Q169" s="129">
        <f t="shared" si="39"/>
        <v>0</v>
      </c>
      <c r="R169" s="129">
        <f t="shared" si="39"/>
        <v>0</v>
      </c>
      <c r="S169" s="129">
        <f t="shared" si="39"/>
        <v>8.5045000000000002</v>
      </c>
      <c r="T169" s="129">
        <f t="shared" si="39"/>
        <v>16.863</v>
      </c>
      <c r="U169" s="129">
        <f t="shared" si="39"/>
        <v>25.294499999999996</v>
      </c>
      <c r="V169" s="129">
        <f t="shared" si="39"/>
        <v>0</v>
      </c>
      <c r="W169" s="129">
        <f t="shared" si="39"/>
        <v>0</v>
      </c>
      <c r="X169" s="129">
        <f t="shared" si="39"/>
        <v>0</v>
      </c>
      <c r="Y169" s="129">
        <f t="shared" si="39"/>
        <v>0</v>
      </c>
      <c r="Z169" s="129">
        <f t="shared" si="39"/>
        <v>0</v>
      </c>
      <c r="AA169" s="129">
        <f t="shared" si="39"/>
        <v>0</v>
      </c>
      <c r="AB169" s="129">
        <f t="shared" si="39"/>
        <v>0</v>
      </c>
      <c r="AC169" s="129" t="str">
        <f t="shared" si="39"/>
        <v/>
      </c>
      <c r="AD169" s="129" t="str">
        <f t="shared" si="39"/>
        <v/>
      </c>
      <c r="AE169" s="129">
        <f t="shared" si="39"/>
        <v>0</v>
      </c>
      <c r="AF169" s="129" t="str">
        <f t="shared" si="39"/>
        <v/>
      </c>
      <c r="AG169" s="129">
        <f t="shared" si="39"/>
        <v>0</v>
      </c>
      <c r="AH169" s="129" t="str">
        <f t="shared" si="39"/>
        <v/>
      </c>
      <c r="AI169" s="129">
        <f t="shared" si="39"/>
        <v>0</v>
      </c>
      <c r="AJ169" s="129" t="str">
        <f t="shared" si="39"/>
        <v/>
      </c>
      <c r="AK169" s="129">
        <f t="shared" si="39"/>
        <v>0</v>
      </c>
      <c r="AL169" s="129" t="str">
        <f t="shared" si="39"/>
        <v/>
      </c>
      <c r="AM169" s="129">
        <f t="shared" si="39"/>
        <v>0</v>
      </c>
      <c r="AN169" s="129" t="str">
        <f t="shared" si="39"/>
        <v/>
      </c>
      <c r="AO169" s="129">
        <f t="shared" si="39"/>
        <v>0</v>
      </c>
      <c r="AP169" s="129" t="str">
        <f t="shared" si="39"/>
        <v/>
      </c>
    </row>
    <row r="170" spans="3:44" x14ac:dyDescent="0.25">
      <c r="E170" s="28"/>
      <c r="F170" t="s">
        <v>197</v>
      </c>
      <c r="G170" s="13" t="s">
        <v>1084</v>
      </c>
      <c r="H170" s="105"/>
      <c r="J170" s="101">
        <f t="shared" ref="J170:AP170" si="40" xml:space="preserve"> IF( J$19 &lt;&gt; 0, J$20 * J58 * days_in_year / hundred / J$19, "")</f>
        <v>0</v>
      </c>
      <c r="K170" s="101">
        <f t="shared" si="40"/>
        <v>0</v>
      </c>
      <c r="L170" s="101" t="str">
        <f t="shared" si="40"/>
        <v/>
      </c>
      <c r="M170" s="101">
        <f t="shared" si="40"/>
        <v>0</v>
      </c>
      <c r="N170" s="101">
        <f t="shared" si="40"/>
        <v>0</v>
      </c>
      <c r="O170" s="101" t="str">
        <f t="shared" si="40"/>
        <v/>
      </c>
      <c r="P170" s="101">
        <f t="shared" si="40"/>
        <v>0</v>
      </c>
      <c r="Q170" s="101">
        <f t="shared" si="40"/>
        <v>0</v>
      </c>
      <c r="R170" s="101">
        <f t="shared" si="40"/>
        <v>0</v>
      </c>
      <c r="S170" s="101">
        <f t="shared" si="40"/>
        <v>0</v>
      </c>
      <c r="T170" s="101">
        <f t="shared" si="40"/>
        <v>0</v>
      </c>
      <c r="U170" s="101">
        <f t="shared" si="40"/>
        <v>940.15777285676995</v>
      </c>
      <c r="V170" s="101">
        <f t="shared" si="40"/>
        <v>0</v>
      </c>
      <c r="W170" s="101">
        <f t="shared" si="40"/>
        <v>0</v>
      </c>
      <c r="X170" s="101">
        <f t="shared" si="40"/>
        <v>0</v>
      </c>
      <c r="Y170" s="101">
        <f t="shared" si="40"/>
        <v>0</v>
      </c>
      <c r="Z170" s="101">
        <f t="shared" si="40"/>
        <v>0</v>
      </c>
      <c r="AA170" s="101">
        <f t="shared" si="40"/>
        <v>0</v>
      </c>
      <c r="AB170" s="101">
        <f t="shared" si="40"/>
        <v>0</v>
      </c>
      <c r="AC170" s="101" t="str">
        <f t="shared" si="40"/>
        <v/>
      </c>
      <c r="AD170" s="101" t="str">
        <f t="shared" si="40"/>
        <v/>
      </c>
      <c r="AE170" s="101">
        <f t="shared" si="40"/>
        <v>0</v>
      </c>
      <c r="AF170" s="101" t="str">
        <f t="shared" si="40"/>
        <v/>
      </c>
      <c r="AG170" s="101">
        <f t="shared" si="40"/>
        <v>0</v>
      </c>
      <c r="AH170" s="101" t="str">
        <f t="shared" si="40"/>
        <v/>
      </c>
      <c r="AI170" s="101">
        <f t="shared" si="40"/>
        <v>0</v>
      </c>
      <c r="AJ170" s="101" t="str">
        <f t="shared" si="40"/>
        <v/>
      </c>
      <c r="AK170" s="101">
        <f t="shared" si="40"/>
        <v>0</v>
      </c>
      <c r="AL170" s="101" t="str">
        <f t="shared" si="40"/>
        <v/>
      </c>
      <c r="AM170" s="101">
        <f t="shared" si="40"/>
        <v>0</v>
      </c>
      <c r="AN170" s="101" t="str">
        <f t="shared" si="40"/>
        <v/>
      </c>
      <c r="AO170" s="101">
        <f t="shared" si="40"/>
        <v>0</v>
      </c>
      <c r="AP170" s="101" t="str">
        <f t="shared" si="40"/>
        <v/>
      </c>
    </row>
    <row r="171" spans="3:44" x14ac:dyDescent="0.25">
      <c r="E171" s="28"/>
      <c r="F171" t="s">
        <v>198</v>
      </c>
      <c r="G171" s="13" t="s">
        <v>1084</v>
      </c>
      <c r="H171" s="105"/>
      <c r="J171" s="101">
        <f t="shared" ref="J171:AP171" si="41" xml:space="preserve"> IF( J$19 &lt;&gt; 0, J$21 * J59 * days_in_year / hundred / J$19, "")</f>
        <v>0</v>
      </c>
      <c r="K171" s="101">
        <f t="shared" si="41"/>
        <v>0</v>
      </c>
      <c r="L171" s="101" t="str">
        <f t="shared" si="41"/>
        <v/>
      </c>
      <c r="M171" s="101">
        <f t="shared" si="41"/>
        <v>0</v>
      </c>
      <c r="N171" s="101">
        <f t="shared" si="41"/>
        <v>0</v>
      </c>
      <c r="O171" s="101" t="str">
        <f t="shared" si="41"/>
        <v/>
      </c>
      <c r="P171" s="101">
        <f t="shared" si="41"/>
        <v>0</v>
      </c>
      <c r="Q171" s="101">
        <f t="shared" si="41"/>
        <v>0</v>
      </c>
      <c r="R171" s="101">
        <f t="shared" si="41"/>
        <v>0</v>
      </c>
      <c r="S171" s="101">
        <f t="shared" si="41"/>
        <v>0</v>
      </c>
      <c r="T171" s="101">
        <f t="shared" si="41"/>
        <v>0</v>
      </c>
      <c r="U171" s="101">
        <f t="shared" si="41"/>
        <v>41.758536669563931</v>
      </c>
      <c r="V171" s="101">
        <f t="shared" si="41"/>
        <v>0</v>
      </c>
      <c r="W171" s="101">
        <f t="shared" si="41"/>
        <v>0</v>
      </c>
      <c r="X171" s="101">
        <f t="shared" si="41"/>
        <v>0</v>
      </c>
      <c r="Y171" s="101">
        <f t="shared" si="41"/>
        <v>0</v>
      </c>
      <c r="Z171" s="101">
        <f t="shared" si="41"/>
        <v>0</v>
      </c>
      <c r="AA171" s="101">
        <f t="shared" si="41"/>
        <v>0</v>
      </c>
      <c r="AB171" s="101">
        <f t="shared" si="41"/>
        <v>0</v>
      </c>
      <c r="AC171" s="101" t="str">
        <f t="shared" si="41"/>
        <v/>
      </c>
      <c r="AD171" s="101" t="str">
        <f t="shared" si="41"/>
        <v/>
      </c>
      <c r="AE171" s="101">
        <f t="shared" si="41"/>
        <v>0</v>
      </c>
      <c r="AF171" s="101" t="str">
        <f t="shared" si="41"/>
        <v/>
      </c>
      <c r="AG171" s="101">
        <f t="shared" si="41"/>
        <v>0</v>
      </c>
      <c r="AH171" s="101" t="str">
        <f t="shared" si="41"/>
        <v/>
      </c>
      <c r="AI171" s="101">
        <f t="shared" si="41"/>
        <v>0</v>
      </c>
      <c r="AJ171" s="101" t="str">
        <f t="shared" si="41"/>
        <v/>
      </c>
      <c r="AK171" s="101">
        <f t="shared" si="41"/>
        <v>0</v>
      </c>
      <c r="AL171" s="101" t="str">
        <f t="shared" si="41"/>
        <v/>
      </c>
      <c r="AM171" s="101">
        <f t="shared" si="41"/>
        <v>0</v>
      </c>
      <c r="AN171" s="101" t="str">
        <f t="shared" si="41"/>
        <v/>
      </c>
      <c r="AO171" s="101">
        <f t="shared" si="41"/>
        <v>0</v>
      </c>
      <c r="AP171" s="101" t="str">
        <f t="shared" si="41"/>
        <v/>
      </c>
    </row>
    <row r="172" spans="3:44" x14ac:dyDescent="0.25">
      <c r="E172" s="28"/>
      <c r="F172" s="23" t="s">
        <v>199</v>
      </c>
      <c r="G172" s="85" t="s">
        <v>1084</v>
      </c>
      <c r="H172" s="248"/>
      <c r="I172" s="23"/>
      <c r="J172" s="129">
        <f t="shared" ref="J172:AP172" si="42" xml:space="preserve"> IF( J$19 &lt;&gt; 0, J$22 * thousand * J60 / hundred / J$19, "")</f>
        <v>0</v>
      </c>
      <c r="K172" s="129">
        <f t="shared" si="42"/>
        <v>0</v>
      </c>
      <c r="L172" s="129" t="str">
        <f t="shared" si="42"/>
        <v/>
      </c>
      <c r="M172" s="129">
        <f t="shared" si="42"/>
        <v>0</v>
      </c>
      <c r="N172" s="129">
        <f t="shared" si="42"/>
        <v>0</v>
      </c>
      <c r="O172" s="129" t="str">
        <f t="shared" si="42"/>
        <v/>
      </c>
      <c r="P172" s="129">
        <f t="shared" si="42"/>
        <v>0</v>
      </c>
      <c r="Q172" s="129">
        <f t="shared" si="42"/>
        <v>0</v>
      </c>
      <c r="R172" s="129">
        <f t="shared" si="42"/>
        <v>0</v>
      </c>
      <c r="S172" s="129">
        <f t="shared" si="42"/>
        <v>0</v>
      </c>
      <c r="T172" s="129">
        <f t="shared" si="42"/>
        <v>0</v>
      </c>
      <c r="U172" s="129">
        <f t="shared" si="42"/>
        <v>25.403786542989856</v>
      </c>
      <c r="V172" s="129">
        <f t="shared" si="42"/>
        <v>0</v>
      </c>
      <c r="W172" s="129">
        <f t="shared" si="42"/>
        <v>0</v>
      </c>
      <c r="X172" s="129">
        <f t="shared" si="42"/>
        <v>0</v>
      </c>
      <c r="Y172" s="129">
        <f t="shared" si="42"/>
        <v>0</v>
      </c>
      <c r="Z172" s="129">
        <f t="shared" si="42"/>
        <v>0</v>
      </c>
      <c r="AA172" s="129">
        <f t="shared" si="42"/>
        <v>0</v>
      </c>
      <c r="AB172" s="129">
        <f t="shared" si="42"/>
        <v>0</v>
      </c>
      <c r="AC172" s="129" t="str">
        <f t="shared" si="42"/>
        <v/>
      </c>
      <c r="AD172" s="129" t="str">
        <f t="shared" si="42"/>
        <v/>
      </c>
      <c r="AE172" s="129">
        <f t="shared" si="42"/>
        <v>7.0013683379799581</v>
      </c>
      <c r="AF172" s="129" t="str">
        <f t="shared" si="42"/>
        <v/>
      </c>
      <c r="AG172" s="129">
        <f t="shared" si="42"/>
        <v>10.344020837506459</v>
      </c>
      <c r="AH172" s="129" t="str">
        <f t="shared" si="42"/>
        <v/>
      </c>
      <c r="AI172" s="129">
        <f t="shared" si="42"/>
        <v>0</v>
      </c>
      <c r="AJ172" s="129" t="str">
        <f t="shared" si="42"/>
        <v/>
      </c>
      <c r="AK172" s="129">
        <f t="shared" si="42"/>
        <v>0</v>
      </c>
      <c r="AL172" s="129" t="str">
        <f t="shared" si="42"/>
        <v/>
      </c>
      <c r="AM172" s="129">
        <f t="shared" si="42"/>
        <v>0</v>
      </c>
      <c r="AN172" s="129" t="str">
        <f t="shared" si="42"/>
        <v/>
      </c>
      <c r="AO172" s="129">
        <f t="shared" si="42"/>
        <v>0</v>
      </c>
      <c r="AP172" s="129" t="str">
        <f t="shared" si="42"/>
        <v/>
      </c>
    </row>
    <row r="173" spans="3:44" x14ac:dyDescent="0.25">
      <c r="E173" s="28"/>
      <c r="F173" s="111" t="s">
        <v>102</v>
      </c>
      <c r="G173" s="244" t="s">
        <v>1084</v>
      </c>
      <c r="H173" s="249"/>
      <c r="I173" s="111"/>
      <c r="J173" s="157">
        <f t="shared" ref="J173:AP173" si="43">SUM(J166:J172)</f>
        <v>56.598775369704725</v>
      </c>
      <c r="K173" s="157">
        <f t="shared" si="43"/>
        <v>65.601313231698072</v>
      </c>
      <c r="L173" s="157">
        <f t="shared" si="43"/>
        <v>0</v>
      </c>
      <c r="M173" s="157">
        <f t="shared" si="43"/>
        <v>180.49148686790221</v>
      </c>
      <c r="N173" s="157">
        <f t="shared" si="43"/>
        <v>317.06722993257455</v>
      </c>
      <c r="O173" s="157">
        <f t="shared" si="43"/>
        <v>0</v>
      </c>
      <c r="P173" s="157">
        <f t="shared" si="43"/>
        <v>820.50711879773769</v>
      </c>
      <c r="Q173" s="157">
        <f t="shared" si="43"/>
        <v>0</v>
      </c>
      <c r="R173" s="157">
        <f t="shared" si="43"/>
        <v>0</v>
      </c>
      <c r="S173" s="157">
        <f t="shared" si="43"/>
        <v>57.139668087019913</v>
      </c>
      <c r="T173" s="157">
        <f t="shared" si="43"/>
        <v>896.15879765053592</v>
      </c>
      <c r="U173" s="157">
        <f t="shared" si="43"/>
        <v>3548.5988320891029</v>
      </c>
      <c r="V173" s="157">
        <f t="shared" si="43"/>
        <v>0</v>
      </c>
      <c r="W173" s="157">
        <f t="shared" si="43"/>
        <v>0</v>
      </c>
      <c r="X173" s="157">
        <f t="shared" si="43"/>
        <v>294.7520421476006</v>
      </c>
      <c r="Y173" s="157">
        <f t="shared" si="43"/>
        <v>306.29545063627899</v>
      </c>
      <c r="Z173" s="157">
        <f t="shared" si="43"/>
        <v>48.671874287599756</v>
      </c>
      <c r="AA173" s="157">
        <f t="shared" si="43"/>
        <v>471.66258097935639</v>
      </c>
      <c r="AB173" s="157">
        <f t="shared" si="43"/>
        <v>141713.80539243249</v>
      </c>
      <c r="AC173" s="157">
        <f t="shared" si="43"/>
        <v>0</v>
      </c>
      <c r="AD173" s="157">
        <f t="shared" si="43"/>
        <v>0</v>
      </c>
      <c r="AE173" s="157">
        <f t="shared" si="43"/>
        <v>-360.99585869937363</v>
      </c>
      <c r="AF173" s="157">
        <f t="shared" si="43"/>
        <v>0</v>
      </c>
      <c r="AG173" s="157">
        <f t="shared" si="43"/>
        <v>-1051.8547194722621</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1085</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1086</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193</v>
      </c>
      <c r="G177" s="85" t="s">
        <v>1084</v>
      </c>
      <c r="H177" s="248"/>
      <c r="I177" s="23"/>
      <c r="J177" s="129">
        <f t="shared" ref="J177:AP177" si="44" xml:space="preserve"> IF( J$19 &lt;&gt; 0, J$16 * thousand * J63 / hundred / J$19,"")</f>
        <v>36.551649280975596</v>
      </c>
      <c r="K177" s="129">
        <f t="shared" si="44"/>
        <v>37.380834654803181</v>
      </c>
      <c r="L177" s="129" t="str">
        <f t="shared" si="44"/>
        <v/>
      </c>
      <c r="M177" s="129">
        <f t="shared" si="44"/>
        <v>124.3720560492639</v>
      </c>
      <c r="N177" s="129">
        <f t="shared" si="44"/>
        <v>204.160093004825</v>
      </c>
      <c r="O177" s="129" t="str">
        <f t="shared" si="44"/>
        <v/>
      </c>
      <c r="P177" s="129">
        <f t="shared" si="44"/>
        <v>515.55384344318816</v>
      </c>
      <c r="Q177" s="129">
        <f t="shared" si="44"/>
        <v>0</v>
      </c>
      <c r="R177" s="129">
        <f t="shared" si="44"/>
        <v>0</v>
      </c>
      <c r="S177" s="129">
        <f t="shared" si="44"/>
        <v>17.386267941816172</v>
      </c>
      <c r="T177" s="129">
        <f t="shared" si="44"/>
        <v>295.79404651896414</v>
      </c>
      <c r="U177" s="129">
        <f t="shared" si="44"/>
        <v>755.23507752715932</v>
      </c>
      <c r="V177" s="129">
        <f t="shared" si="44"/>
        <v>2672.0361748535624</v>
      </c>
      <c r="W177" s="129">
        <f t="shared" si="44"/>
        <v>5308.609445307653</v>
      </c>
      <c r="X177" s="129">
        <f t="shared" si="44"/>
        <v>223.98994528504284</v>
      </c>
      <c r="Y177" s="129">
        <f t="shared" si="44"/>
        <v>232.87312626239898</v>
      </c>
      <c r="Z177" s="129">
        <f t="shared" si="44"/>
        <v>37.010695334570705</v>
      </c>
      <c r="AA177" s="129">
        <f t="shared" si="44"/>
        <v>358.3867643805151</v>
      </c>
      <c r="AB177" s="129">
        <f t="shared" si="44"/>
        <v>43960.888925607243</v>
      </c>
      <c r="AC177" s="129" t="str">
        <f t="shared" si="44"/>
        <v/>
      </c>
      <c r="AD177" s="129" t="str">
        <f t="shared" si="44"/>
        <v/>
      </c>
      <c r="AE177" s="129">
        <f t="shared" si="44"/>
        <v>-367.99722703735358</v>
      </c>
      <c r="AF177" s="129" t="str">
        <f t="shared" si="44"/>
        <v/>
      </c>
      <c r="AG177" s="129">
        <f t="shared" si="44"/>
        <v>-719.59898875553358</v>
      </c>
      <c r="AH177" s="129" t="str">
        <f t="shared" si="44"/>
        <v/>
      </c>
      <c r="AI177" s="129">
        <f t="shared" si="44"/>
        <v>-682.58591432644073</v>
      </c>
      <c r="AJ177" s="129" t="str">
        <f t="shared" si="44"/>
        <v/>
      </c>
      <c r="AK177" s="129">
        <f t="shared" si="44"/>
        <v>-2679.9336880064825</v>
      </c>
      <c r="AL177" s="129" t="str">
        <f t="shared" si="44"/>
        <v/>
      </c>
      <c r="AM177" s="129">
        <f t="shared" si="44"/>
        <v>-7011.6982511081951</v>
      </c>
      <c r="AN177" s="129" t="str">
        <f t="shared" si="44"/>
        <v/>
      </c>
      <c r="AO177" s="129">
        <f t="shared" si="44"/>
        <v>-10936.803460862375</v>
      </c>
      <c r="AP177" s="129" t="str">
        <f t="shared" si="44"/>
        <v/>
      </c>
    </row>
    <row r="178" spans="3:44" x14ac:dyDescent="0.25">
      <c r="C178" s="91"/>
      <c r="F178" t="s">
        <v>194</v>
      </c>
      <c r="G178" s="13" t="s">
        <v>1084</v>
      </c>
      <c r="H178" s="105"/>
      <c r="J178" s="101">
        <f t="shared" ref="J178:AP178" si="45" xml:space="preserve"> IF( J$19 &lt;&gt; 0, J$17 * thousand * J64 / hundred / J$19, "")</f>
        <v>0</v>
      </c>
      <c r="K178" s="101">
        <f t="shared" si="45"/>
        <v>6.0299831810168767</v>
      </c>
      <c r="L178" s="101" t="str">
        <f t="shared" si="45"/>
        <v/>
      </c>
      <c r="M178" s="101">
        <f t="shared" si="45"/>
        <v>0</v>
      </c>
      <c r="N178" s="101">
        <f t="shared" si="45"/>
        <v>24.072528139053823</v>
      </c>
      <c r="O178" s="101" t="str">
        <f t="shared" si="45"/>
        <v/>
      </c>
      <c r="P178" s="101">
        <f t="shared" si="45"/>
        <v>60.231304167599049</v>
      </c>
      <c r="Q178" s="101">
        <f t="shared" si="45"/>
        <v>0</v>
      </c>
      <c r="R178" s="101">
        <f t="shared" si="45"/>
        <v>0</v>
      </c>
      <c r="S178" s="101">
        <f t="shared" si="45"/>
        <v>10.479883113658204</v>
      </c>
      <c r="T178" s="101">
        <f t="shared" si="45"/>
        <v>235.96653699274097</v>
      </c>
      <c r="U178" s="101">
        <f t="shared" si="45"/>
        <v>692.20531655029083</v>
      </c>
      <c r="V178" s="101">
        <f t="shared" si="45"/>
        <v>2693.4496816108108</v>
      </c>
      <c r="W178" s="101">
        <f t="shared" si="45"/>
        <v>6648.6408435541007</v>
      </c>
      <c r="X178" s="101">
        <f t="shared" si="45"/>
        <v>0</v>
      </c>
      <c r="Y178" s="101">
        <f t="shared" si="45"/>
        <v>0</v>
      </c>
      <c r="Z178" s="101">
        <f t="shared" si="45"/>
        <v>0</v>
      </c>
      <c r="AA178" s="101">
        <f t="shared" si="45"/>
        <v>0</v>
      </c>
      <c r="AB178" s="101">
        <f t="shared" si="45"/>
        <v>14080.110657649511</v>
      </c>
      <c r="AC178" s="101" t="str">
        <f t="shared" si="45"/>
        <v/>
      </c>
      <c r="AD178" s="101" t="str">
        <f t="shared" si="45"/>
        <v/>
      </c>
      <c r="AE178" s="101">
        <f t="shared" si="45"/>
        <v>0</v>
      </c>
      <c r="AF178" s="101" t="str">
        <f t="shared" si="45"/>
        <v/>
      </c>
      <c r="AG178" s="101">
        <f t="shared" si="45"/>
        <v>-314.30121672779052</v>
      </c>
      <c r="AH178" s="101" t="str">
        <f t="shared" si="45"/>
        <v/>
      </c>
      <c r="AI178" s="101">
        <f t="shared" si="45"/>
        <v>0</v>
      </c>
      <c r="AJ178" s="101" t="str">
        <f t="shared" si="45"/>
        <v/>
      </c>
      <c r="AK178" s="101">
        <f t="shared" si="45"/>
        <v>-953.24884215359941</v>
      </c>
      <c r="AL178" s="101" t="str">
        <f t="shared" si="45"/>
        <v/>
      </c>
      <c r="AM178" s="101">
        <f t="shared" si="45"/>
        <v>0</v>
      </c>
      <c r="AN178" s="101" t="str">
        <f t="shared" si="45"/>
        <v/>
      </c>
      <c r="AO178" s="101">
        <f t="shared" si="45"/>
        <v>-2692.4008764363261</v>
      </c>
      <c r="AP178" s="101" t="str">
        <f t="shared" si="45"/>
        <v/>
      </c>
    </row>
    <row r="179" spans="3:44" x14ac:dyDescent="0.25">
      <c r="C179" s="91"/>
      <c r="F179" t="s">
        <v>195</v>
      </c>
      <c r="G179" s="13" t="s">
        <v>1084</v>
      </c>
      <c r="H179" s="105"/>
      <c r="J179" s="101">
        <f t="shared" ref="J179:AP179" si="46" xml:space="preserve"> IF( J$19 &lt;&gt; 0, J$18 * thousand * J65 / hundred / J$19, "")</f>
        <v>0</v>
      </c>
      <c r="K179" s="101">
        <f t="shared" si="46"/>
        <v>0</v>
      </c>
      <c r="L179" s="101" t="str">
        <f t="shared" si="46"/>
        <v/>
      </c>
      <c r="M179" s="101">
        <f t="shared" si="46"/>
        <v>0</v>
      </c>
      <c r="N179" s="101">
        <f t="shared" si="46"/>
        <v>0</v>
      </c>
      <c r="O179" s="101" t="str">
        <f t="shared" si="46"/>
        <v/>
      </c>
      <c r="P179" s="101">
        <f t="shared" si="46"/>
        <v>0</v>
      </c>
      <c r="Q179" s="101">
        <f t="shared" si="46"/>
        <v>0</v>
      </c>
      <c r="R179" s="101">
        <f t="shared" si="46"/>
        <v>0</v>
      </c>
      <c r="S179" s="101">
        <f t="shared" si="46"/>
        <v>9.101439889919126</v>
      </c>
      <c r="T179" s="101">
        <f t="shared" si="46"/>
        <v>136.63439358898273</v>
      </c>
      <c r="U179" s="101">
        <f t="shared" si="46"/>
        <v>466.17718906508554</v>
      </c>
      <c r="V179" s="101">
        <f t="shared" si="46"/>
        <v>2222.1390881803704</v>
      </c>
      <c r="W179" s="101">
        <f t="shared" si="46"/>
        <v>7913.2656924877019</v>
      </c>
      <c r="X179" s="101">
        <f t="shared" si="46"/>
        <v>0</v>
      </c>
      <c r="Y179" s="101">
        <f t="shared" si="46"/>
        <v>0</v>
      </c>
      <c r="Z179" s="101">
        <f t="shared" si="46"/>
        <v>0</v>
      </c>
      <c r="AA179" s="101">
        <f t="shared" si="46"/>
        <v>0</v>
      </c>
      <c r="AB179" s="101">
        <f t="shared" si="46"/>
        <v>49710.77919624294</v>
      </c>
      <c r="AC179" s="101" t="str">
        <f t="shared" si="46"/>
        <v/>
      </c>
      <c r="AD179" s="101" t="str">
        <f t="shared" si="46"/>
        <v/>
      </c>
      <c r="AE179" s="101">
        <f t="shared" si="46"/>
        <v>0</v>
      </c>
      <c r="AF179" s="101" t="str">
        <f t="shared" si="46"/>
        <v/>
      </c>
      <c r="AG179" s="101">
        <f t="shared" si="46"/>
        <v>-28.298534826444477</v>
      </c>
      <c r="AH179" s="101" t="str">
        <f t="shared" si="46"/>
        <v/>
      </c>
      <c r="AI179" s="101">
        <f t="shared" si="46"/>
        <v>0</v>
      </c>
      <c r="AJ179" s="101" t="str">
        <f t="shared" si="46"/>
        <v/>
      </c>
      <c r="AK179" s="101">
        <f t="shared" si="46"/>
        <v>-127.54453565106573</v>
      </c>
      <c r="AL179" s="101" t="str">
        <f t="shared" si="46"/>
        <v/>
      </c>
      <c r="AM179" s="101">
        <f t="shared" si="46"/>
        <v>0</v>
      </c>
      <c r="AN179" s="101" t="str">
        <f t="shared" si="46"/>
        <v/>
      </c>
      <c r="AO179" s="101">
        <f t="shared" si="46"/>
        <v>-244.06937916260529</v>
      </c>
      <c r="AP179" s="101" t="str">
        <f t="shared" si="46"/>
        <v/>
      </c>
    </row>
    <row r="180" spans="3:44" x14ac:dyDescent="0.25">
      <c r="C180" s="91"/>
      <c r="F180" s="23" t="s">
        <v>196</v>
      </c>
      <c r="G180" s="85" t="s">
        <v>1084</v>
      </c>
      <c r="H180" s="248"/>
      <c r="I180" s="23"/>
      <c r="J180" s="129">
        <f t="shared" ref="J180:AP180" si="47" xml:space="preserve"> IF( J$19 &lt;&gt; 0, J$19 * J66 * days_in_year / hundred / J$19, "")</f>
        <v>6.4605000000000006</v>
      </c>
      <c r="K180" s="129">
        <f t="shared" si="47"/>
        <v>6.4605000000000006</v>
      </c>
      <c r="L180" s="129" t="str">
        <f t="shared" si="47"/>
        <v/>
      </c>
      <c r="M180" s="129">
        <f t="shared" si="47"/>
        <v>12.811499999999999</v>
      </c>
      <c r="N180" s="129">
        <f t="shared" si="47"/>
        <v>12.811500000000002</v>
      </c>
      <c r="O180" s="129" t="str">
        <f t="shared" si="47"/>
        <v/>
      </c>
      <c r="P180" s="129">
        <f t="shared" si="47"/>
        <v>48.143499999999996</v>
      </c>
      <c r="Q180" s="129">
        <f t="shared" si="47"/>
        <v>0</v>
      </c>
      <c r="R180" s="129">
        <f t="shared" si="47"/>
        <v>0</v>
      </c>
      <c r="S180" s="129">
        <f t="shared" si="47"/>
        <v>6.4604999999999988</v>
      </c>
      <c r="T180" s="129">
        <f t="shared" si="47"/>
        <v>12.811499999999997</v>
      </c>
      <c r="U180" s="129">
        <f t="shared" si="47"/>
        <v>19.235499999999998</v>
      </c>
      <c r="V180" s="129">
        <f t="shared" si="47"/>
        <v>21.9</v>
      </c>
      <c r="W180" s="129">
        <f t="shared" si="47"/>
        <v>229.001</v>
      </c>
      <c r="X180" s="129">
        <f t="shared" si="47"/>
        <v>0</v>
      </c>
      <c r="Y180" s="129">
        <f t="shared" si="47"/>
        <v>0</v>
      </c>
      <c r="Z180" s="129">
        <f t="shared" si="47"/>
        <v>0</v>
      </c>
      <c r="AA180" s="129">
        <f t="shared" si="47"/>
        <v>0</v>
      </c>
      <c r="AB180" s="129">
        <f t="shared" si="47"/>
        <v>0</v>
      </c>
      <c r="AC180" s="129" t="str">
        <f t="shared" si="47"/>
        <v/>
      </c>
      <c r="AD180" s="129" t="str">
        <f t="shared" si="47"/>
        <v/>
      </c>
      <c r="AE180" s="129">
        <f t="shared" si="47"/>
        <v>0</v>
      </c>
      <c r="AF180" s="129" t="str">
        <f t="shared" si="47"/>
        <v/>
      </c>
      <c r="AG180" s="129">
        <f t="shared" si="47"/>
        <v>0</v>
      </c>
      <c r="AH180" s="129" t="str">
        <f t="shared" si="47"/>
        <v/>
      </c>
      <c r="AI180" s="129">
        <f t="shared" si="47"/>
        <v>0</v>
      </c>
      <c r="AJ180" s="129" t="str">
        <f t="shared" si="47"/>
        <v/>
      </c>
      <c r="AK180" s="129">
        <f t="shared" si="47"/>
        <v>0</v>
      </c>
      <c r="AL180" s="129" t="str">
        <f t="shared" si="47"/>
        <v/>
      </c>
      <c r="AM180" s="129">
        <f t="shared" si="47"/>
        <v>0</v>
      </c>
      <c r="AN180" s="129" t="str">
        <f t="shared" si="47"/>
        <v/>
      </c>
      <c r="AO180" s="129">
        <f t="shared" si="47"/>
        <v>0</v>
      </c>
      <c r="AP180" s="129" t="str">
        <f t="shared" si="47"/>
        <v/>
      </c>
    </row>
    <row r="181" spans="3:44" x14ac:dyDescent="0.25">
      <c r="C181" s="91"/>
      <c r="F181" t="s">
        <v>197</v>
      </c>
      <c r="G181" s="13" t="s">
        <v>1084</v>
      </c>
      <c r="H181" s="105"/>
      <c r="J181" s="101">
        <f t="shared" ref="J181:AP181" si="48" xml:space="preserve"> IF( J$19 &lt;&gt; 0, J$20 * J67 * days_in_year / hundred / J$19, "")</f>
        <v>0</v>
      </c>
      <c r="K181" s="101">
        <f t="shared" si="48"/>
        <v>0</v>
      </c>
      <c r="L181" s="101" t="str">
        <f t="shared" si="48"/>
        <v/>
      </c>
      <c r="M181" s="101">
        <f t="shared" si="48"/>
        <v>0</v>
      </c>
      <c r="N181" s="101">
        <f t="shared" si="48"/>
        <v>0</v>
      </c>
      <c r="O181" s="101" t="str">
        <f t="shared" si="48"/>
        <v/>
      </c>
      <c r="P181" s="101">
        <f t="shared" si="48"/>
        <v>0</v>
      </c>
      <c r="Q181" s="101">
        <f t="shared" si="48"/>
        <v>0</v>
      </c>
      <c r="R181" s="101">
        <f t="shared" si="48"/>
        <v>0</v>
      </c>
      <c r="S181" s="101">
        <f t="shared" si="48"/>
        <v>0</v>
      </c>
      <c r="T181" s="101">
        <f t="shared" si="48"/>
        <v>0</v>
      </c>
      <c r="U181" s="101">
        <f t="shared" si="48"/>
        <v>714.91163977650206</v>
      </c>
      <c r="V181" s="101">
        <f t="shared" si="48"/>
        <v>3460.4376864237388</v>
      </c>
      <c r="W181" s="101">
        <f t="shared" si="48"/>
        <v>10583.798965401831</v>
      </c>
      <c r="X181" s="101">
        <f t="shared" si="48"/>
        <v>0</v>
      </c>
      <c r="Y181" s="101">
        <f t="shared" si="48"/>
        <v>0</v>
      </c>
      <c r="Z181" s="101">
        <f t="shared" si="48"/>
        <v>0</v>
      </c>
      <c r="AA181" s="101">
        <f t="shared" si="48"/>
        <v>0</v>
      </c>
      <c r="AB181" s="101">
        <f t="shared" si="48"/>
        <v>0</v>
      </c>
      <c r="AC181" s="101" t="str">
        <f t="shared" si="48"/>
        <v/>
      </c>
      <c r="AD181" s="101" t="str">
        <f t="shared" si="48"/>
        <v/>
      </c>
      <c r="AE181" s="101">
        <f t="shared" si="48"/>
        <v>0</v>
      </c>
      <c r="AF181" s="101" t="str">
        <f t="shared" si="48"/>
        <v/>
      </c>
      <c r="AG181" s="101">
        <f t="shared" si="48"/>
        <v>0</v>
      </c>
      <c r="AH181" s="101" t="str">
        <f t="shared" si="48"/>
        <v/>
      </c>
      <c r="AI181" s="101">
        <f t="shared" si="48"/>
        <v>0</v>
      </c>
      <c r="AJ181" s="101" t="str">
        <f t="shared" si="48"/>
        <v/>
      </c>
      <c r="AK181" s="101">
        <f t="shared" si="48"/>
        <v>0</v>
      </c>
      <c r="AL181" s="101" t="str">
        <f t="shared" si="48"/>
        <v/>
      </c>
      <c r="AM181" s="101">
        <f t="shared" si="48"/>
        <v>0</v>
      </c>
      <c r="AN181" s="101" t="str">
        <f t="shared" si="48"/>
        <v/>
      </c>
      <c r="AO181" s="101">
        <f t="shared" si="48"/>
        <v>0</v>
      </c>
      <c r="AP181" s="101" t="str">
        <f t="shared" si="48"/>
        <v/>
      </c>
    </row>
    <row r="182" spans="3:44" x14ac:dyDescent="0.25">
      <c r="C182" s="91"/>
      <c r="F182" t="s">
        <v>198</v>
      </c>
      <c r="G182" s="13" t="s">
        <v>1084</v>
      </c>
      <c r="H182" s="105"/>
      <c r="J182" s="101">
        <f t="shared" ref="J182:AP182" si="49" xml:space="preserve"> IF( J$19 &lt;&gt; 0, J$21 * J68 * days_in_year / hundred / J$19, "")</f>
        <v>0</v>
      </c>
      <c r="K182" s="101">
        <f t="shared" si="49"/>
        <v>0</v>
      </c>
      <c r="L182" s="101" t="str">
        <f t="shared" si="49"/>
        <v/>
      </c>
      <c r="M182" s="101">
        <f t="shared" si="49"/>
        <v>0</v>
      </c>
      <c r="N182" s="101">
        <f t="shared" si="49"/>
        <v>0</v>
      </c>
      <c r="O182" s="101" t="str">
        <f t="shared" si="49"/>
        <v/>
      </c>
      <c r="P182" s="101">
        <f t="shared" si="49"/>
        <v>0</v>
      </c>
      <c r="Q182" s="101">
        <f t="shared" si="49"/>
        <v>0</v>
      </c>
      <c r="R182" s="101">
        <f t="shared" si="49"/>
        <v>0</v>
      </c>
      <c r="S182" s="101">
        <f t="shared" si="49"/>
        <v>0</v>
      </c>
      <c r="T182" s="101">
        <f t="shared" si="49"/>
        <v>0</v>
      </c>
      <c r="U182" s="101">
        <f t="shared" si="49"/>
        <v>31.707474493515043</v>
      </c>
      <c r="V182" s="101">
        <f t="shared" si="49"/>
        <v>117.88653624324901</v>
      </c>
      <c r="W182" s="101">
        <f t="shared" si="49"/>
        <v>387.85806310462476</v>
      </c>
      <c r="X182" s="101">
        <f t="shared" si="49"/>
        <v>0</v>
      </c>
      <c r="Y182" s="101">
        <f t="shared" si="49"/>
        <v>0</v>
      </c>
      <c r="Z182" s="101">
        <f t="shared" si="49"/>
        <v>0</v>
      </c>
      <c r="AA182" s="101">
        <f t="shared" si="49"/>
        <v>0</v>
      </c>
      <c r="AB182" s="101">
        <f t="shared" si="49"/>
        <v>0</v>
      </c>
      <c r="AC182" s="101" t="str">
        <f t="shared" si="49"/>
        <v/>
      </c>
      <c r="AD182" s="101" t="str">
        <f t="shared" si="49"/>
        <v/>
      </c>
      <c r="AE182" s="101">
        <f t="shared" si="49"/>
        <v>0</v>
      </c>
      <c r="AF182" s="101" t="str">
        <f t="shared" si="49"/>
        <v/>
      </c>
      <c r="AG182" s="101">
        <f t="shared" si="49"/>
        <v>0</v>
      </c>
      <c r="AH182" s="101" t="str">
        <f t="shared" si="49"/>
        <v/>
      </c>
      <c r="AI182" s="101">
        <f t="shared" si="49"/>
        <v>0</v>
      </c>
      <c r="AJ182" s="101" t="str">
        <f t="shared" si="49"/>
        <v/>
      </c>
      <c r="AK182" s="101">
        <f t="shared" si="49"/>
        <v>0</v>
      </c>
      <c r="AL182" s="101" t="str">
        <f t="shared" si="49"/>
        <v/>
      </c>
      <c r="AM182" s="101">
        <f t="shared" si="49"/>
        <v>0</v>
      </c>
      <c r="AN182" s="101" t="str">
        <f t="shared" si="49"/>
        <v/>
      </c>
      <c r="AO182" s="101">
        <f t="shared" si="49"/>
        <v>0</v>
      </c>
      <c r="AP182" s="101" t="str">
        <f t="shared" si="49"/>
        <v/>
      </c>
    </row>
    <row r="183" spans="3:44" x14ac:dyDescent="0.25">
      <c r="C183" s="91"/>
      <c r="F183" s="23" t="s">
        <v>199</v>
      </c>
      <c r="G183" s="85" t="s">
        <v>1084</v>
      </c>
      <c r="H183" s="248"/>
      <c r="I183" s="23"/>
      <c r="J183" s="129">
        <f t="shared" ref="J183:AP183" si="50" xml:space="preserve"> IF( J$19 &lt;&gt; 0, J$22 * thousand * J69 / hundred / J$19, "")</f>
        <v>0</v>
      </c>
      <c r="K183" s="129">
        <f t="shared" si="50"/>
        <v>0</v>
      </c>
      <c r="L183" s="129" t="str">
        <f t="shared" si="50"/>
        <v/>
      </c>
      <c r="M183" s="129">
        <f t="shared" si="50"/>
        <v>0</v>
      </c>
      <c r="N183" s="129">
        <f t="shared" si="50"/>
        <v>0</v>
      </c>
      <c r="O183" s="129" t="str">
        <f t="shared" si="50"/>
        <v/>
      </c>
      <c r="P183" s="129">
        <f t="shared" si="50"/>
        <v>0</v>
      </c>
      <c r="Q183" s="129">
        <f t="shared" si="50"/>
        <v>0</v>
      </c>
      <c r="R183" s="129">
        <f t="shared" si="50"/>
        <v>0</v>
      </c>
      <c r="S183" s="129">
        <f t="shared" si="50"/>
        <v>0</v>
      </c>
      <c r="T183" s="129">
        <f t="shared" si="50"/>
        <v>0</v>
      </c>
      <c r="U183" s="129">
        <f t="shared" si="50"/>
        <v>19.177368272649208</v>
      </c>
      <c r="V183" s="129">
        <f t="shared" si="50"/>
        <v>46.137938624545832</v>
      </c>
      <c r="W183" s="129">
        <f t="shared" si="50"/>
        <v>81.840921169734159</v>
      </c>
      <c r="X183" s="129">
        <f t="shared" si="50"/>
        <v>0</v>
      </c>
      <c r="Y183" s="129">
        <f t="shared" si="50"/>
        <v>0</v>
      </c>
      <c r="Z183" s="129">
        <f t="shared" si="50"/>
        <v>0</v>
      </c>
      <c r="AA183" s="129">
        <f t="shared" si="50"/>
        <v>0</v>
      </c>
      <c r="AB183" s="129">
        <f t="shared" si="50"/>
        <v>0</v>
      </c>
      <c r="AC183" s="129" t="str">
        <f t="shared" si="50"/>
        <v/>
      </c>
      <c r="AD183" s="129" t="str">
        <f t="shared" si="50"/>
        <v/>
      </c>
      <c r="AE183" s="129">
        <f t="shared" si="50"/>
        <v>7.0013683379799581</v>
      </c>
      <c r="AF183" s="129" t="str">
        <f t="shared" si="50"/>
        <v/>
      </c>
      <c r="AG183" s="129">
        <f t="shared" si="50"/>
        <v>10.344020837506459</v>
      </c>
      <c r="AH183" s="129" t="str">
        <f t="shared" si="50"/>
        <v/>
      </c>
      <c r="AI183" s="129">
        <f t="shared" si="50"/>
        <v>13.360970059240627</v>
      </c>
      <c r="AJ183" s="129" t="str">
        <f t="shared" si="50"/>
        <v/>
      </c>
      <c r="AK183" s="129">
        <f t="shared" si="50"/>
        <v>58.478946159752581</v>
      </c>
      <c r="AL183" s="129" t="str">
        <f t="shared" si="50"/>
        <v/>
      </c>
      <c r="AM183" s="129">
        <f t="shared" si="50"/>
        <v>26.276976718496513</v>
      </c>
      <c r="AN183" s="129" t="str">
        <f t="shared" si="50"/>
        <v/>
      </c>
      <c r="AO183" s="129">
        <f t="shared" si="50"/>
        <v>54.335352632076308</v>
      </c>
      <c r="AP183" s="129" t="str">
        <f t="shared" si="50"/>
        <v/>
      </c>
    </row>
    <row r="184" spans="3:44" x14ac:dyDescent="0.25">
      <c r="C184" s="91"/>
      <c r="F184" s="111" t="s">
        <v>102</v>
      </c>
      <c r="G184" s="244" t="s">
        <v>1084</v>
      </c>
      <c r="H184" s="249"/>
      <c r="I184" s="111"/>
      <c r="J184" s="157">
        <f t="shared" ref="J184:AP184" si="51">SUM(J177:J183)</f>
        <v>43.012149280975599</v>
      </c>
      <c r="K184" s="157">
        <f t="shared" si="51"/>
        <v>49.871317835820058</v>
      </c>
      <c r="L184" s="157">
        <f t="shared" si="51"/>
        <v>0</v>
      </c>
      <c r="M184" s="157">
        <f t="shared" si="51"/>
        <v>137.1835560492639</v>
      </c>
      <c r="N184" s="157">
        <f t="shared" si="51"/>
        <v>241.04412114387881</v>
      </c>
      <c r="O184" s="157">
        <f t="shared" si="51"/>
        <v>0</v>
      </c>
      <c r="P184" s="157">
        <f t="shared" si="51"/>
        <v>623.92864761078727</v>
      </c>
      <c r="Q184" s="157">
        <f t="shared" si="51"/>
        <v>0</v>
      </c>
      <c r="R184" s="157">
        <f t="shared" si="51"/>
        <v>0</v>
      </c>
      <c r="S184" s="157">
        <f t="shared" si="51"/>
        <v>43.4280909453935</v>
      </c>
      <c r="T184" s="157">
        <f t="shared" si="51"/>
        <v>681.20647710068783</v>
      </c>
      <c r="U184" s="157">
        <f t="shared" si="51"/>
        <v>2698.6495656852017</v>
      </c>
      <c r="V184" s="157">
        <f t="shared" si="51"/>
        <v>11233.987105936278</v>
      </c>
      <c r="W184" s="157">
        <f t="shared" si="51"/>
        <v>31153.014931025642</v>
      </c>
      <c r="X184" s="157">
        <f t="shared" si="51"/>
        <v>223.98994528504284</v>
      </c>
      <c r="Y184" s="157">
        <f t="shared" si="51"/>
        <v>232.87312626239898</v>
      </c>
      <c r="Z184" s="157">
        <f t="shared" si="51"/>
        <v>37.010695334570705</v>
      </c>
      <c r="AA184" s="157">
        <f t="shared" si="51"/>
        <v>358.3867643805151</v>
      </c>
      <c r="AB184" s="157">
        <f t="shared" si="51"/>
        <v>107751.7787794997</v>
      </c>
      <c r="AC184" s="157">
        <f t="shared" si="51"/>
        <v>0</v>
      </c>
      <c r="AD184" s="157">
        <f t="shared" si="51"/>
        <v>0</v>
      </c>
      <c r="AE184" s="157">
        <f t="shared" si="51"/>
        <v>-360.99585869937363</v>
      </c>
      <c r="AF184" s="157">
        <f t="shared" si="51"/>
        <v>0</v>
      </c>
      <c r="AG184" s="157">
        <f t="shared" si="51"/>
        <v>-1051.8547194722621</v>
      </c>
      <c r="AH184" s="157">
        <f t="shared" si="51"/>
        <v>0</v>
      </c>
      <c r="AI184" s="157">
        <f t="shared" si="51"/>
        <v>-669.22494426720016</v>
      </c>
      <c r="AJ184" s="157">
        <f t="shared" si="51"/>
        <v>0</v>
      </c>
      <c r="AK184" s="157">
        <f t="shared" si="51"/>
        <v>-3702.2481196513954</v>
      </c>
      <c r="AL184" s="157">
        <f t="shared" si="51"/>
        <v>0</v>
      </c>
      <c r="AM184" s="157">
        <f t="shared" si="51"/>
        <v>-6985.4212743896987</v>
      </c>
      <c r="AN184" s="157">
        <f t="shared" si="51"/>
        <v>0</v>
      </c>
      <c r="AO184" s="157">
        <f t="shared" si="51"/>
        <v>-13818.938363829229</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1087</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1088</v>
      </c>
      <c r="G190" s="28" t="s">
        <v>204</v>
      </c>
      <c r="J190" s="114">
        <f t="shared" ref="J190:AP190" si="52">IF( AND( ISNUMBER(J$124), J$124 &lt;&gt; 0), ( J$124 - J173 ) / J$124, "")</f>
        <v>0.30454452417930727</v>
      </c>
      <c r="K190" s="114">
        <f t="shared" si="52"/>
        <v>0.30443165890754703</v>
      </c>
      <c r="L190" s="114" t="str">
        <f t="shared" si="52"/>
        <v/>
      </c>
      <c r="M190" s="114">
        <f t="shared" si="52"/>
        <v>0.30423498813731553</v>
      </c>
      <c r="N190" s="114">
        <f t="shared" si="52"/>
        <v>0.30438793756094634</v>
      </c>
      <c r="O190" s="114" t="str">
        <f t="shared" si="52"/>
        <v/>
      </c>
      <c r="P190" s="114">
        <f t="shared" si="52"/>
        <v>0.30461695970161107</v>
      </c>
      <c r="Q190" s="114">
        <f t="shared" si="52"/>
        <v>1</v>
      </c>
      <c r="R190" s="114">
        <f t="shared" si="52"/>
        <v>1</v>
      </c>
      <c r="S190" s="114">
        <f t="shared" si="52"/>
        <v>0.30438221516116376</v>
      </c>
      <c r="T190" s="114">
        <f t="shared" si="52"/>
        <v>0.30436996431187502</v>
      </c>
      <c r="U190" s="114">
        <f t="shared" si="52"/>
        <v>0.30452221162451432</v>
      </c>
      <c r="V190" s="114">
        <f t="shared" si="52"/>
        <v>1</v>
      </c>
      <c r="W190" s="114">
        <f t="shared" si="52"/>
        <v>1</v>
      </c>
      <c r="X190" s="114">
        <f t="shared" si="52"/>
        <v>0.30429239269018271</v>
      </c>
      <c r="Y190" s="114">
        <f t="shared" si="52"/>
        <v>0.30444874274661499</v>
      </c>
      <c r="Z190" s="114">
        <f t="shared" si="52"/>
        <v>0.30455979351878409</v>
      </c>
      <c r="AA190" s="114">
        <f t="shared" si="52"/>
        <v>0.30438886267107129</v>
      </c>
      <c r="AB190" s="114">
        <f t="shared" si="52"/>
        <v>0.30441532136096411</v>
      </c>
      <c r="AC190" s="114" t="str">
        <f t="shared" si="52"/>
        <v/>
      </c>
      <c r="AD190" s="114" t="str">
        <f t="shared" si="52"/>
        <v/>
      </c>
      <c r="AE190" s="114">
        <f t="shared" si="52"/>
        <v>0</v>
      </c>
      <c r="AF190" s="114" t="str">
        <f t="shared" si="52"/>
        <v/>
      </c>
      <c r="AG190" s="114">
        <f t="shared" si="52"/>
        <v>0</v>
      </c>
      <c r="AH190" s="114" t="str">
        <f t="shared" si="52"/>
        <v/>
      </c>
      <c r="AI190" s="114">
        <f t="shared" si="52"/>
        <v>1</v>
      </c>
      <c r="AJ190" s="114" t="str">
        <f t="shared" si="52"/>
        <v/>
      </c>
      <c r="AK190" s="114">
        <f t="shared" si="52"/>
        <v>1</v>
      </c>
      <c r="AL190" s="114" t="str">
        <f t="shared" si="52"/>
        <v/>
      </c>
      <c r="AM190" s="114">
        <f t="shared" si="52"/>
        <v>1</v>
      </c>
      <c r="AN190" s="114" t="str">
        <f t="shared" si="52"/>
        <v/>
      </c>
      <c r="AO190" s="114">
        <f t="shared" si="52"/>
        <v>1</v>
      </c>
      <c r="AP190" s="114" t="str">
        <f t="shared" si="52"/>
        <v/>
      </c>
    </row>
    <row r="191" spans="3:44" x14ac:dyDescent="0.25">
      <c r="C191" s="91"/>
      <c r="D191" s="2"/>
      <c r="E191" t="s">
        <v>1089</v>
      </c>
      <c r="G191" s="28" t="s">
        <v>204</v>
      </c>
      <c r="J191" s="114">
        <f>IF( AND( ISNUMBER(J$124), J$124 &lt;&gt; 0), ( J$124 - J184 ) / J$124, "")</f>
        <v>0.4714897177743016</v>
      </c>
      <c r="K191" s="114">
        <f t="shared" ref="K191:AP191" si="53">IF( AND( ISNUMBER(K$124), K$124 &lt;&gt; 0), ( K$124 - K184 ) / K$124, "")</f>
        <v>0.4712162286654592</v>
      </c>
      <c r="L191" s="114" t="str">
        <f t="shared" si="53"/>
        <v/>
      </c>
      <c r="M191" s="114">
        <f t="shared" si="53"/>
        <v>0.47117994228815185</v>
      </c>
      <c r="N191" s="114">
        <f t="shared" si="53"/>
        <v>0.47117462033727375</v>
      </c>
      <c r="O191" s="114" t="str">
        <f t="shared" si="53"/>
        <v/>
      </c>
      <c r="P191" s="114">
        <f t="shared" si="53"/>
        <v>0.47121799437817669</v>
      </c>
      <c r="Q191" s="114">
        <f t="shared" si="53"/>
        <v>1</v>
      </c>
      <c r="R191" s="114">
        <f t="shared" si="53"/>
        <v>1</v>
      </c>
      <c r="S191" s="114">
        <f t="shared" si="53"/>
        <v>0.47130682703288873</v>
      </c>
      <c r="T191" s="114">
        <f t="shared" si="53"/>
        <v>0.47122352955874036</v>
      </c>
      <c r="U191" s="114">
        <f t="shared" si="53"/>
        <v>0.47110087097721204</v>
      </c>
      <c r="V191" s="114">
        <f t="shared" si="53"/>
        <v>0.22871495404284664</v>
      </c>
      <c r="W191" s="114">
        <f t="shared" si="53"/>
        <v>0.12578079595974459</v>
      </c>
      <c r="X191" s="114">
        <f t="shared" si="53"/>
        <v>0.47131321716957081</v>
      </c>
      <c r="Y191" s="114">
        <f t="shared" si="53"/>
        <v>0.47117988394584132</v>
      </c>
      <c r="Z191" s="114">
        <f t="shared" si="53"/>
        <v>0.47117866360768568</v>
      </c>
      <c r="AA191" s="114">
        <f t="shared" si="53"/>
        <v>0.47144879660217076</v>
      </c>
      <c r="AB191" s="114">
        <f t="shared" si="53"/>
        <v>0.47111372665795948</v>
      </c>
      <c r="AC191" s="114" t="str">
        <f t="shared" si="53"/>
        <v/>
      </c>
      <c r="AD191" s="114" t="str">
        <f t="shared" si="53"/>
        <v/>
      </c>
      <c r="AE191" s="114">
        <f t="shared" si="53"/>
        <v>0</v>
      </c>
      <c r="AF191" s="114" t="str">
        <f t="shared" si="53"/>
        <v/>
      </c>
      <c r="AG191" s="114">
        <f t="shared" si="53"/>
        <v>0</v>
      </c>
      <c r="AH191" s="114" t="str">
        <f t="shared" si="53"/>
        <v/>
      </c>
      <c r="AI191" s="114">
        <f t="shared" si="53"/>
        <v>-1.6987836256776543E-16</v>
      </c>
      <c r="AJ191" s="114" t="str">
        <f t="shared" si="53"/>
        <v/>
      </c>
      <c r="AK191" s="114">
        <f t="shared" si="53"/>
        <v>-1.2283005789716852E-16</v>
      </c>
      <c r="AL191" s="114" t="str">
        <f t="shared" si="53"/>
        <v/>
      </c>
      <c r="AM191" s="114">
        <f t="shared" si="53"/>
        <v>-2.4030126133760078E-2</v>
      </c>
      <c r="AN191" s="114" t="str">
        <f t="shared" si="53"/>
        <v/>
      </c>
      <c r="AO191" s="114">
        <f t="shared" si="53"/>
        <v>-1.2004489019285932E-2</v>
      </c>
      <c r="AP191" s="114" t="str">
        <f t="shared" si="53"/>
        <v/>
      </c>
    </row>
    <row r="192" spans="3:44" x14ac:dyDescent="0.25">
      <c r="C192" s="91"/>
      <c r="D192" s="2"/>
      <c r="E192" s="2"/>
      <c r="F192" s="105"/>
      <c r="G192" s="105"/>
    </row>
    <row r="193" spans="2:44" x14ac:dyDescent="0.25">
      <c r="B193" s="30" t="s">
        <v>281</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282</v>
      </c>
      <c r="G195" s="6" t="s">
        <v>57</v>
      </c>
      <c r="H195" s="26">
        <f t="array" ref="H195">SUM(IF(ISERROR($H$13:$AQ$191), 1))</f>
        <v>0</v>
      </c>
      <c r="I195" s="3"/>
    </row>
    <row r="196" spans="2:44" x14ac:dyDescent="0.25">
      <c r="F196" s="3"/>
      <c r="G196" s="3"/>
      <c r="H196" s="3"/>
      <c r="I196" s="3"/>
    </row>
    <row r="197" spans="2:44" x14ac:dyDescent="0.25">
      <c r="B197" s="30" t="s">
        <v>108</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87" activePane="bottomRight" state="frozen"/>
      <selection pane="topRight" activeCell="N50" sqref="N50"/>
      <selection pane="bottomLeft" activeCell="N50" sqref="N50"/>
      <selection pane="bottomRight" activeCell="J16" sqref="J16:P118"/>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146</v>
      </c>
      <c r="C5" s="60"/>
      <c r="D5" s="60"/>
      <c r="E5" s="60"/>
      <c r="F5" s="60"/>
      <c r="G5" s="61"/>
      <c r="H5" s="61" t="s">
        <v>1090</v>
      </c>
      <c r="J5" s="62" t="s">
        <v>1091</v>
      </c>
      <c r="K5" s="62" t="s">
        <v>1092</v>
      </c>
      <c r="L5" s="62" t="s">
        <v>1093</v>
      </c>
      <c r="M5" s="62" t="s">
        <v>1094</v>
      </c>
      <c r="N5" s="62" t="s">
        <v>1095</v>
      </c>
      <c r="O5" s="62" t="s">
        <v>1096</v>
      </c>
      <c r="P5" s="62" t="s">
        <v>1097</v>
      </c>
      <c r="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1098</v>
      </c>
    </row>
    <row r="11" spans="1:44" x14ac:dyDescent="0.25">
      <c r="B11" s="30" t="s">
        <v>98</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1099</v>
      </c>
    </row>
    <row r="16" spans="1:44" x14ac:dyDescent="0.25">
      <c r="F16" s="23" t="s">
        <v>149</v>
      </c>
      <c r="G16" s="23"/>
      <c r="H16" s="23" t="s">
        <v>1067</v>
      </c>
      <c r="I16" s="23"/>
      <c r="J16" s="250">
        <f t="array" ref="J16:P48">TRANSPOSE(Rounding!J89:AP95)</f>
        <v>2.085</v>
      </c>
      <c r="K16" s="250">
        <v>0</v>
      </c>
      <c r="L16" s="250">
        <v>0</v>
      </c>
      <c r="M16" s="251">
        <v>3.35</v>
      </c>
      <c r="N16" s="251">
        <v>0</v>
      </c>
      <c r="O16" s="251">
        <v>0</v>
      </c>
      <c r="P16" s="250">
        <v>0</v>
      </c>
    </row>
    <row r="17" spans="6:16" x14ac:dyDescent="0.25">
      <c r="F17" t="s">
        <v>150</v>
      </c>
      <c r="H17" t="s">
        <v>1067</v>
      </c>
      <c r="J17" s="252">
        <v>2.339</v>
      </c>
      <c r="K17" s="252">
        <v>0.83399999999999996</v>
      </c>
      <c r="L17" s="252">
        <v>0</v>
      </c>
      <c r="M17" s="253">
        <v>3.35</v>
      </c>
      <c r="N17" s="253">
        <v>0</v>
      </c>
      <c r="O17" s="253">
        <v>0</v>
      </c>
      <c r="P17" s="252">
        <v>0</v>
      </c>
    </row>
    <row r="18" spans="6:16" x14ac:dyDescent="0.25">
      <c r="F18" t="s">
        <v>151</v>
      </c>
      <c r="H18" t="s">
        <v>1067</v>
      </c>
      <c r="J18" s="252">
        <v>1.2030000000000001</v>
      </c>
      <c r="K18" s="252">
        <v>0</v>
      </c>
      <c r="L18" s="252">
        <v>0</v>
      </c>
      <c r="M18" s="253">
        <v>0</v>
      </c>
      <c r="N18" s="253">
        <v>0</v>
      </c>
      <c r="O18" s="253">
        <v>0</v>
      </c>
      <c r="P18" s="252">
        <v>0</v>
      </c>
    </row>
    <row r="19" spans="6:16" x14ac:dyDescent="0.25">
      <c r="F19" t="s">
        <v>152</v>
      </c>
      <c r="H19" t="s">
        <v>1067</v>
      </c>
      <c r="J19" s="252">
        <v>1.9590000000000001</v>
      </c>
      <c r="K19" s="252">
        <v>0</v>
      </c>
      <c r="L19" s="252">
        <v>0</v>
      </c>
      <c r="M19" s="253">
        <v>6.64</v>
      </c>
      <c r="N19" s="253">
        <v>0</v>
      </c>
      <c r="O19" s="253">
        <v>0</v>
      </c>
      <c r="P19" s="252">
        <v>0</v>
      </c>
    </row>
    <row r="20" spans="6:16" x14ac:dyDescent="0.25">
      <c r="F20" t="s">
        <v>153</v>
      </c>
      <c r="H20" t="s">
        <v>1067</v>
      </c>
      <c r="J20" s="252">
        <v>2.1160000000000001</v>
      </c>
      <c r="K20" s="252">
        <v>0.83</v>
      </c>
      <c r="L20" s="252">
        <v>0</v>
      </c>
      <c r="M20" s="253">
        <v>6.64</v>
      </c>
      <c r="N20" s="253">
        <v>0</v>
      </c>
      <c r="O20" s="253">
        <v>0</v>
      </c>
      <c r="P20" s="252">
        <v>0</v>
      </c>
    </row>
    <row r="21" spans="6:16" x14ac:dyDescent="0.25">
      <c r="F21" t="s">
        <v>154</v>
      </c>
      <c r="H21" t="s">
        <v>1067</v>
      </c>
      <c r="J21" s="252">
        <v>0.98599999999999999</v>
      </c>
      <c r="K21" s="252">
        <v>0</v>
      </c>
      <c r="L21" s="252">
        <v>0</v>
      </c>
      <c r="M21" s="253">
        <v>0</v>
      </c>
      <c r="N21" s="253">
        <v>0</v>
      </c>
      <c r="O21" s="253">
        <v>0</v>
      </c>
      <c r="P21" s="252">
        <v>0</v>
      </c>
    </row>
    <row r="22" spans="6:16" x14ac:dyDescent="0.25">
      <c r="F22" t="s">
        <v>155</v>
      </c>
      <c r="H22" t="s">
        <v>1067</v>
      </c>
      <c r="J22" s="252">
        <v>2.048</v>
      </c>
      <c r="K22" s="252">
        <v>0.82499999999999996</v>
      </c>
      <c r="L22" s="252">
        <v>0</v>
      </c>
      <c r="M22" s="253">
        <v>24.94</v>
      </c>
      <c r="N22" s="253">
        <v>0</v>
      </c>
      <c r="O22" s="253">
        <v>0</v>
      </c>
      <c r="P22" s="252">
        <v>0</v>
      </c>
    </row>
    <row r="23" spans="6:16" x14ac:dyDescent="0.25">
      <c r="F23" t="s">
        <v>156</v>
      </c>
      <c r="H23" t="s">
        <v>1067</v>
      </c>
      <c r="J23" s="252">
        <v>1.637</v>
      </c>
      <c r="K23" s="252">
        <v>0.81</v>
      </c>
      <c r="L23" s="252">
        <v>0</v>
      </c>
      <c r="M23" s="253">
        <v>4.28</v>
      </c>
      <c r="N23" s="253">
        <v>0</v>
      </c>
      <c r="O23" s="253">
        <v>0</v>
      </c>
      <c r="P23" s="252">
        <v>0</v>
      </c>
    </row>
    <row r="24" spans="6:16" x14ac:dyDescent="0.25">
      <c r="F24" t="s">
        <v>157</v>
      </c>
      <c r="H24" t="s">
        <v>1067</v>
      </c>
      <c r="J24" s="252">
        <v>1.2949999999999999</v>
      </c>
      <c r="K24" s="252">
        <v>0.79200000000000004</v>
      </c>
      <c r="L24" s="252">
        <v>0</v>
      </c>
      <c r="M24" s="253">
        <v>174.34</v>
      </c>
      <c r="N24" s="253">
        <v>0</v>
      </c>
      <c r="O24" s="253">
        <v>0</v>
      </c>
      <c r="P24" s="252">
        <v>0</v>
      </c>
    </row>
    <row r="25" spans="6:16" x14ac:dyDescent="0.25">
      <c r="F25" t="s">
        <v>158</v>
      </c>
      <c r="H25" t="s">
        <v>1067</v>
      </c>
      <c r="J25" s="252">
        <v>8.2260000000000009</v>
      </c>
      <c r="K25" s="252">
        <v>1.61</v>
      </c>
      <c r="L25" s="252">
        <v>0.83199999999999996</v>
      </c>
      <c r="M25" s="253">
        <v>3.35</v>
      </c>
      <c r="N25" s="253">
        <v>0</v>
      </c>
      <c r="O25" s="253">
        <v>0</v>
      </c>
      <c r="P25" s="252">
        <v>0</v>
      </c>
    </row>
    <row r="26" spans="6:16" x14ac:dyDescent="0.25">
      <c r="F26" t="s">
        <v>159</v>
      </c>
      <c r="H26" t="s">
        <v>1067</v>
      </c>
      <c r="J26" s="252">
        <v>7.7030000000000003</v>
      </c>
      <c r="K26" s="252">
        <v>1.5509999999999999</v>
      </c>
      <c r="L26" s="252">
        <v>0.82799999999999996</v>
      </c>
      <c r="M26" s="253">
        <v>6.64</v>
      </c>
      <c r="N26" s="253">
        <v>0</v>
      </c>
      <c r="O26" s="253">
        <v>0</v>
      </c>
      <c r="P26" s="252">
        <v>0</v>
      </c>
    </row>
    <row r="27" spans="6:16" x14ac:dyDescent="0.25">
      <c r="F27" t="s">
        <v>160</v>
      </c>
      <c r="H27" t="s">
        <v>1067</v>
      </c>
      <c r="J27" s="252">
        <v>5.7190000000000003</v>
      </c>
      <c r="K27" s="252">
        <v>1.31</v>
      </c>
      <c r="L27" s="252">
        <v>0.81299999999999994</v>
      </c>
      <c r="M27" s="253">
        <v>9.9600000000000009</v>
      </c>
      <c r="N27" s="253">
        <v>2.76</v>
      </c>
      <c r="O27" s="253">
        <v>5.79</v>
      </c>
      <c r="P27" s="252">
        <v>0.14599999999999999</v>
      </c>
    </row>
    <row r="28" spans="6:16" x14ac:dyDescent="0.25">
      <c r="F28" t="s">
        <v>161</v>
      </c>
      <c r="H28" t="s">
        <v>1067</v>
      </c>
      <c r="J28" s="252">
        <v>4.3209999999999997</v>
      </c>
      <c r="K28" s="252">
        <v>1.127</v>
      </c>
      <c r="L28" s="252">
        <v>0.8</v>
      </c>
      <c r="M28" s="253">
        <v>7.77</v>
      </c>
      <c r="N28" s="253">
        <v>3.44</v>
      </c>
      <c r="O28" s="253">
        <v>5.34</v>
      </c>
      <c r="P28" s="252">
        <v>0.10100000000000001</v>
      </c>
    </row>
    <row r="29" spans="6:16" x14ac:dyDescent="0.25">
      <c r="F29" t="s">
        <v>162</v>
      </c>
      <c r="H29" t="s">
        <v>1067</v>
      </c>
      <c r="J29" s="252">
        <v>2.9079999999999999</v>
      </c>
      <c r="K29" s="252">
        <v>0.95499999999999996</v>
      </c>
      <c r="L29" s="252">
        <v>0.78900000000000003</v>
      </c>
      <c r="M29" s="253">
        <v>71.75</v>
      </c>
      <c r="N29" s="253">
        <v>4.2</v>
      </c>
      <c r="O29" s="253">
        <v>6.22</v>
      </c>
      <c r="P29" s="252">
        <v>5.2999999999999999E-2</v>
      </c>
    </row>
    <row r="30" spans="6:16" x14ac:dyDescent="0.25">
      <c r="F30" t="s">
        <v>163</v>
      </c>
      <c r="H30" t="s">
        <v>1067</v>
      </c>
      <c r="J30" s="252">
        <v>2.3530000000000002</v>
      </c>
      <c r="K30" s="252">
        <v>0</v>
      </c>
      <c r="L30" s="252">
        <v>0</v>
      </c>
      <c r="M30" s="253">
        <v>0</v>
      </c>
      <c r="N30" s="253">
        <v>0</v>
      </c>
      <c r="O30" s="253">
        <v>0</v>
      </c>
      <c r="P30" s="252">
        <v>0</v>
      </c>
    </row>
    <row r="31" spans="6:16" x14ac:dyDescent="0.25">
      <c r="F31" t="s">
        <v>164</v>
      </c>
      <c r="H31" t="s">
        <v>1067</v>
      </c>
      <c r="J31" s="252">
        <v>2.585</v>
      </c>
      <c r="K31" s="252">
        <v>0</v>
      </c>
      <c r="L31" s="252">
        <v>0</v>
      </c>
      <c r="M31" s="253">
        <v>0</v>
      </c>
      <c r="N31" s="253">
        <v>0</v>
      </c>
      <c r="O31" s="253">
        <v>0</v>
      </c>
      <c r="P31" s="252">
        <v>0</v>
      </c>
    </row>
    <row r="32" spans="6:16" x14ac:dyDescent="0.25">
      <c r="F32" t="s">
        <v>165</v>
      </c>
      <c r="H32" t="s">
        <v>1067</v>
      </c>
      <c r="J32" s="252">
        <v>3.4870000000000001</v>
      </c>
      <c r="K32" s="252">
        <v>0</v>
      </c>
      <c r="L32" s="252">
        <v>0</v>
      </c>
      <c r="M32" s="253">
        <v>0</v>
      </c>
      <c r="N32" s="253">
        <v>0</v>
      </c>
      <c r="O32" s="253">
        <v>0</v>
      </c>
      <c r="P32" s="252">
        <v>0</v>
      </c>
    </row>
    <row r="33" spans="6:16" x14ac:dyDescent="0.25">
      <c r="F33" t="s">
        <v>166</v>
      </c>
      <c r="H33" t="s">
        <v>1067</v>
      </c>
      <c r="J33" s="252">
        <v>2.1190000000000002</v>
      </c>
      <c r="K33" s="252">
        <v>0</v>
      </c>
      <c r="L33" s="252">
        <v>0</v>
      </c>
      <c r="M33" s="253">
        <v>0</v>
      </c>
      <c r="N33" s="253">
        <v>0</v>
      </c>
      <c r="O33" s="253">
        <v>0</v>
      </c>
      <c r="P33" s="252">
        <v>0</v>
      </c>
    </row>
    <row r="34" spans="6:16" x14ac:dyDescent="0.25">
      <c r="F34" t="s">
        <v>167</v>
      </c>
      <c r="H34" t="s">
        <v>1067</v>
      </c>
      <c r="J34" s="252">
        <v>21.2</v>
      </c>
      <c r="K34" s="252">
        <v>2.1850000000000001</v>
      </c>
      <c r="L34" s="252">
        <v>1.5309999999999999</v>
      </c>
      <c r="M34" s="253">
        <v>0</v>
      </c>
      <c r="N34" s="253">
        <v>0</v>
      </c>
      <c r="O34" s="253">
        <v>0</v>
      </c>
      <c r="P34" s="252">
        <v>0</v>
      </c>
    </row>
    <row r="35" spans="6:16" x14ac:dyDescent="0.25">
      <c r="F35" t="s">
        <v>168</v>
      </c>
      <c r="H35" t="s">
        <v>1067</v>
      </c>
      <c r="J35" s="252">
        <v>-0.628</v>
      </c>
      <c r="K35" s="252">
        <v>0</v>
      </c>
      <c r="L35" s="252">
        <v>0</v>
      </c>
      <c r="M35" s="253">
        <v>0</v>
      </c>
      <c r="N35" s="253">
        <v>0</v>
      </c>
      <c r="O35" s="253">
        <v>0</v>
      </c>
      <c r="P35" s="252">
        <v>0</v>
      </c>
    </row>
    <row r="36" spans="6:16" x14ac:dyDescent="0.25">
      <c r="F36" t="s">
        <v>169</v>
      </c>
      <c r="H36" t="s">
        <v>1067</v>
      </c>
      <c r="J36" s="252">
        <v>-0.54800000000000004</v>
      </c>
      <c r="K36" s="252">
        <v>0</v>
      </c>
      <c r="L36" s="252">
        <v>0</v>
      </c>
      <c r="M36" s="253">
        <v>0</v>
      </c>
      <c r="N36" s="253">
        <v>0</v>
      </c>
      <c r="O36" s="253">
        <v>0</v>
      </c>
      <c r="P36" s="252">
        <v>0</v>
      </c>
    </row>
    <row r="37" spans="6:16" x14ac:dyDescent="0.25">
      <c r="F37" t="s">
        <v>170</v>
      </c>
      <c r="H37" t="s">
        <v>1067</v>
      </c>
      <c r="J37" s="252">
        <v>-0.628</v>
      </c>
      <c r="K37" s="252">
        <v>0</v>
      </c>
      <c r="L37" s="252">
        <v>0</v>
      </c>
      <c r="M37" s="253">
        <v>0</v>
      </c>
      <c r="N37" s="253">
        <v>0</v>
      </c>
      <c r="O37" s="253">
        <v>0</v>
      </c>
      <c r="P37" s="252">
        <v>0.14000000000000001</v>
      </c>
    </row>
    <row r="38" spans="6:16" x14ac:dyDescent="0.25">
      <c r="F38" t="s">
        <v>171</v>
      </c>
      <c r="H38" t="s">
        <v>1067</v>
      </c>
      <c r="J38" s="252">
        <v>-0.628</v>
      </c>
      <c r="K38" s="252">
        <v>0</v>
      </c>
      <c r="L38" s="252">
        <v>0</v>
      </c>
      <c r="M38" s="253">
        <v>0</v>
      </c>
      <c r="N38" s="253">
        <v>0</v>
      </c>
      <c r="O38" s="253">
        <v>0</v>
      </c>
      <c r="P38" s="252">
        <v>0</v>
      </c>
    </row>
    <row r="39" spans="6:16" x14ac:dyDescent="0.25">
      <c r="F39" t="s">
        <v>172</v>
      </c>
      <c r="H39" t="s">
        <v>1067</v>
      </c>
      <c r="J39" s="252">
        <v>-4.8959999999999999</v>
      </c>
      <c r="K39" s="252">
        <v>-0.54500000000000004</v>
      </c>
      <c r="L39" s="252">
        <v>-3.3000000000000002E-2</v>
      </c>
      <c r="M39" s="253">
        <v>0</v>
      </c>
      <c r="N39" s="253">
        <v>0</v>
      </c>
      <c r="O39" s="253">
        <v>0</v>
      </c>
      <c r="P39" s="252">
        <v>0.14000000000000001</v>
      </c>
    </row>
    <row r="40" spans="6:16" x14ac:dyDescent="0.25">
      <c r="F40" t="s">
        <v>173</v>
      </c>
      <c r="H40" t="s">
        <v>1067</v>
      </c>
      <c r="J40" s="252">
        <v>-4.8959999999999999</v>
      </c>
      <c r="K40" s="252">
        <v>-0.54500000000000004</v>
      </c>
      <c r="L40" s="252">
        <v>-3.3000000000000002E-2</v>
      </c>
      <c r="M40" s="253">
        <v>0</v>
      </c>
      <c r="N40" s="253">
        <v>0</v>
      </c>
      <c r="O40" s="253">
        <v>0</v>
      </c>
      <c r="P40" s="252">
        <v>0</v>
      </c>
    </row>
    <row r="41" spans="6:16" x14ac:dyDescent="0.25">
      <c r="F41" t="s">
        <v>174</v>
      </c>
      <c r="H41" t="s">
        <v>1067</v>
      </c>
      <c r="J41" s="252">
        <v>-0.54800000000000004</v>
      </c>
      <c r="K41" s="252">
        <v>0</v>
      </c>
      <c r="L41" s="252">
        <v>0</v>
      </c>
      <c r="M41" s="253">
        <v>0</v>
      </c>
      <c r="N41" s="253">
        <v>0</v>
      </c>
      <c r="O41" s="253">
        <v>0</v>
      </c>
      <c r="P41" s="252">
        <v>0.11899999999999999</v>
      </c>
    </row>
    <row r="42" spans="6:16" x14ac:dyDescent="0.25">
      <c r="F42" t="s">
        <v>175</v>
      </c>
      <c r="H42" t="s">
        <v>1067</v>
      </c>
      <c r="J42" s="252">
        <v>-0.54800000000000004</v>
      </c>
      <c r="K42" s="252">
        <v>0</v>
      </c>
      <c r="L42" s="252">
        <v>0</v>
      </c>
      <c r="M42" s="253">
        <v>0</v>
      </c>
      <c r="N42" s="253">
        <v>0</v>
      </c>
      <c r="O42" s="253">
        <v>0</v>
      </c>
      <c r="P42" s="252">
        <v>0</v>
      </c>
    </row>
    <row r="43" spans="6:16" x14ac:dyDescent="0.25">
      <c r="F43" t="s">
        <v>176</v>
      </c>
      <c r="H43" t="s">
        <v>1067</v>
      </c>
      <c r="J43" s="252">
        <v>-4.306</v>
      </c>
      <c r="K43" s="252">
        <v>-0.46800000000000003</v>
      </c>
      <c r="L43" s="252">
        <v>-2.8000000000000001E-2</v>
      </c>
      <c r="M43" s="253">
        <v>0</v>
      </c>
      <c r="N43" s="253">
        <v>0</v>
      </c>
      <c r="O43" s="253">
        <v>0</v>
      </c>
      <c r="P43" s="252">
        <v>0.11899999999999999</v>
      </c>
    </row>
    <row r="44" spans="6:16" x14ac:dyDescent="0.25">
      <c r="F44" t="s">
        <v>177</v>
      </c>
      <c r="H44" t="s">
        <v>1067</v>
      </c>
      <c r="J44" s="252">
        <v>-4.306</v>
      </c>
      <c r="K44" s="252">
        <v>-0.46800000000000003</v>
      </c>
      <c r="L44" s="252">
        <v>-2.8000000000000001E-2</v>
      </c>
      <c r="M44" s="253">
        <v>0</v>
      </c>
      <c r="N44" s="253">
        <v>0</v>
      </c>
      <c r="O44" s="253">
        <v>0</v>
      </c>
      <c r="P44" s="252">
        <v>0</v>
      </c>
    </row>
    <row r="45" spans="6:16" x14ac:dyDescent="0.25">
      <c r="F45" t="s">
        <v>178</v>
      </c>
      <c r="H45" t="s">
        <v>1067</v>
      </c>
      <c r="J45" s="252">
        <v>-0.34300000000000003</v>
      </c>
      <c r="K45" s="252">
        <v>0</v>
      </c>
      <c r="L45" s="252">
        <v>0</v>
      </c>
      <c r="M45" s="253">
        <v>44.91</v>
      </c>
      <c r="N45" s="253">
        <v>0</v>
      </c>
      <c r="O45" s="253">
        <v>0</v>
      </c>
      <c r="P45" s="252">
        <v>9.5000000000000001E-2</v>
      </c>
    </row>
    <row r="46" spans="6:16" x14ac:dyDescent="0.25">
      <c r="F46" t="s">
        <v>179</v>
      </c>
      <c r="H46" t="s">
        <v>1067</v>
      </c>
      <c r="J46" s="252">
        <v>-0.34300000000000003</v>
      </c>
      <c r="K46" s="252">
        <v>0</v>
      </c>
      <c r="L46" s="252">
        <v>0</v>
      </c>
      <c r="M46" s="253">
        <v>44.91</v>
      </c>
      <c r="N46" s="253">
        <v>0</v>
      </c>
      <c r="O46" s="253">
        <v>0</v>
      </c>
      <c r="P46" s="252">
        <v>0</v>
      </c>
    </row>
    <row r="47" spans="6:16" x14ac:dyDescent="0.25">
      <c r="F47" t="s">
        <v>180</v>
      </c>
      <c r="H47" t="s">
        <v>1067</v>
      </c>
      <c r="J47" s="252">
        <v>-2.8090000000000002</v>
      </c>
      <c r="K47" s="252">
        <v>-0.26700000000000002</v>
      </c>
      <c r="L47" s="252">
        <v>-1.4E-2</v>
      </c>
      <c r="M47" s="253">
        <v>44.91</v>
      </c>
      <c r="N47" s="253">
        <v>0</v>
      </c>
      <c r="O47" s="253">
        <v>0</v>
      </c>
      <c r="P47" s="252">
        <v>9.5000000000000001E-2</v>
      </c>
    </row>
    <row r="48" spans="6:16" x14ac:dyDescent="0.25">
      <c r="F48" s="37" t="s">
        <v>181</v>
      </c>
      <c r="G48" s="37"/>
      <c r="H48" s="37" t="s">
        <v>1067</v>
      </c>
      <c r="I48" s="37"/>
      <c r="J48" s="254">
        <v>-2.8090000000000002</v>
      </c>
      <c r="K48" s="254">
        <v>-0.26700000000000002</v>
      </c>
      <c r="L48" s="254">
        <v>-1.4E-2</v>
      </c>
      <c r="M48" s="255">
        <v>44.91</v>
      </c>
      <c r="N48" s="255">
        <v>0</v>
      </c>
      <c r="O48" s="255">
        <v>0</v>
      </c>
      <c r="P48" s="254">
        <v>0</v>
      </c>
    </row>
    <row r="49" spans="4:16" x14ac:dyDescent="0.25">
      <c r="F49" s="2"/>
      <c r="J49" s="14"/>
      <c r="K49" s="14"/>
      <c r="L49" s="14"/>
      <c r="M49" s="256"/>
      <c r="N49" s="256"/>
      <c r="O49" s="256"/>
      <c r="P49" s="14"/>
    </row>
    <row r="50" spans="4:16" x14ac:dyDescent="0.25">
      <c r="D50" s="32"/>
      <c r="E50" s="32" t="s">
        <v>1100</v>
      </c>
      <c r="F50" s="2"/>
      <c r="J50" s="14"/>
      <c r="K50" s="14"/>
      <c r="L50" s="14"/>
      <c r="M50" s="256"/>
      <c r="N50" s="256"/>
      <c r="O50" s="256"/>
      <c r="P50" s="14"/>
    </row>
    <row r="51" spans="4:16" x14ac:dyDescent="0.25">
      <c r="F51" s="23" t="s">
        <v>149</v>
      </c>
      <c r="G51" s="23"/>
      <c r="H51" s="23" t="s">
        <v>509</v>
      </c>
      <c r="I51" s="23"/>
      <c r="J51" s="250">
        <f t="array" ref="J51:P57">TRANSPOSE(Rounding!J98:P104)</f>
        <v>1.45</v>
      </c>
      <c r="K51" s="250">
        <v>0</v>
      </c>
      <c r="L51" s="250">
        <v>0</v>
      </c>
      <c r="M51" s="251">
        <v>2.33</v>
      </c>
      <c r="N51" s="251">
        <v>0</v>
      </c>
      <c r="O51" s="251">
        <v>0</v>
      </c>
      <c r="P51" s="250">
        <v>0</v>
      </c>
    </row>
    <row r="52" spans="4:16" x14ac:dyDescent="0.25">
      <c r="F52" t="s">
        <v>150</v>
      </c>
      <c r="H52" t="s">
        <v>509</v>
      </c>
      <c r="J52" s="252">
        <v>1.627</v>
      </c>
      <c r="K52" s="252">
        <v>0.57999999999999996</v>
      </c>
      <c r="L52" s="252">
        <v>0</v>
      </c>
      <c r="M52" s="253">
        <v>2.33</v>
      </c>
      <c r="N52" s="253">
        <v>0</v>
      </c>
      <c r="O52" s="253">
        <v>0</v>
      </c>
      <c r="P52" s="252">
        <v>0</v>
      </c>
    </row>
    <row r="53" spans="4:16" x14ac:dyDescent="0.25">
      <c r="F53" t="s">
        <v>151</v>
      </c>
      <c r="H53" t="s">
        <v>509</v>
      </c>
      <c r="J53" s="252">
        <v>0.83699999999999997</v>
      </c>
      <c r="K53" s="252">
        <v>0</v>
      </c>
      <c r="L53" s="252">
        <v>0</v>
      </c>
      <c r="M53" s="253">
        <v>0</v>
      </c>
      <c r="N53" s="253">
        <v>0</v>
      </c>
      <c r="O53" s="253">
        <v>0</v>
      </c>
      <c r="P53" s="252">
        <v>0</v>
      </c>
    </row>
    <row r="54" spans="4:16" x14ac:dyDescent="0.25">
      <c r="F54" t="s">
        <v>152</v>
      </c>
      <c r="H54" t="s">
        <v>509</v>
      </c>
      <c r="J54" s="252">
        <v>1.363</v>
      </c>
      <c r="K54" s="252">
        <v>0</v>
      </c>
      <c r="L54" s="252">
        <v>0</v>
      </c>
      <c r="M54" s="253">
        <v>4.62</v>
      </c>
      <c r="N54" s="253">
        <v>0</v>
      </c>
      <c r="O54" s="253">
        <v>0</v>
      </c>
      <c r="P54" s="252">
        <v>0</v>
      </c>
    </row>
    <row r="55" spans="4:16" x14ac:dyDescent="0.25">
      <c r="F55" t="s">
        <v>153</v>
      </c>
      <c r="H55" t="s">
        <v>509</v>
      </c>
      <c r="J55" s="252">
        <v>1.472</v>
      </c>
      <c r="K55" s="252">
        <v>0.57699999999999996</v>
      </c>
      <c r="L55" s="252">
        <v>0</v>
      </c>
      <c r="M55" s="253">
        <v>4.62</v>
      </c>
      <c r="N55" s="253">
        <v>0</v>
      </c>
      <c r="O55" s="253">
        <v>0</v>
      </c>
      <c r="P55" s="252">
        <v>0</v>
      </c>
    </row>
    <row r="56" spans="4:16" x14ac:dyDescent="0.25">
      <c r="F56" t="s">
        <v>154</v>
      </c>
      <c r="H56" t="s">
        <v>509</v>
      </c>
      <c r="J56" s="252">
        <v>0.68600000000000005</v>
      </c>
      <c r="K56" s="252">
        <v>0</v>
      </c>
      <c r="L56" s="252">
        <v>0</v>
      </c>
      <c r="M56" s="253">
        <v>0</v>
      </c>
      <c r="N56" s="253">
        <v>0</v>
      </c>
      <c r="O56" s="253">
        <v>0</v>
      </c>
      <c r="P56" s="252">
        <v>0</v>
      </c>
    </row>
    <row r="57" spans="4:16" x14ac:dyDescent="0.25">
      <c r="F57" t="s">
        <v>155</v>
      </c>
      <c r="H57" t="s">
        <v>509</v>
      </c>
      <c r="J57" s="252">
        <v>1.4239999999999999</v>
      </c>
      <c r="K57" s="252">
        <v>0.57399999999999995</v>
      </c>
      <c r="L57" s="252">
        <v>0</v>
      </c>
      <c r="M57" s="253">
        <v>17.350000000000001</v>
      </c>
      <c r="N57" s="253">
        <v>0</v>
      </c>
      <c r="O57" s="253">
        <v>0</v>
      </c>
      <c r="P57" s="252">
        <v>0</v>
      </c>
    </row>
    <row r="58" spans="4:16" x14ac:dyDescent="0.25">
      <c r="F58" t="s">
        <v>156</v>
      </c>
      <c r="H58" t="s">
        <v>509</v>
      </c>
      <c r="J58" s="257"/>
      <c r="K58" s="257"/>
      <c r="L58" s="257"/>
      <c r="M58" s="258"/>
      <c r="N58" s="258"/>
      <c r="O58" s="258"/>
      <c r="P58" s="257"/>
    </row>
    <row r="59" spans="4:16" x14ac:dyDescent="0.25">
      <c r="F59" t="s">
        <v>157</v>
      </c>
      <c r="H59" t="s">
        <v>509</v>
      </c>
      <c r="J59" s="257"/>
      <c r="K59" s="257"/>
      <c r="L59" s="257"/>
      <c r="M59" s="258"/>
      <c r="N59" s="258"/>
      <c r="O59" s="258"/>
      <c r="P59" s="257"/>
    </row>
    <row r="60" spans="4:16" x14ac:dyDescent="0.25">
      <c r="F60" t="s">
        <v>158</v>
      </c>
      <c r="H60" t="s">
        <v>509</v>
      </c>
      <c r="J60" s="252">
        <f t="array" ref="J60:P62">TRANSPOSE(Rounding!S98:U104)</f>
        <v>5.7210000000000001</v>
      </c>
      <c r="K60" s="252">
        <v>1.1200000000000001</v>
      </c>
      <c r="L60" s="252">
        <v>0.57899999999999996</v>
      </c>
      <c r="M60" s="253">
        <v>2.33</v>
      </c>
      <c r="N60" s="253">
        <v>0</v>
      </c>
      <c r="O60" s="253">
        <v>0</v>
      </c>
      <c r="P60" s="252">
        <v>0</v>
      </c>
    </row>
    <row r="61" spans="4:16" x14ac:dyDescent="0.25">
      <c r="F61" t="s">
        <v>159</v>
      </c>
      <c r="H61" t="s">
        <v>509</v>
      </c>
      <c r="J61" s="252">
        <v>5.3579999999999997</v>
      </c>
      <c r="K61" s="252">
        <v>1.079</v>
      </c>
      <c r="L61" s="252">
        <v>0.57599999999999996</v>
      </c>
      <c r="M61" s="253">
        <v>4.62</v>
      </c>
      <c r="N61" s="253">
        <v>0</v>
      </c>
      <c r="O61" s="253">
        <v>0</v>
      </c>
      <c r="P61" s="252">
        <v>0</v>
      </c>
    </row>
    <row r="62" spans="4:16" x14ac:dyDescent="0.25">
      <c r="F62" t="s">
        <v>160</v>
      </c>
      <c r="H62" t="s">
        <v>509</v>
      </c>
      <c r="J62" s="252">
        <v>3.9780000000000002</v>
      </c>
      <c r="K62" s="252">
        <v>0.91100000000000003</v>
      </c>
      <c r="L62" s="252">
        <v>0.56499999999999995</v>
      </c>
      <c r="M62" s="253">
        <v>6.93</v>
      </c>
      <c r="N62" s="253">
        <v>1.92</v>
      </c>
      <c r="O62" s="253">
        <v>4.03</v>
      </c>
      <c r="P62" s="252">
        <v>0.10199999999999999</v>
      </c>
    </row>
    <row r="63" spans="4:16" x14ac:dyDescent="0.25">
      <c r="F63" t="s">
        <v>161</v>
      </c>
      <c r="H63" t="s">
        <v>509</v>
      </c>
      <c r="J63" s="257"/>
      <c r="K63" s="257"/>
      <c r="L63" s="257"/>
      <c r="M63" s="258"/>
      <c r="N63" s="258"/>
      <c r="O63" s="258"/>
      <c r="P63" s="257"/>
    </row>
    <row r="64" spans="4:16" x14ac:dyDescent="0.25">
      <c r="F64" t="s">
        <v>162</v>
      </c>
      <c r="H64" t="s">
        <v>509</v>
      </c>
      <c r="J64" s="257"/>
      <c r="K64" s="257"/>
      <c r="L64" s="257"/>
      <c r="M64" s="258"/>
      <c r="N64" s="258"/>
      <c r="O64" s="258"/>
      <c r="P64" s="257"/>
    </row>
    <row r="65" spans="6:16" x14ac:dyDescent="0.25">
      <c r="F65" t="s">
        <v>163</v>
      </c>
      <c r="H65" t="s">
        <v>509</v>
      </c>
      <c r="J65" s="252">
        <f t="array" ref="J65:P70">TRANSPOSE(Rounding!X98:AC104)</f>
        <v>1.637</v>
      </c>
      <c r="K65" s="252">
        <v>0</v>
      </c>
      <c r="L65" s="252">
        <v>0</v>
      </c>
      <c r="M65" s="253">
        <v>0</v>
      </c>
      <c r="N65" s="253">
        <v>0</v>
      </c>
      <c r="O65" s="253">
        <v>0</v>
      </c>
      <c r="P65" s="252">
        <v>0</v>
      </c>
    </row>
    <row r="66" spans="6:16" x14ac:dyDescent="0.25">
      <c r="F66" t="s">
        <v>164</v>
      </c>
      <c r="H66" t="s">
        <v>509</v>
      </c>
      <c r="J66" s="252">
        <v>1.798</v>
      </c>
      <c r="K66" s="252">
        <v>0</v>
      </c>
      <c r="L66" s="252">
        <v>0</v>
      </c>
      <c r="M66" s="253">
        <v>0</v>
      </c>
      <c r="N66" s="253">
        <v>0</v>
      </c>
      <c r="O66" s="253">
        <v>0</v>
      </c>
      <c r="P66" s="252">
        <v>0</v>
      </c>
    </row>
    <row r="67" spans="6:16" x14ac:dyDescent="0.25">
      <c r="F67" t="s">
        <v>165</v>
      </c>
      <c r="H67" t="s">
        <v>509</v>
      </c>
      <c r="J67" s="252">
        <v>2.4249999999999998</v>
      </c>
      <c r="K67" s="252">
        <v>0</v>
      </c>
      <c r="L67" s="252">
        <v>0</v>
      </c>
      <c r="M67" s="253">
        <v>0</v>
      </c>
      <c r="N67" s="253">
        <v>0</v>
      </c>
      <c r="O67" s="253">
        <v>0</v>
      </c>
      <c r="P67" s="252">
        <v>0</v>
      </c>
    </row>
    <row r="68" spans="6:16" x14ac:dyDescent="0.25">
      <c r="F68" t="s">
        <v>166</v>
      </c>
      <c r="H68" t="s">
        <v>509</v>
      </c>
      <c r="J68" s="252">
        <v>1.474</v>
      </c>
      <c r="K68" s="252">
        <v>0</v>
      </c>
      <c r="L68" s="252">
        <v>0</v>
      </c>
      <c r="M68" s="253">
        <v>0</v>
      </c>
      <c r="N68" s="253">
        <v>0</v>
      </c>
      <c r="O68" s="253">
        <v>0</v>
      </c>
      <c r="P68" s="252">
        <v>0</v>
      </c>
    </row>
    <row r="69" spans="6:16" x14ac:dyDescent="0.25">
      <c r="F69" t="s">
        <v>167</v>
      </c>
      <c r="H69" t="s">
        <v>509</v>
      </c>
      <c r="J69" s="252">
        <v>14.744999999999999</v>
      </c>
      <c r="K69" s="252">
        <v>1.52</v>
      </c>
      <c r="L69" s="252">
        <v>1.0649999999999999</v>
      </c>
      <c r="M69" s="253">
        <v>0</v>
      </c>
      <c r="N69" s="253">
        <v>0</v>
      </c>
      <c r="O69" s="253">
        <v>0</v>
      </c>
      <c r="P69" s="252">
        <v>0</v>
      </c>
    </row>
    <row r="70" spans="6:16" x14ac:dyDescent="0.25">
      <c r="F70" t="s">
        <v>168</v>
      </c>
      <c r="H70" t="s">
        <v>509</v>
      </c>
      <c r="J70" s="252">
        <v>-0.628</v>
      </c>
      <c r="K70" s="252">
        <v>0</v>
      </c>
      <c r="L70" s="252">
        <v>0</v>
      </c>
      <c r="M70" s="253">
        <v>0</v>
      </c>
      <c r="N70" s="253">
        <v>0</v>
      </c>
      <c r="O70" s="253">
        <v>0</v>
      </c>
      <c r="P70" s="252">
        <v>0</v>
      </c>
    </row>
    <row r="71" spans="6:16" x14ac:dyDescent="0.25">
      <c r="F71" t="s">
        <v>169</v>
      </c>
      <c r="H71" t="s">
        <v>509</v>
      </c>
      <c r="J71" s="257"/>
      <c r="K71" s="257"/>
      <c r="L71" s="257"/>
      <c r="M71" s="258"/>
      <c r="N71" s="258"/>
      <c r="O71" s="258"/>
      <c r="P71" s="257"/>
    </row>
    <row r="72" spans="6:16" x14ac:dyDescent="0.25">
      <c r="F72" t="s">
        <v>170</v>
      </c>
      <c r="H72" t="s">
        <v>509</v>
      </c>
      <c r="J72" s="252">
        <f t="array" ref="J72:P72">TRANSPOSE(Rounding!AE98:AE104)</f>
        <v>-0.628</v>
      </c>
      <c r="K72" s="252">
        <v>0</v>
      </c>
      <c r="L72" s="252">
        <v>0</v>
      </c>
      <c r="M72" s="253">
        <v>0</v>
      </c>
      <c r="N72" s="253">
        <v>0</v>
      </c>
      <c r="O72" s="253">
        <v>0</v>
      </c>
      <c r="P72" s="252">
        <v>0.14000000000000001</v>
      </c>
    </row>
    <row r="73" spans="6:16" x14ac:dyDescent="0.25">
      <c r="F73" t="s">
        <v>171</v>
      </c>
      <c r="H73" t="s">
        <v>509</v>
      </c>
      <c r="J73" s="257"/>
      <c r="K73" s="257"/>
      <c r="L73" s="257"/>
      <c r="M73" s="258"/>
      <c r="N73" s="258"/>
      <c r="O73" s="258"/>
      <c r="P73" s="257"/>
    </row>
    <row r="74" spans="6:16" x14ac:dyDescent="0.25">
      <c r="F74" t="s">
        <v>172</v>
      </c>
      <c r="H74" t="s">
        <v>509</v>
      </c>
      <c r="J74" s="252">
        <f t="array" ref="J74:P74">TRANSPOSE(Rounding!AG98:AG104)</f>
        <v>-4.8959999999999999</v>
      </c>
      <c r="K74" s="252">
        <v>-0.54500000000000004</v>
      </c>
      <c r="L74" s="252">
        <v>-3.3000000000000002E-2</v>
      </c>
      <c r="M74" s="253">
        <v>0</v>
      </c>
      <c r="N74" s="253">
        <v>0</v>
      </c>
      <c r="O74" s="253">
        <v>0</v>
      </c>
      <c r="P74" s="252">
        <v>0.14000000000000001</v>
      </c>
    </row>
    <row r="75" spans="6:16" x14ac:dyDescent="0.25">
      <c r="F75" t="s">
        <v>173</v>
      </c>
      <c r="H75" t="s">
        <v>509</v>
      </c>
      <c r="J75" s="257"/>
      <c r="K75" s="257"/>
      <c r="L75" s="257"/>
      <c r="M75" s="258"/>
      <c r="N75" s="258"/>
      <c r="O75" s="258"/>
      <c r="P75" s="257"/>
    </row>
    <row r="76" spans="6:16" x14ac:dyDescent="0.25">
      <c r="F76" t="s">
        <v>174</v>
      </c>
      <c r="H76" t="s">
        <v>509</v>
      </c>
      <c r="J76" s="257"/>
      <c r="K76" s="257"/>
      <c r="L76" s="257"/>
      <c r="M76" s="258"/>
      <c r="N76" s="258"/>
      <c r="O76" s="258"/>
      <c r="P76" s="257"/>
    </row>
    <row r="77" spans="6:16" x14ac:dyDescent="0.25">
      <c r="F77" t="s">
        <v>175</v>
      </c>
      <c r="H77" t="s">
        <v>509</v>
      </c>
      <c r="J77" s="257"/>
      <c r="K77" s="257"/>
      <c r="L77" s="257"/>
      <c r="M77" s="258"/>
      <c r="N77" s="258"/>
      <c r="O77" s="258"/>
      <c r="P77" s="257"/>
    </row>
    <row r="78" spans="6:16" x14ac:dyDescent="0.25">
      <c r="F78" t="s">
        <v>176</v>
      </c>
      <c r="H78" t="s">
        <v>509</v>
      </c>
      <c r="J78" s="257"/>
      <c r="K78" s="257"/>
      <c r="L78" s="257"/>
      <c r="M78" s="258"/>
      <c r="N78" s="258"/>
      <c r="O78" s="258"/>
      <c r="P78" s="257"/>
    </row>
    <row r="79" spans="6:16" x14ac:dyDescent="0.25">
      <c r="F79" t="s">
        <v>177</v>
      </c>
      <c r="H79" t="s">
        <v>509</v>
      </c>
      <c r="J79" s="257"/>
      <c r="K79" s="257"/>
      <c r="L79" s="257"/>
      <c r="M79" s="258"/>
      <c r="N79" s="258"/>
      <c r="O79" s="258"/>
      <c r="P79" s="257"/>
    </row>
    <row r="80" spans="6:16" x14ac:dyDescent="0.25">
      <c r="F80" t="s">
        <v>178</v>
      </c>
      <c r="H80" t="s">
        <v>509</v>
      </c>
      <c r="J80" s="257"/>
      <c r="K80" s="257"/>
      <c r="L80" s="257"/>
      <c r="M80" s="258"/>
      <c r="N80" s="258"/>
      <c r="O80" s="258"/>
      <c r="P80" s="257"/>
    </row>
    <row r="81" spans="4:16" x14ac:dyDescent="0.25">
      <c r="F81" t="s">
        <v>179</v>
      </c>
      <c r="H81" t="s">
        <v>509</v>
      </c>
      <c r="J81" s="257"/>
      <c r="K81" s="257"/>
      <c r="L81" s="257"/>
      <c r="M81" s="258"/>
      <c r="N81" s="258"/>
      <c r="O81" s="258"/>
      <c r="P81" s="257"/>
    </row>
    <row r="82" spans="4:16" x14ac:dyDescent="0.25">
      <c r="F82" t="s">
        <v>180</v>
      </c>
      <c r="H82" t="s">
        <v>509</v>
      </c>
      <c r="J82" s="257"/>
      <c r="K82" s="257"/>
      <c r="L82" s="257"/>
      <c r="M82" s="258"/>
      <c r="N82" s="258"/>
      <c r="O82" s="258"/>
      <c r="P82" s="257"/>
    </row>
    <row r="83" spans="4:16" x14ac:dyDescent="0.25">
      <c r="F83" s="37" t="s">
        <v>181</v>
      </c>
      <c r="G83" s="37"/>
      <c r="H83" s="37" t="s">
        <v>509</v>
      </c>
      <c r="I83" s="37"/>
      <c r="J83" s="259"/>
      <c r="K83" s="259"/>
      <c r="L83" s="259"/>
      <c r="M83" s="260"/>
      <c r="N83" s="260"/>
      <c r="O83" s="260"/>
      <c r="P83" s="259"/>
    </row>
    <row r="84" spans="4:16" x14ac:dyDescent="0.25">
      <c r="D84"/>
      <c r="E84"/>
      <c r="M84" s="261"/>
      <c r="N84" s="261"/>
      <c r="O84" s="261"/>
    </row>
    <row r="85" spans="4:16" x14ac:dyDescent="0.25">
      <c r="D85" s="32"/>
      <c r="E85" s="32" t="s">
        <v>1101</v>
      </c>
      <c r="M85" s="261"/>
      <c r="N85" s="261"/>
      <c r="O85" s="261"/>
    </row>
    <row r="86" spans="4:16" x14ac:dyDescent="0.25">
      <c r="F86" s="23" t="s">
        <v>149</v>
      </c>
      <c r="G86" s="23"/>
      <c r="H86" s="23" t="s">
        <v>510</v>
      </c>
      <c r="I86" s="23"/>
      <c r="J86" s="250">
        <f t="array" ref="J86:P92">TRANSPOSE(Rounding!J107:P113)</f>
        <v>1.1020000000000001</v>
      </c>
      <c r="K86" s="250">
        <v>0</v>
      </c>
      <c r="L86" s="250">
        <v>0</v>
      </c>
      <c r="M86" s="251">
        <v>1.77</v>
      </c>
      <c r="N86" s="251">
        <v>0</v>
      </c>
      <c r="O86" s="251">
        <v>0</v>
      </c>
      <c r="P86" s="250">
        <v>0</v>
      </c>
    </row>
    <row r="87" spans="4:16" x14ac:dyDescent="0.25">
      <c r="F87" t="s">
        <v>150</v>
      </c>
      <c r="H87" t="s">
        <v>510</v>
      </c>
      <c r="J87" s="252">
        <v>1.2370000000000001</v>
      </c>
      <c r="K87" s="252">
        <v>0.441</v>
      </c>
      <c r="L87" s="252">
        <v>0</v>
      </c>
      <c r="M87" s="253">
        <v>1.77</v>
      </c>
      <c r="N87" s="253">
        <v>0</v>
      </c>
      <c r="O87" s="253">
        <v>0</v>
      </c>
      <c r="P87" s="252">
        <v>0</v>
      </c>
    </row>
    <row r="88" spans="4:16" x14ac:dyDescent="0.25">
      <c r="F88" t="s">
        <v>151</v>
      </c>
      <c r="H88" t="s">
        <v>510</v>
      </c>
      <c r="J88" s="252">
        <v>0.63600000000000001</v>
      </c>
      <c r="K88" s="252">
        <v>0</v>
      </c>
      <c r="L88" s="252">
        <v>0</v>
      </c>
      <c r="M88" s="253">
        <v>0</v>
      </c>
      <c r="N88" s="253">
        <v>0</v>
      </c>
      <c r="O88" s="253">
        <v>0</v>
      </c>
      <c r="P88" s="252">
        <v>0</v>
      </c>
    </row>
    <row r="89" spans="4:16" x14ac:dyDescent="0.25">
      <c r="F89" t="s">
        <v>152</v>
      </c>
      <c r="H89" t="s">
        <v>510</v>
      </c>
      <c r="J89" s="252">
        <v>1.036</v>
      </c>
      <c r="K89" s="252">
        <v>0</v>
      </c>
      <c r="L89" s="252">
        <v>0</v>
      </c>
      <c r="M89" s="253">
        <v>3.51</v>
      </c>
      <c r="N89" s="253">
        <v>0</v>
      </c>
      <c r="O89" s="253">
        <v>0</v>
      </c>
      <c r="P89" s="252">
        <v>0</v>
      </c>
    </row>
    <row r="90" spans="4:16" x14ac:dyDescent="0.25">
      <c r="F90" t="s">
        <v>153</v>
      </c>
      <c r="H90" t="s">
        <v>510</v>
      </c>
      <c r="J90" s="252">
        <v>1.119</v>
      </c>
      <c r="K90" s="252">
        <v>0.439</v>
      </c>
      <c r="L90" s="252">
        <v>0</v>
      </c>
      <c r="M90" s="253">
        <v>3.51</v>
      </c>
      <c r="N90" s="253">
        <v>0</v>
      </c>
      <c r="O90" s="253">
        <v>0</v>
      </c>
      <c r="P90" s="252">
        <v>0</v>
      </c>
    </row>
    <row r="91" spans="4:16" x14ac:dyDescent="0.25">
      <c r="F91" t="s">
        <v>154</v>
      </c>
      <c r="H91" t="s">
        <v>510</v>
      </c>
      <c r="J91" s="252">
        <v>0.52100000000000002</v>
      </c>
      <c r="K91" s="252">
        <v>0</v>
      </c>
      <c r="L91" s="252">
        <v>0</v>
      </c>
      <c r="M91" s="253">
        <v>0</v>
      </c>
      <c r="N91" s="253">
        <v>0</v>
      </c>
      <c r="O91" s="253">
        <v>0</v>
      </c>
      <c r="P91" s="252">
        <v>0</v>
      </c>
    </row>
    <row r="92" spans="4:16" x14ac:dyDescent="0.25">
      <c r="F92" t="s">
        <v>155</v>
      </c>
      <c r="H92" t="s">
        <v>510</v>
      </c>
      <c r="J92" s="252">
        <v>1.083</v>
      </c>
      <c r="K92" s="252">
        <v>0.436</v>
      </c>
      <c r="L92" s="252">
        <v>0</v>
      </c>
      <c r="M92" s="253">
        <v>13.19</v>
      </c>
      <c r="N92" s="253">
        <v>0</v>
      </c>
      <c r="O92" s="253">
        <v>0</v>
      </c>
      <c r="P92" s="252">
        <v>0</v>
      </c>
    </row>
    <row r="93" spans="4:16" x14ac:dyDescent="0.25">
      <c r="F93" t="s">
        <v>156</v>
      </c>
      <c r="H93" t="s">
        <v>510</v>
      </c>
      <c r="J93" s="257"/>
      <c r="K93" s="257"/>
      <c r="L93" s="257"/>
      <c r="M93" s="258"/>
      <c r="N93" s="258"/>
      <c r="O93" s="258"/>
      <c r="P93" s="257"/>
    </row>
    <row r="94" spans="4:16" x14ac:dyDescent="0.25">
      <c r="F94" t="s">
        <v>157</v>
      </c>
      <c r="H94" t="s">
        <v>510</v>
      </c>
      <c r="J94" s="257"/>
      <c r="K94" s="257"/>
      <c r="L94" s="257"/>
      <c r="M94" s="258"/>
      <c r="N94" s="258"/>
      <c r="O94" s="258"/>
      <c r="P94" s="257"/>
    </row>
    <row r="95" spans="4:16" x14ac:dyDescent="0.25">
      <c r="F95" t="s">
        <v>158</v>
      </c>
      <c r="H95" t="s">
        <v>510</v>
      </c>
      <c r="J95" s="252">
        <f t="array" ref="J95:P107">TRANSPOSE(Rounding!S107:AE113)</f>
        <v>4.3499999999999996</v>
      </c>
      <c r="K95" s="252">
        <v>0.85099999999999998</v>
      </c>
      <c r="L95" s="252">
        <v>0.44</v>
      </c>
      <c r="M95" s="253">
        <v>1.77</v>
      </c>
      <c r="N95" s="253">
        <v>0</v>
      </c>
      <c r="O95" s="253">
        <v>0</v>
      </c>
      <c r="P95" s="252">
        <v>0</v>
      </c>
    </row>
    <row r="96" spans="4:16" x14ac:dyDescent="0.25">
      <c r="F96" t="s">
        <v>159</v>
      </c>
      <c r="H96" t="s">
        <v>510</v>
      </c>
      <c r="J96" s="252">
        <v>4.0730000000000004</v>
      </c>
      <c r="K96" s="252">
        <v>0.82</v>
      </c>
      <c r="L96" s="252">
        <v>0.438</v>
      </c>
      <c r="M96" s="253">
        <v>3.51</v>
      </c>
      <c r="N96" s="253">
        <v>0</v>
      </c>
      <c r="O96" s="253">
        <v>0</v>
      </c>
      <c r="P96" s="252">
        <v>0</v>
      </c>
    </row>
    <row r="97" spans="6:16" x14ac:dyDescent="0.25">
      <c r="F97" t="s">
        <v>160</v>
      </c>
      <c r="H97" t="s">
        <v>510</v>
      </c>
      <c r="J97" s="252">
        <v>3.024</v>
      </c>
      <c r="K97" s="252">
        <v>0.69299999999999995</v>
      </c>
      <c r="L97" s="252">
        <v>0.43</v>
      </c>
      <c r="M97" s="253">
        <v>5.27</v>
      </c>
      <c r="N97" s="253">
        <v>1.46</v>
      </c>
      <c r="O97" s="253">
        <v>3.06</v>
      </c>
      <c r="P97" s="252">
        <v>7.6999999999999999E-2</v>
      </c>
    </row>
    <row r="98" spans="6:16" x14ac:dyDescent="0.25">
      <c r="F98" t="s">
        <v>161</v>
      </c>
      <c r="H98" t="s">
        <v>510</v>
      </c>
      <c r="J98" s="252">
        <v>3.335</v>
      </c>
      <c r="K98" s="252">
        <v>0.87</v>
      </c>
      <c r="L98" s="252">
        <v>0.61699999999999999</v>
      </c>
      <c r="M98" s="253">
        <v>6</v>
      </c>
      <c r="N98" s="253">
        <v>2.65</v>
      </c>
      <c r="O98" s="253">
        <v>4.12</v>
      </c>
      <c r="P98" s="252">
        <v>7.8E-2</v>
      </c>
    </row>
    <row r="99" spans="6:16" x14ac:dyDescent="0.25">
      <c r="F99" t="s">
        <v>162</v>
      </c>
      <c r="H99" t="s">
        <v>510</v>
      </c>
      <c r="J99" s="252">
        <v>2.5430000000000001</v>
      </c>
      <c r="K99" s="252">
        <v>0.83499999999999996</v>
      </c>
      <c r="L99" s="252">
        <v>0.69</v>
      </c>
      <c r="M99" s="253">
        <v>62.74</v>
      </c>
      <c r="N99" s="253">
        <v>3.67</v>
      </c>
      <c r="O99" s="253">
        <v>5.44</v>
      </c>
      <c r="P99" s="252">
        <v>4.5999999999999999E-2</v>
      </c>
    </row>
    <row r="100" spans="6:16" x14ac:dyDescent="0.25">
      <c r="F100" t="s">
        <v>163</v>
      </c>
      <c r="H100" t="s">
        <v>510</v>
      </c>
      <c r="J100" s="252">
        <v>1.244</v>
      </c>
      <c r="K100" s="252">
        <v>0</v>
      </c>
      <c r="L100" s="252">
        <v>0</v>
      </c>
      <c r="M100" s="253">
        <v>0</v>
      </c>
      <c r="N100" s="253">
        <v>0</v>
      </c>
      <c r="O100" s="253">
        <v>0</v>
      </c>
      <c r="P100" s="252">
        <v>0</v>
      </c>
    </row>
    <row r="101" spans="6:16" x14ac:dyDescent="0.25">
      <c r="F101" t="s">
        <v>164</v>
      </c>
      <c r="H101" t="s">
        <v>510</v>
      </c>
      <c r="J101" s="252">
        <v>1.367</v>
      </c>
      <c r="K101" s="252">
        <v>0</v>
      </c>
      <c r="L101" s="252">
        <v>0</v>
      </c>
      <c r="M101" s="253">
        <v>0</v>
      </c>
      <c r="N101" s="253">
        <v>0</v>
      </c>
      <c r="O101" s="253">
        <v>0</v>
      </c>
      <c r="P101" s="252">
        <v>0</v>
      </c>
    </row>
    <row r="102" spans="6:16" x14ac:dyDescent="0.25">
      <c r="F102" t="s">
        <v>165</v>
      </c>
      <c r="H102" t="s">
        <v>510</v>
      </c>
      <c r="J102" s="252">
        <v>1.8440000000000001</v>
      </c>
      <c r="K102" s="252">
        <v>0</v>
      </c>
      <c r="L102" s="252">
        <v>0</v>
      </c>
      <c r="M102" s="253">
        <v>0</v>
      </c>
      <c r="N102" s="253">
        <v>0</v>
      </c>
      <c r="O102" s="253">
        <v>0</v>
      </c>
      <c r="P102" s="252">
        <v>0</v>
      </c>
    </row>
    <row r="103" spans="6:16" x14ac:dyDescent="0.25">
      <c r="F103" t="s">
        <v>166</v>
      </c>
      <c r="H103" t="s">
        <v>510</v>
      </c>
      <c r="J103" s="252">
        <v>1.1200000000000001</v>
      </c>
      <c r="K103" s="252">
        <v>0</v>
      </c>
      <c r="L103" s="252">
        <v>0</v>
      </c>
      <c r="M103" s="253">
        <v>0</v>
      </c>
      <c r="N103" s="253">
        <v>0</v>
      </c>
      <c r="O103" s="253">
        <v>0</v>
      </c>
      <c r="P103" s="252">
        <v>0</v>
      </c>
    </row>
    <row r="104" spans="6:16" x14ac:dyDescent="0.25">
      <c r="F104" t="s">
        <v>167</v>
      </c>
      <c r="H104" t="s">
        <v>510</v>
      </c>
      <c r="J104" s="252">
        <v>11.21</v>
      </c>
      <c r="K104" s="252">
        <v>1.155</v>
      </c>
      <c r="L104" s="252">
        <v>0.81</v>
      </c>
      <c r="M104" s="253">
        <v>0</v>
      </c>
      <c r="N104" s="253">
        <v>0</v>
      </c>
      <c r="O104" s="253">
        <v>0</v>
      </c>
      <c r="P104" s="252">
        <v>0</v>
      </c>
    </row>
    <row r="105" spans="6:16" x14ac:dyDescent="0.25">
      <c r="F105" t="s">
        <v>168</v>
      </c>
      <c r="H105" t="s">
        <v>510</v>
      </c>
      <c r="J105" s="252">
        <v>-0.628</v>
      </c>
      <c r="K105" s="252">
        <v>0</v>
      </c>
      <c r="L105" s="252">
        <v>0</v>
      </c>
      <c r="M105" s="253">
        <v>0</v>
      </c>
      <c r="N105" s="253">
        <v>0</v>
      </c>
      <c r="O105" s="253">
        <v>0</v>
      </c>
      <c r="P105" s="252">
        <v>0</v>
      </c>
    </row>
    <row r="106" spans="6:16" x14ac:dyDescent="0.25">
      <c r="F106" t="s">
        <v>169</v>
      </c>
      <c r="H106" t="s">
        <v>510</v>
      </c>
      <c r="J106" s="252">
        <v>-0.54800000000000004</v>
      </c>
      <c r="K106" s="252">
        <v>0</v>
      </c>
      <c r="L106" s="252">
        <v>0</v>
      </c>
      <c r="M106" s="253">
        <v>0</v>
      </c>
      <c r="N106" s="253">
        <v>0</v>
      </c>
      <c r="O106" s="253">
        <v>0</v>
      </c>
      <c r="P106" s="252">
        <v>0</v>
      </c>
    </row>
    <row r="107" spans="6:16" x14ac:dyDescent="0.25">
      <c r="F107" t="s">
        <v>170</v>
      </c>
      <c r="H107" t="s">
        <v>510</v>
      </c>
      <c r="J107" s="252">
        <v>-0.628</v>
      </c>
      <c r="K107" s="252">
        <v>0</v>
      </c>
      <c r="L107" s="252">
        <v>0</v>
      </c>
      <c r="M107" s="253">
        <v>0</v>
      </c>
      <c r="N107" s="253">
        <v>0</v>
      </c>
      <c r="O107" s="253">
        <v>0</v>
      </c>
      <c r="P107" s="252">
        <v>0.14000000000000001</v>
      </c>
    </row>
    <row r="108" spans="6:16" x14ac:dyDescent="0.25">
      <c r="F108" t="s">
        <v>171</v>
      </c>
      <c r="H108" t="s">
        <v>510</v>
      </c>
      <c r="J108" s="257"/>
      <c r="K108" s="257"/>
      <c r="L108" s="257"/>
      <c r="M108" s="258"/>
      <c r="N108" s="258"/>
      <c r="O108" s="258"/>
      <c r="P108" s="257"/>
    </row>
    <row r="109" spans="6:16" x14ac:dyDescent="0.25">
      <c r="F109" t="s">
        <v>172</v>
      </c>
      <c r="H109" t="s">
        <v>510</v>
      </c>
      <c r="J109" s="252">
        <f t="array" ref="J109:P109">TRANSPOSE(Rounding!AG107:AG113)</f>
        <v>-4.8959999999999999</v>
      </c>
      <c r="K109" s="252">
        <v>-0.54500000000000004</v>
      </c>
      <c r="L109" s="252">
        <v>-3.3000000000000002E-2</v>
      </c>
      <c r="M109" s="253">
        <v>0</v>
      </c>
      <c r="N109" s="253">
        <v>0</v>
      </c>
      <c r="O109" s="253">
        <v>0</v>
      </c>
      <c r="P109" s="252">
        <v>0.14000000000000001</v>
      </c>
    </row>
    <row r="110" spans="6:16" x14ac:dyDescent="0.25">
      <c r="F110" t="s">
        <v>173</v>
      </c>
      <c r="H110" t="s">
        <v>510</v>
      </c>
      <c r="J110" s="257"/>
      <c r="K110" s="257"/>
      <c r="L110" s="257"/>
      <c r="M110" s="258"/>
      <c r="N110" s="258"/>
      <c r="O110" s="258"/>
      <c r="P110" s="257"/>
    </row>
    <row r="111" spans="6:16" x14ac:dyDescent="0.25">
      <c r="F111" t="s">
        <v>174</v>
      </c>
      <c r="H111" t="s">
        <v>510</v>
      </c>
      <c r="J111" s="252">
        <f t="array" ref="J111:P111">TRANSPOSE(Rounding!AI107:AI113)</f>
        <v>-0.54800000000000004</v>
      </c>
      <c r="K111" s="252">
        <v>0</v>
      </c>
      <c r="L111" s="252">
        <v>0</v>
      </c>
      <c r="M111" s="253">
        <v>0</v>
      </c>
      <c r="N111" s="253">
        <v>0</v>
      </c>
      <c r="O111" s="253">
        <v>0</v>
      </c>
      <c r="P111" s="252">
        <v>0.11899999999999999</v>
      </c>
    </row>
    <row r="112" spans="6:16" x14ac:dyDescent="0.25">
      <c r="F112" t="s">
        <v>175</v>
      </c>
      <c r="H112" t="s">
        <v>510</v>
      </c>
      <c r="J112" s="257"/>
      <c r="K112" s="257"/>
      <c r="L112" s="257"/>
      <c r="M112" s="258"/>
      <c r="N112" s="258"/>
      <c r="O112" s="258"/>
      <c r="P112" s="257"/>
    </row>
    <row r="113" spans="2:19" x14ac:dyDescent="0.25">
      <c r="F113" t="s">
        <v>176</v>
      </c>
      <c r="H113" t="s">
        <v>510</v>
      </c>
      <c r="J113" s="252">
        <f t="array" ref="J113:P113">TRANSPOSE(Rounding!AK107:AK113)</f>
        <v>-4.306</v>
      </c>
      <c r="K113" s="252">
        <v>-0.46800000000000003</v>
      </c>
      <c r="L113" s="252">
        <v>-2.8000000000000001E-2</v>
      </c>
      <c r="M113" s="253">
        <v>0</v>
      </c>
      <c r="N113" s="253">
        <v>0</v>
      </c>
      <c r="O113" s="253">
        <v>0</v>
      </c>
      <c r="P113" s="252">
        <v>0.11899999999999999</v>
      </c>
    </row>
    <row r="114" spans="2:19" x14ac:dyDescent="0.25">
      <c r="F114" t="s">
        <v>177</v>
      </c>
      <c r="H114" t="s">
        <v>510</v>
      </c>
      <c r="J114" s="257"/>
      <c r="K114" s="257"/>
      <c r="L114" s="257"/>
      <c r="M114" s="258"/>
      <c r="N114" s="258"/>
      <c r="O114" s="258"/>
      <c r="P114" s="257"/>
    </row>
    <row r="115" spans="2:19" x14ac:dyDescent="0.25">
      <c r="F115" t="s">
        <v>178</v>
      </c>
      <c r="H115" t="s">
        <v>510</v>
      </c>
      <c r="J115" s="252">
        <f t="array" ref="J115:P115">TRANSPOSE(Rounding!AM107:AM113)</f>
        <v>-0.34300000000000003</v>
      </c>
      <c r="K115" s="252">
        <v>0</v>
      </c>
      <c r="L115" s="252">
        <v>0</v>
      </c>
      <c r="M115" s="253">
        <v>0</v>
      </c>
      <c r="N115" s="253">
        <v>0</v>
      </c>
      <c r="O115" s="253">
        <v>0</v>
      </c>
      <c r="P115" s="252">
        <v>9.5000000000000001E-2</v>
      </c>
    </row>
    <row r="116" spans="2:19" x14ac:dyDescent="0.25">
      <c r="F116" t="s">
        <v>179</v>
      </c>
      <c r="H116" t="s">
        <v>510</v>
      </c>
      <c r="J116" s="257"/>
      <c r="K116" s="257"/>
      <c r="L116" s="257"/>
      <c r="M116" s="258"/>
      <c r="N116" s="258"/>
      <c r="O116" s="258"/>
      <c r="P116" s="257"/>
    </row>
    <row r="117" spans="2:19" x14ac:dyDescent="0.25">
      <c r="F117" t="s">
        <v>180</v>
      </c>
      <c r="H117" t="s">
        <v>510</v>
      </c>
      <c r="J117" s="252">
        <f t="array" ref="J117:P117">TRANSPOSE(Rounding!AO107:AO113)</f>
        <v>-2.8090000000000002</v>
      </c>
      <c r="K117" s="252">
        <v>-0.26700000000000002</v>
      </c>
      <c r="L117" s="252">
        <v>-1.4E-2</v>
      </c>
      <c r="M117" s="253">
        <v>0</v>
      </c>
      <c r="N117" s="253">
        <v>0</v>
      </c>
      <c r="O117" s="253">
        <v>0</v>
      </c>
      <c r="P117" s="252">
        <v>9.5000000000000001E-2</v>
      </c>
    </row>
    <row r="118" spans="2:19" x14ac:dyDescent="0.25">
      <c r="F118" s="37" t="s">
        <v>181</v>
      </c>
      <c r="G118" s="37"/>
      <c r="H118" s="37" t="s">
        <v>510</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281</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282</v>
      </c>
      <c r="G122" s="6" t="s">
        <v>57</v>
      </c>
      <c r="H122" s="26">
        <f t="array" ref="H122">SUM(IF(ISERROR(J16:P118), 1))</f>
        <v>0</v>
      </c>
      <c r="M122" s="261"/>
      <c r="N122" s="261"/>
      <c r="O122" s="261"/>
    </row>
    <row r="123" spans="2:19" x14ac:dyDescent="0.25">
      <c r="M123" s="261"/>
      <c r="N123" s="261"/>
      <c r="O123" s="261"/>
    </row>
    <row r="124" spans="2:19" x14ac:dyDescent="0.25">
      <c r="B124" s="30" t="s">
        <v>108</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27" activePane="bottomRight" state="frozen"/>
      <selection pane="topRight" activeCell="H128" sqref="H128"/>
      <selection pane="bottomLeft" activeCell="H128" sqref="H128"/>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WPD EMEB - [enter data version name]</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146</v>
      </c>
      <c r="C5" s="60"/>
      <c r="D5" s="60"/>
      <c r="E5" s="60"/>
      <c r="F5" s="60"/>
      <c r="G5" s="61" t="s">
        <v>147</v>
      </c>
      <c r="H5" s="96" t="s">
        <v>148</v>
      </c>
      <c r="AL5" s="61" t="s">
        <v>182</v>
      </c>
    </row>
    <row r="7" spans="1:38" x14ac:dyDescent="0.25">
      <c r="B7" s="30" t="s">
        <v>12</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1102</v>
      </c>
      <c r="E9"/>
    </row>
    <row r="10" spans="1:38" x14ac:dyDescent="0.25">
      <c r="C10" s="29" t="s">
        <v>1103</v>
      </c>
      <c r="E10"/>
    </row>
    <row r="12" spans="1:38" x14ac:dyDescent="0.25">
      <c r="B12" s="30" t="s">
        <v>1104</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1105</v>
      </c>
      <c r="E16"/>
    </row>
    <row r="17" spans="2:38" x14ac:dyDescent="0.25">
      <c r="D17" s="29"/>
      <c r="E17"/>
    </row>
    <row r="18" spans="2:38" x14ac:dyDescent="0.25">
      <c r="E18" s="32" t="s">
        <v>1106</v>
      </c>
    </row>
    <row r="19" spans="2:38" x14ac:dyDescent="0.25">
      <c r="F19" s="64" t="s">
        <v>229</v>
      </c>
      <c r="G19" s="23" t="s">
        <v>336</v>
      </c>
      <c r="H19" s="264">
        <f t="array" ref="H19:H23">TRANSPOSE('Unit costs'!L108:P108)</f>
        <v>531828699.3087464</v>
      </c>
    </row>
    <row r="20" spans="2:38" x14ac:dyDescent="0.25">
      <c r="E20"/>
      <c r="F20" s="28" t="s">
        <v>230</v>
      </c>
      <c r="G20" t="s">
        <v>336</v>
      </c>
      <c r="H20" s="265">
        <v>276396483.81056708</v>
      </c>
    </row>
    <row r="21" spans="2:38" x14ac:dyDescent="0.25">
      <c r="E21"/>
      <c r="F21" s="28" t="s">
        <v>231</v>
      </c>
      <c r="G21" t="s">
        <v>336</v>
      </c>
      <c r="H21" s="265">
        <v>358635746.36211681</v>
      </c>
    </row>
    <row r="22" spans="2:38" x14ac:dyDescent="0.25">
      <c r="E22"/>
      <c r="F22" s="28" t="s">
        <v>232</v>
      </c>
      <c r="G22" t="s">
        <v>336</v>
      </c>
      <c r="H22" s="265">
        <v>714413457.94853163</v>
      </c>
    </row>
    <row r="23" spans="2:38" x14ac:dyDescent="0.25">
      <c r="E23"/>
      <c r="F23" s="67" t="s">
        <v>233</v>
      </c>
      <c r="G23" s="37" t="s">
        <v>336</v>
      </c>
      <c r="H23" s="266">
        <v>62745971.128060058</v>
      </c>
    </row>
    <row r="25" spans="2:38" x14ac:dyDescent="0.25">
      <c r="B25" s="30" t="s">
        <v>1107</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1108</v>
      </c>
      <c r="E29"/>
    </row>
    <row r="31" spans="2:38" ht="60" x14ac:dyDescent="0.25">
      <c r="C31" s="267"/>
      <c r="E31" s="32" t="s">
        <v>1109</v>
      </c>
      <c r="J31" s="268" t="s">
        <v>149</v>
      </c>
      <c r="K31" s="268" t="s">
        <v>150</v>
      </c>
      <c r="L31" s="268" t="s">
        <v>151</v>
      </c>
      <c r="M31" s="268" t="s">
        <v>152</v>
      </c>
      <c r="N31" s="268" t="s">
        <v>153</v>
      </c>
      <c r="O31" s="268" t="s">
        <v>154</v>
      </c>
      <c r="P31" s="268" t="s">
        <v>155</v>
      </c>
      <c r="Q31" s="268" t="s">
        <v>156</v>
      </c>
      <c r="R31" s="268" t="s">
        <v>157</v>
      </c>
      <c r="S31" s="268" t="s">
        <v>158</v>
      </c>
      <c r="T31" s="268" t="s">
        <v>159</v>
      </c>
      <c r="U31" s="268" t="s">
        <v>160</v>
      </c>
      <c r="V31" s="268" t="s">
        <v>161</v>
      </c>
      <c r="W31" s="268" t="s">
        <v>162</v>
      </c>
      <c r="X31" s="268" t="s">
        <v>163</v>
      </c>
      <c r="Y31" s="268" t="s">
        <v>164</v>
      </c>
      <c r="Z31" s="268" t="s">
        <v>165</v>
      </c>
      <c r="AA31" s="269" t="s">
        <v>166</v>
      </c>
      <c r="AB31" s="269" t="s">
        <v>167</v>
      </c>
      <c r="AC31" s="269" t="s">
        <v>168</v>
      </c>
      <c r="AD31" s="269" t="s">
        <v>169</v>
      </c>
      <c r="AE31" s="269" t="s">
        <v>170</v>
      </c>
      <c r="AF31" s="269" t="s">
        <v>172</v>
      </c>
      <c r="AG31" s="269" t="s">
        <v>174</v>
      </c>
      <c r="AH31" s="269" t="s">
        <v>176</v>
      </c>
      <c r="AI31" s="269" t="s">
        <v>178</v>
      </c>
      <c r="AJ31" s="269" t="s">
        <v>180</v>
      </c>
    </row>
    <row r="32" spans="2:38" x14ac:dyDescent="0.25">
      <c r="C32" s="267"/>
      <c r="D32"/>
      <c r="F32" s="270" t="s">
        <v>193</v>
      </c>
      <c r="G32" s="270" t="s">
        <v>328</v>
      </c>
      <c r="H32" s="302" t="s">
        <v>1067</v>
      </c>
      <c r="I32" s="302"/>
      <c r="J32" s="328">
        <f>'Tariff summary'!J16</f>
        <v>2.085</v>
      </c>
      <c r="K32" s="328">
        <f>'Tariff summary'!J17</f>
        <v>2.339</v>
      </c>
      <c r="L32" s="328">
        <f>'Tariff summary'!J18</f>
        <v>1.2030000000000001</v>
      </c>
      <c r="M32" s="328">
        <f>'Tariff summary'!J19</f>
        <v>1.9590000000000001</v>
      </c>
      <c r="N32" s="328">
        <f>'Tariff summary'!J20</f>
        <v>2.1160000000000001</v>
      </c>
      <c r="O32" s="328">
        <f>'Tariff summary'!J21</f>
        <v>0.98599999999999999</v>
      </c>
      <c r="P32" s="328">
        <f>'Tariff summary'!J22</f>
        <v>2.048</v>
      </c>
      <c r="Q32" s="328">
        <f>'Tariff summary'!J23</f>
        <v>1.637</v>
      </c>
      <c r="R32" s="328">
        <f>'Tariff summary'!J24</f>
        <v>1.2949999999999999</v>
      </c>
      <c r="S32" s="328">
        <f>'Tariff summary'!J25</f>
        <v>8.2260000000000009</v>
      </c>
      <c r="T32" s="328">
        <f>'Tariff summary'!J26</f>
        <v>7.7030000000000003</v>
      </c>
      <c r="U32" s="328">
        <f>'Tariff summary'!J27</f>
        <v>5.7190000000000003</v>
      </c>
      <c r="V32" s="328">
        <f>'Tariff summary'!J28</f>
        <v>4.3209999999999997</v>
      </c>
      <c r="W32" s="328">
        <f>'Tariff summary'!J29</f>
        <v>2.9079999999999999</v>
      </c>
      <c r="X32" s="328">
        <f>'Tariff summary'!J30</f>
        <v>2.3530000000000002</v>
      </c>
      <c r="Y32" s="328">
        <f>'Tariff summary'!J31</f>
        <v>2.585</v>
      </c>
      <c r="Z32" s="328">
        <f>'Tariff summary'!J32</f>
        <v>3.4870000000000001</v>
      </c>
      <c r="AA32" s="328">
        <f>'Tariff summary'!J33</f>
        <v>2.1190000000000002</v>
      </c>
      <c r="AB32" s="328">
        <f>'Tariff summary'!J34</f>
        <v>21.2</v>
      </c>
      <c r="AC32" s="328">
        <f>'Tariff summary'!J35</f>
        <v>-0.628</v>
      </c>
      <c r="AD32" s="328">
        <f>'Tariff summary'!J36</f>
        <v>-0.54800000000000004</v>
      </c>
      <c r="AE32" s="328">
        <f>'Tariff summary'!J37</f>
        <v>-0.628</v>
      </c>
      <c r="AF32" s="328">
        <f>'Tariff summary'!J39</f>
        <v>-4.8959999999999999</v>
      </c>
      <c r="AG32" s="328">
        <f>'Tariff summary'!J41</f>
        <v>-0.54800000000000004</v>
      </c>
      <c r="AH32" s="328">
        <f>'Tariff summary'!J43</f>
        <v>-4.306</v>
      </c>
      <c r="AI32" s="328">
        <f>'Tariff summary'!J45</f>
        <v>-0.34300000000000003</v>
      </c>
      <c r="AJ32" s="328">
        <f>'Tariff summary'!J47</f>
        <v>-2.8090000000000002</v>
      </c>
      <c r="AK32" s="304"/>
      <c r="AL32" s="304"/>
    </row>
    <row r="33" spans="3:38" x14ac:dyDescent="0.25">
      <c r="C33" s="267"/>
      <c r="D33"/>
      <c r="F33" s="271" t="s">
        <v>194</v>
      </c>
      <c r="G33" s="271" t="s">
        <v>328</v>
      </c>
      <c r="H33" s="304" t="s">
        <v>1067</v>
      </c>
      <c r="I33" s="304"/>
      <c r="J33" s="329">
        <f>'Tariff summary'!K16</f>
        <v>0</v>
      </c>
      <c r="K33" s="329">
        <f>'Tariff summary'!K17</f>
        <v>0.83399999999999996</v>
      </c>
      <c r="L33" s="329">
        <f>'Tariff summary'!K18</f>
        <v>0</v>
      </c>
      <c r="M33" s="329">
        <f>'Tariff summary'!K19</f>
        <v>0</v>
      </c>
      <c r="N33" s="329">
        <f>'Tariff summary'!K20</f>
        <v>0.83</v>
      </c>
      <c r="O33" s="329">
        <f>'Tariff summary'!K21</f>
        <v>0</v>
      </c>
      <c r="P33" s="329">
        <f>'Tariff summary'!K22</f>
        <v>0.82499999999999996</v>
      </c>
      <c r="Q33" s="329">
        <f>'Tariff summary'!K23</f>
        <v>0.81</v>
      </c>
      <c r="R33" s="329">
        <f>'Tariff summary'!K24</f>
        <v>0.79200000000000004</v>
      </c>
      <c r="S33" s="329">
        <f>'Tariff summary'!K25</f>
        <v>1.61</v>
      </c>
      <c r="T33" s="329">
        <f>'Tariff summary'!K26</f>
        <v>1.5509999999999999</v>
      </c>
      <c r="U33" s="329">
        <f>'Tariff summary'!K27</f>
        <v>1.31</v>
      </c>
      <c r="V33" s="329">
        <f>'Tariff summary'!K28</f>
        <v>1.127</v>
      </c>
      <c r="W33" s="329">
        <f>'Tariff summary'!K29</f>
        <v>0.95499999999999996</v>
      </c>
      <c r="X33" s="329">
        <f>'Tariff summary'!K30</f>
        <v>0</v>
      </c>
      <c r="Y33" s="329">
        <f>'Tariff summary'!K31</f>
        <v>0</v>
      </c>
      <c r="Z33" s="329">
        <f>'Tariff summary'!K32</f>
        <v>0</v>
      </c>
      <c r="AA33" s="329">
        <f>'Tariff summary'!K33</f>
        <v>0</v>
      </c>
      <c r="AB33" s="329">
        <f>'Tariff summary'!K34</f>
        <v>2.1850000000000001</v>
      </c>
      <c r="AC33" s="329">
        <f>'Tariff summary'!K35</f>
        <v>0</v>
      </c>
      <c r="AD33" s="329">
        <f>'Tariff summary'!K36</f>
        <v>0</v>
      </c>
      <c r="AE33" s="329">
        <f>'Tariff summary'!K37</f>
        <v>0</v>
      </c>
      <c r="AF33" s="329">
        <f>'Tariff summary'!K39</f>
        <v>-0.54500000000000004</v>
      </c>
      <c r="AG33" s="329">
        <f>'Tariff summary'!K41</f>
        <v>0</v>
      </c>
      <c r="AH33" s="329">
        <f>'Tariff summary'!K43</f>
        <v>-0.46800000000000003</v>
      </c>
      <c r="AI33" s="329">
        <f>'Tariff summary'!K45</f>
        <v>0</v>
      </c>
      <c r="AJ33" s="329">
        <f>'Tariff summary'!K47</f>
        <v>-0.26700000000000002</v>
      </c>
      <c r="AK33" s="304"/>
      <c r="AL33" s="304"/>
    </row>
    <row r="34" spans="3:38" x14ac:dyDescent="0.25">
      <c r="C34" s="267"/>
      <c r="D34"/>
      <c r="F34" s="271" t="s">
        <v>195</v>
      </c>
      <c r="G34" s="271" t="s">
        <v>328</v>
      </c>
      <c r="H34" s="304" t="s">
        <v>1067</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0.83199999999999996</v>
      </c>
      <c r="T34" s="329">
        <f>'Tariff summary'!L26</f>
        <v>0.82799999999999996</v>
      </c>
      <c r="U34" s="329">
        <f>'Tariff summary'!L27</f>
        <v>0.81299999999999994</v>
      </c>
      <c r="V34" s="329">
        <f>'Tariff summary'!L28</f>
        <v>0.8</v>
      </c>
      <c r="W34" s="329">
        <f>'Tariff summary'!L29</f>
        <v>0.78900000000000003</v>
      </c>
      <c r="X34" s="329">
        <f>'Tariff summary'!L30</f>
        <v>0</v>
      </c>
      <c r="Y34" s="329">
        <f>'Tariff summary'!L31</f>
        <v>0</v>
      </c>
      <c r="Z34" s="329">
        <f>'Tariff summary'!L32</f>
        <v>0</v>
      </c>
      <c r="AA34" s="329">
        <f>'Tariff summary'!L33</f>
        <v>0</v>
      </c>
      <c r="AB34" s="329">
        <f>'Tariff summary'!L34</f>
        <v>1.5309999999999999</v>
      </c>
      <c r="AC34" s="329">
        <f>'Tariff summary'!L35</f>
        <v>0</v>
      </c>
      <c r="AD34" s="329">
        <f>'Tariff summary'!L36</f>
        <v>0</v>
      </c>
      <c r="AE34" s="329">
        <f>'Tariff summary'!L37</f>
        <v>0</v>
      </c>
      <c r="AF34" s="329">
        <f>'Tariff summary'!L39</f>
        <v>-3.3000000000000002E-2</v>
      </c>
      <c r="AG34" s="329">
        <f>'Tariff summary'!L41</f>
        <v>0</v>
      </c>
      <c r="AH34" s="329">
        <f>'Tariff summary'!L43</f>
        <v>-2.8000000000000001E-2</v>
      </c>
      <c r="AI34" s="329">
        <f>'Tariff summary'!L45</f>
        <v>0</v>
      </c>
      <c r="AJ34" s="329">
        <f>'Tariff summary'!L47</f>
        <v>-1.4E-2</v>
      </c>
      <c r="AK34" s="304"/>
      <c r="AL34" s="304"/>
    </row>
    <row r="35" spans="3:38" x14ac:dyDescent="0.25">
      <c r="C35" s="267"/>
      <c r="D35"/>
      <c r="F35" s="271" t="s">
        <v>196</v>
      </c>
      <c r="G35" s="271" t="s">
        <v>329</v>
      </c>
      <c r="H35" t="s">
        <v>1067</v>
      </c>
      <c r="J35" s="265">
        <f>'Tariff summary'!M16</f>
        <v>3.35</v>
      </c>
      <c r="K35" s="265">
        <f>'Tariff summary'!M17</f>
        <v>3.35</v>
      </c>
      <c r="L35" s="265">
        <f>'Tariff summary'!M18</f>
        <v>0</v>
      </c>
      <c r="M35" s="265">
        <f>'Tariff summary'!M19</f>
        <v>6.64</v>
      </c>
      <c r="N35" s="265">
        <f>'Tariff summary'!M20</f>
        <v>6.64</v>
      </c>
      <c r="O35" s="265">
        <f>'Tariff summary'!M21</f>
        <v>0</v>
      </c>
      <c r="P35" s="265">
        <f>'Tariff summary'!M22</f>
        <v>24.94</v>
      </c>
      <c r="Q35" s="265">
        <f>'Tariff summary'!M23</f>
        <v>4.28</v>
      </c>
      <c r="R35" s="265">
        <f>'Tariff summary'!M24</f>
        <v>174.34</v>
      </c>
      <c r="S35" s="265">
        <f>'Tariff summary'!M25</f>
        <v>3.35</v>
      </c>
      <c r="T35" s="265">
        <f>'Tariff summary'!M26</f>
        <v>6.64</v>
      </c>
      <c r="U35" s="265">
        <f>'Tariff summary'!M27</f>
        <v>9.9600000000000009</v>
      </c>
      <c r="V35" s="265">
        <f>'Tariff summary'!M28</f>
        <v>7.77</v>
      </c>
      <c r="W35" s="265">
        <f>'Tariff summary'!M29</f>
        <v>71.75</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44.91</v>
      </c>
      <c r="AJ35" s="265">
        <f>'Tariff summary'!M47</f>
        <v>44.91</v>
      </c>
    </row>
    <row r="36" spans="3:38" x14ac:dyDescent="0.25">
      <c r="C36" s="267"/>
      <c r="D36"/>
      <c r="F36" s="271" t="s">
        <v>197</v>
      </c>
      <c r="G36" s="271" t="s">
        <v>330</v>
      </c>
      <c r="H36" t="s">
        <v>1067</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2.76</v>
      </c>
      <c r="V36" s="265">
        <f>'Tariff summary'!N28</f>
        <v>3.44</v>
      </c>
      <c r="W36" s="265">
        <f>'Tariff summary'!N29</f>
        <v>4.2</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198</v>
      </c>
      <c r="G37" s="271" t="s">
        <v>330</v>
      </c>
      <c r="H37" t="s">
        <v>1067</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5.79</v>
      </c>
      <c r="V37" s="265">
        <f>'Tariff summary'!O28</f>
        <v>5.34</v>
      </c>
      <c r="W37" s="265">
        <f>'Tariff summary'!O29</f>
        <v>6.22</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199</v>
      </c>
      <c r="G38" s="272" t="s">
        <v>331</v>
      </c>
      <c r="H38" s="308" t="s">
        <v>1067</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0.14599999999999999</v>
      </c>
      <c r="V38" s="330">
        <f>'Tariff summary'!P28</f>
        <v>0.10100000000000001</v>
      </c>
      <c r="W38" s="330">
        <f>'Tariff summary'!P29</f>
        <v>5.2999999999999999E-2</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0.14000000000000001</v>
      </c>
      <c r="AF38" s="330">
        <f>'Tariff summary'!P39</f>
        <v>0.14000000000000001</v>
      </c>
      <c r="AG38" s="330">
        <f>'Tariff summary'!P41</f>
        <v>0.11899999999999999</v>
      </c>
      <c r="AH38" s="330">
        <f>'Tariff summary'!P43</f>
        <v>0.11899999999999999</v>
      </c>
      <c r="AI38" s="330">
        <f>'Tariff summary'!P45</f>
        <v>9.5000000000000001E-2</v>
      </c>
      <c r="AJ38" s="330">
        <f>'Tariff summary'!P47</f>
        <v>9.5000000000000001E-2</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1110</v>
      </c>
      <c r="E42"/>
    </row>
    <row r="44" spans="3:38" x14ac:dyDescent="0.25">
      <c r="D44"/>
      <c r="F44" s="2"/>
      <c r="G44" s="2"/>
      <c r="H44" s="2"/>
      <c r="I44" s="2"/>
      <c r="J44" s="117" t="s">
        <v>228</v>
      </c>
      <c r="K44" s="117" t="s">
        <v>229</v>
      </c>
      <c r="L44" s="117" t="s">
        <v>230</v>
      </c>
      <c r="M44" s="117" t="s">
        <v>231</v>
      </c>
      <c r="N44" s="117" t="s">
        <v>232</v>
      </c>
      <c r="O44" s="117" t="s">
        <v>233</v>
      </c>
      <c r="P44" s="117" t="s">
        <v>234</v>
      </c>
      <c r="Q44" s="117" t="s">
        <v>235</v>
      </c>
      <c r="R44" s="117" t="s">
        <v>236</v>
      </c>
      <c r="S44" s="117" t="s">
        <v>437</v>
      </c>
      <c r="T44" s="117" t="s">
        <v>438</v>
      </c>
    </row>
    <row r="45" spans="3:38" x14ac:dyDescent="0.25">
      <c r="D45"/>
      <c r="E45" s="273" t="s">
        <v>1123</v>
      </c>
      <c r="F45" s="273"/>
      <c r="G45" s="28" t="s">
        <v>204</v>
      </c>
      <c r="J45" s="205"/>
      <c r="K45" s="274">
        <f t="array" ref="K45:O45">TRANSPOSE('System peak demand'!H227:H231)</f>
        <v>7.0839672179421997E-2</v>
      </c>
      <c r="L45" s="274">
        <v>7.0839672179421997E-2</v>
      </c>
      <c r="M45" s="274">
        <v>0.15545489876905783</v>
      </c>
      <c r="N45" s="274">
        <v>0.15545489876905783</v>
      </c>
      <c r="O45" s="274">
        <v>7.0839672179421997E-2</v>
      </c>
      <c r="P45" s="205"/>
      <c r="Q45" s="205"/>
      <c r="R45" s="205"/>
      <c r="S45" s="205"/>
      <c r="T45" s="205"/>
    </row>
    <row r="46" spans="3:38" x14ac:dyDescent="0.25">
      <c r="D46"/>
      <c r="E46" s="273" t="s">
        <v>1124</v>
      </c>
      <c r="F46" s="273"/>
      <c r="G46" t="s">
        <v>633</v>
      </c>
      <c r="J46" s="265">
        <f t="array" ref="J46:O46">TRANSPOSE('System peak demand'!H154:H159)</f>
        <v>4603467.8155488605</v>
      </c>
      <c r="K46" s="265">
        <v>4553785.0002783444</v>
      </c>
      <c r="L46" s="265">
        <v>4199488.4151869202</v>
      </c>
      <c r="M46" s="265">
        <v>4115374.5896582603</v>
      </c>
      <c r="N46" s="265">
        <v>4091166.5038367403</v>
      </c>
      <c r="O46" s="265">
        <v>336040.20549131196</v>
      </c>
      <c r="P46" s="79"/>
      <c r="Q46" s="79"/>
      <c r="R46" s="79"/>
      <c r="S46" s="79"/>
      <c r="T46" s="79"/>
    </row>
    <row r="47" spans="3:38" x14ac:dyDescent="0.25">
      <c r="D47"/>
      <c r="E47" s="273" t="s">
        <v>1111</v>
      </c>
      <c r="F47" s="273"/>
      <c r="G47" t="s">
        <v>336</v>
      </c>
      <c r="J47" s="79"/>
      <c r="K47" s="265">
        <f>'Unit costs'!L108</f>
        <v>531828699.3087464</v>
      </c>
      <c r="L47" s="265">
        <f>'Unit costs'!M108</f>
        <v>276396483.81056708</v>
      </c>
      <c r="M47" s="265">
        <f>'Unit costs'!N108</f>
        <v>358635746.36211681</v>
      </c>
      <c r="N47" s="265">
        <f>'Unit costs'!O108</f>
        <v>714413457.94853163</v>
      </c>
      <c r="O47" s="265">
        <f>'Unit costs'!P108</f>
        <v>62745971.128060058</v>
      </c>
      <c r="P47" s="265">
        <f>'Unit costs'!Q108</f>
        <v>1570931022.2712266</v>
      </c>
      <c r="Q47" s="265">
        <f>'Unit costs'!R108</f>
        <v>562157660.35592508</v>
      </c>
      <c r="R47" s="265">
        <f>'Unit costs'!S108</f>
        <v>907968728.63476014</v>
      </c>
      <c r="S47" s="265">
        <f>'Unit costs'!T108</f>
        <v>808601460.24517596</v>
      </c>
      <c r="T47" s="265">
        <f>'Unit costs'!U108</f>
        <v>38245505.742998101</v>
      </c>
    </row>
    <row r="48" spans="3:38" x14ac:dyDescent="0.25">
      <c r="D48"/>
      <c r="E48" s="273" t="s">
        <v>453</v>
      </c>
      <c r="F48" s="273"/>
      <c r="G48" t="s">
        <v>343</v>
      </c>
      <c r="J48" s="265">
        <f>'Load &amp; loss characteristics'!K29</f>
        <v>1</v>
      </c>
      <c r="K48" s="265">
        <f>'Load &amp; loss characteristics'!L29</f>
        <v>1.0029999999999999</v>
      </c>
      <c r="L48" s="265">
        <f>'Load &amp; loss characteristics'!M29</f>
        <v>1.006</v>
      </c>
      <c r="M48" s="265">
        <f>'Load &amp; loss characteristics'!N29</f>
        <v>1.014</v>
      </c>
      <c r="N48" s="265">
        <f>'Load &amp; loss characteristics'!O29</f>
        <v>1.02</v>
      </c>
      <c r="O48" s="265">
        <f>'Load &amp; loss characteristics'!P29</f>
        <v>1.02</v>
      </c>
      <c r="P48" s="79"/>
      <c r="Q48" s="79"/>
      <c r="R48" s="79"/>
      <c r="S48" s="79"/>
      <c r="T48" s="79"/>
    </row>
    <row r="49" spans="2:38" x14ac:dyDescent="0.25">
      <c r="D49"/>
      <c r="E49"/>
      <c r="F49" s="273"/>
    </row>
    <row r="50" spans="2:38" x14ac:dyDescent="0.25">
      <c r="B50" s="30" t="s">
        <v>1112</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1113</v>
      </c>
      <c r="E54"/>
    </row>
    <row r="56" spans="2:38" ht="60" x14ac:dyDescent="0.25">
      <c r="F56" s="2"/>
      <c r="G56" s="2"/>
      <c r="H56" s="2"/>
      <c r="I56" s="2"/>
      <c r="J56" s="268" t="s">
        <v>149</v>
      </c>
      <c r="K56" s="268" t="s">
        <v>150</v>
      </c>
      <c r="L56" s="268" t="s">
        <v>151</v>
      </c>
      <c r="M56" s="268" t="s">
        <v>152</v>
      </c>
      <c r="N56" s="268" t="s">
        <v>153</v>
      </c>
      <c r="O56" s="268" t="s">
        <v>154</v>
      </c>
      <c r="P56" s="268" t="s">
        <v>155</v>
      </c>
      <c r="Q56" s="268" t="s">
        <v>156</v>
      </c>
      <c r="R56" s="268" t="s">
        <v>157</v>
      </c>
      <c r="S56" s="268" t="s">
        <v>158</v>
      </c>
      <c r="T56" s="268" t="s">
        <v>159</v>
      </c>
      <c r="U56" s="268" t="s">
        <v>160</v>
      </c>
      <c r="V56" s="268" t="s">
        <v>161</v>
      </c>
      <c r="W56" s="268" t="s">
        <v>162</v>
      </c>
      <c r="X56" s="268" t="s">
        <v>163</v>
      </c>
      <c r="Y56" s="268" t="s">
        <v>164</v>
      </c>
      <c r="Z56" s="268" t="s">
        <v>165</v>
      </c>
      <c r="AA56" s="268" t="s">
        <v>166</v>
      </c>
      <c r="AB56" s="268" t="s">
        <v>167</v>
      </c>
      <c r="AC56" s="268" t="s">
        <v>168</v>
      </c>
      <c r="AD56" s="268" t="s">
        <v>169</v>
      </c>
      <c r="AE56" s="268" t="s">
        <v>170</v>
      </c>
      <c r="AF56" s="268" t="s">
        <v>172</v>
      </c>
      <c r="AG56" s="268" t="s">
        <v>174</v>
      </c>
      <c r="AH56" s="268" t="s">
        <v>176</v>
      </c>
      <c r="AI56" s="268" t="s">
        <v>178</v>
      </c>
      <c r="AJ56" s="268" t="s">
        <v>180</v>
      </c>
    </row>
    <row r="57" spans="2:38" x14ac:dyDescent="0.25">
      <c r="C57" s="267"/>
      <c r="D57"/>
      <c r="E57" t="s">
        <v>1065</v>
      </c>
      <c r="G57" s="13" t="s">
        <v>336</v>
      </c>
      <c r="H57" t="s">
        <v>1067</v>
      </c>
      <c r="J57" s="265">
        <f>'Net revenue summary'!J124</f>
        <v>81.383751135058176</v>
      </c>
      <c r="K57" s="265">
        <f>'Net revenue summary'!K124</f>
        <v>94.313253430518813</v>
      </c>
      <c r="L57" s="265" t="str">
        <f>'Net revenue summary'!L124</f>
        <v/>
      </c>
      <c r="M57" s="265">
        <f>'Net revenue summary'!M124</f>
        <v>259.41443417037453</v>
      </c>
      <c r="N57" s="265">
        <f>'Net revenue summary'!N124</f>
        <v>455.8104251683452</v>
      </c>
      <c r="O57" s="265" t="str">
        <f>'Net revenue summary'!O124</f>
        <v/>
      </c>
      <c r="P57" s="265">
        <f>'Net revenue summary'!P124</f>
        <v>1179.9354762026667</v>
      </c>
      <c r="Q57" s="265">
        <f>'Net revenue summary'!Q124</f>
        <v>24.125380457399999</v>
      </c>
      <c r="R57" s="265">
        <f>'Net revenue summary'!R124</f>
        <v>1713.6353241347488</v>
      </c>
      <c r="S57" s="265">
        <f>'Net revenue summary'!S124</f>
        <v>82.142333523370567</v>
      </c>
      <c r="T57" s="265">
        <f>'Net revenue summary'!T124</f>
        <v>1288.2692691152211</v>
      </c>
      <c r="U57" s="265">
        <f>'Net revenue summary'!U124</f>
        <v>5102.3898841945884</v>
      </c>
      <c r="V57" s="265">
        <f>'Net revenue summary'!V124</f>
        <v>14565.285771870587</v>
      </c>
      <c r="W57" s="265">
        <f>'Net revenue summary'!W124</f>
        <v>35635.244326651889</v>
      </c>
      <c r="X57" s="265">
        <f>'Net revenue summary'!X124</f>
        <v>423.6723000447796</v>
      </c>
      <c r="Y57" s="265">
        <f>'Net revenue summary'!Y124</f>
        <v>440.36359282245888</v>
      </c>
      <c r="Z57" s="265">
        <f>'Net revenue summary'!Z124</f>
        <v>69.987144594169223</v>
      </c>
      <c r="AA57" s="265">
        <f>'Net revenue summary'!AA124</f>
        <v>678.0549586806352</v>
      </c>
      <c r="AB57" s="265">
        <f>'Net revenue summary'!AB124</f>
        <v>203733.36237035337</v>
      </c>
      <c r="AC57" s="265" t="str">
        <f>'Net revenue summary'!AC124</f>
        <v/>
      </c>
      <c r="AD57" s="265" t="str">
        <f>'Net revenue summary'!AD124</f>
        <v/>
      </c>
      <c r="AE57" s="265">
        <f>'Net revenue summary'!AE124</f>
        <v>-360.99585869937363</v>
      </c>
      <c r="AF57" s="265">
        <f>'Net revenue summary'!AG124</f>
        <v>-1051.8547194722621</v>
      </c>
      <c r="AG57" s="265">
        <f>'Net revenue summary'!AI124</f>
        <v>-669.22494426720004</v>
      </c>
      <c r="AH57" s="265">
        <f>'Net revenue summary'!AK124</f>
        <v>-3702.248119651395</v>
      </c>
      <c r="AI57" s="265">
        <f>'Net revenue summary'!AM124</f>
        <v>-6821.4997743896984</v>
      </c>
      <c r="AJ57" s="265">
        <f>'Net revenue summary'!AO124</f>
        <v>-13655.016863829227</v>
      </c>
    </row>
    <row r="58" spans="2:38" x14ac:dyDescent="0.25">
      <c r="C58" s="267"/>
      <c r="D58"/>
      <c r="E58" t="s">
        <v>1070</v>
      </c>
      <c r="G58" s="13" t="s">
        <v>328</v>
      </c>
      <c r="H58" s="304" t="s">
        <v>1067</v>
      </c>
      <c r="I58" s="304"/>
      <c r="J58" s="329">
        <f>'Net revenue summary'!J130</f>
        <v>2.4536483446046118</v>
      </c>
      <c r="K58" s="329">
        <f>'Net revenue summary'!K130</f>
        <v>2.1487388477966967</v>
      </c>
      <c r="L58" s="329">
        <f>'Net revenue summary'!L130</f>
        <v>1.2030000000000001</v>
      </c>
      <c r="M58" s="329">
        <f>'Net revenue summary'!M130</f>
        <v>2.1608821333150154</v>
      </c>
      <c r="N58" s="329">
        <f>'Net revenue summary'!N130</f>
        <v>1.9209519676340741</v>
      </c>
      <c r="O58" s="329">
        <f>'Net revenue summary'!O130</f>
        <v>0.98599999999999999</v>
      </c>
      <c r="P58" s="329">
        <f>'Net revenue summary'!P130</f>
        <v>1.9211322793705752</v>
      </c>
      <c r="Q58" s="329">
        <f>'Net revenue summary'!Q130</f>
        <v>4.6444173592627047</v>
      </c>
      <c r="R58" s="329">
        <f>'Net revenue summary'!R130</f>
        <v>1.8610909662969046</v>
      </c>
      <c r="S58" s="329">
        <f>'Net revenue summary'!S130</f>
        <v>2.2202598833501423</v>
      </c>
      <c r="T58" s="329">
        <f>'Net revenue summary'!T130</f>
        <v>1.9161039547158767</v>
      </c>
      <c r="U58" s="329">
        <f>'Net revenue summary'!U130</f>
        <v>2.1873009850824139</v>
      </c>
      <c r="V58" s="329">
        <f>'Net revenue summary'!V130</f>
        <v>1.9423873585159641</v>
      </c>
      <c r="W58" s="329">
        <f>'Net revenue summary'!W130</f>
        <v>1.6560295589879035</v>
      </c>
      <c r="X58" s="329">
        <f>'Net revenue summary'!X130</f>
        <v>2.3530000000000002</v>
      </c>
      <c r="Y58" s="329">
        <f>'Net revenue summary'!Y130</f>
        <v>2.5849999999999995</v>
      </c>
      <c r="Z58" s="329">
        <f>'Net revenue summary'!Z130</f>
        <v>3.4870000000000005</v>
      </c>
      <c r="AA58" s="329">
        <f>'Net revenue summary'!AA130</f>
        <v>2.1190000000000002</v>
      </c>
      <c r="AB58" s="329">
        <f>'Net revenue summary'!AB130</f>
        <v>2.629377982594538</v>
      </c>
      <c r="AC58" s="329">
        <f>'Net revenue summary'!AC130</f>
        <v>-0.628</v>
      </c>
      <c r="AD58" s="329" t="str">
        <f>'Net revenue summary'!AD130</f>
        <v/>
      </c>
      <c r="AE58" s="329">
        <f>'Net revenue summary'!AE130</f>
        <v>-0.61605192269613185</v>
      </c>
      <c r="AF58" s="329">
        <f>'Net revenue summary'!AG130</f>
        <v>-0.66522233736516601</v>
      </c>
      <c r="AG58" s="329">
        <f>'Net revenue summary'!AI130</f>
        <v>-0.53727342120780675</v>
      </c>
      <c r="AH58" s="329">
        <f>'Net revenue summary'!AK130</f>
        <v>-0.51317545716978041</v>
      </c>
      <c r="AI58" s="329">
        <f>'Net revenue summary'!AM130</f>
        <v>-0.33369582358252042</v>
      </c>
      <c r="AJ58" s="329">
        <f>'Net revenue summary'!AO130</f>
        <v>-0.43472207631175414</v>
      </c>
      <c r="AK58" s="304"/>
      <c r="AL58" s="304"/>
    </row>
    <row r="59" spans="2:38" x14ac:dyDescent="0.25">
      <c r="C59" s="267"/>
      <c r="D59"/>
      <c r="E59" t="s">
        <v>1079</v>
      </c>
      <c r="G59" t="s">
        <v>204</v>
      </c>
      <c r="H59" t="s">
        <v>1067</v>
      </c>
      <c r="J59" s="274">
        <f>'Net revenue summary'!J156</f>
        <v>2.5158064038524924E-2</v>
      </c>
      <c r="K59" s="274">
        <f>'Net revenue summary'!K156</f>
        <v>1.8833452435939046E-2</v>
      </c>
      <c r="L59" s="274">
        <f>'Net revenue summary'!L156</f>
        <v>-4.7505938242279985E-2</v>
      </c>
      <c r="M59" s="274">
        <f>'Net revenue summary'!M156</f>
        <v>-6.251759608029693E-2</v>
      </c>
      <c r="N59" s="274">
        <f>'Net revenue summary'!N156</f>
        <v>-3.3515293173604681E-2</v>
      </c>
      <c r="O59" s="274">
        <f>'Net revenue summary'!O156</f>
        <v>-6.6287878787878812E-2</v>
      </c>
      <c r="P59" s="274">
        <f>'Net revenue summary'!P156</f>
        <v>-2.1968369661324864E-2</v>
      </c>
      <c r="Q59" s="274">
        <f>'Net revenue summary'!Q156</f>
        <v>-0.64429642503843165</v>
      </c>
      <c r="R59" s="274">
        <f>'Net revenue summary'!R156</f>
        <v>1.5705838009017686E-2</v>
      </c>
      <c r="S59" s="274">
        <f>'Net revenue summary'!S156</f>
        <v>4.2334490345740564E-2</v>
      </c>
      <c r="T59" s="274">
        <f>'Net revenue summary'!T156</f>
        <v>-3.86598782933524E-2</v>
      </c>
      <c r="U59" s="274">
        <f>'Net revenue summary'!U156</f>
        <v>-2.923576629453719E-2</v>
      </c>
      <c r="V59" s="274">
        <f>'Net revenue summary'!V156</f>
        <v>-4.5320003964434204E-2</v>
      </c>
      <c r="W59" s="274">
        <f>'Net revenue summary'!W156</f>
        <v>-4.2169034171933586E-2</v>
      </c>
      <c r="X59" s="274">
        <f>'Net revenue summary'!X156</f>
        <v>-1.6970725498513979E-3</v>
      </c>
      <c r="Y59" s="274">
        <f>'Net revenue summary'!Y156</f>
        <v>-1.2982054219167956E-2</v>
      </c>
      <c r="Z59" s="274">
        <f>'Net revenue summary'!Z156</f>
        <v>-2.6249650935492842E-2</v>
      </c>
      <c r="AA59" s="274">
        <f>'Net revenue summary'!AA156</f>
        <v>1.0491177873152215E-2</v>
      </c>
      <c r="AB59" s="274">
        <f>'Net revenue summary'!AB156</f>
        <v>-1.1693183005368884E-2</v>
      </c>
      <c r="AC59" s="274">
        <f>'Net revenue summary'!AC156</f>
        <v>3.1948881789136065E-3</v>
      </c>
      <c r="AD59" s="274">
        <f>'Net revenue summary'!AD156</f>
        <v>0</v>
      </c>
      <c r="AE59" s="274">
        <f>'Net revenue summary'!AE156</f>
        <v>3.2570535586284801E-3</v>
      </c>
      <c r="AF59" s="274">
        <f>'Net revenue summary'!AG156</f>
        <v>6.9029737759010298E-3</v>
      </c>
      <c r="AG59" s="274">
        <f>'Net revenue summary'!AI156</f>
        <v>5.0356879031436812E-4</v>
      </c>
      <c r="AH59" s="274">
        <f>'Net revenue summary'!AK156</f>
        <v>1.0261434618913097E-3</v>
      </c>
      <c r="AI59" s="274">
        <f>'Net revenue summary'!AM156</f>
        <v>4.004430973244039E-3</v>
      </c>
      <c r="AJ59" s="274">
        <f>'Net revenue summary'!AO156</f>
        <v>2.8801308518773519E-3</v>
      </c>
    </row>
    <row r="60" spans="2:38" x14ac:dyDescent="0.25">
      <c r="C60" s="267"/>
      <c r="D60"/>
      <c r="E60" t="s">
        <v>1080</v>
      </c>
      <c r="G60" t="s">
        <v>328</v>
      </c>
      <c r="H60" s="304" t="s">
        <v>1067</v>
      </c>
      <c r="I60" s="304"/>
      <c r="J60" s="329">
        <f>'Net revenue summary'!J158</f>
        <v>6.0214170230888167E-2</v>
      </c>
      <c r="K60" s="329">
        <f>'Net revenue summary'!K158</f>
        <v>3.9720104194142618E-2</v>
      </c>
      <c r="L60" s="329">
        <f>'Net revenue summary'!L158</f>
        <v>-5.9999999999999609E-2</v>
      </c>
      <c r="M60" s="329">
        <f>'Net revenue summary'!M158</f>
        <v>-0.14410207148729529</v>
      </c>
      <c r="N60" s="329">
        <f>'Net revenue summary'!N158</f>
        <v>-6.6613851117287501E-2</v>
      </c>
      <c r="O60" s="329">
        <f>'Net revenue summary'!O158</f>
        <v>-7.0000000000000034E-2</v>
      </c>
      <c r="P60" s="329">
        <f>'Net revenue summary'!P158</f>
        <v>-4.3152125935744919E-2</v>
      </c>
      <c r="Q60" s="329">
        <f>'Net revenue summary'!Q158</f>
        <v>-8.4125707797080853</v>
      </c>
      <c r="R60" s="329">
        <f>'Net revenue summary'!R158</f>
        <v>2.8778010466102944E-2</v>
      </c>
      <c r="S60" s="329">
        <f>'Net revenue summary'!S158</f>
        <v>9.0176014961899781E-2</v>
      </c>
      <c r="T60" s="329">
        <f>'Net revenue summary'!T158</f>
        <v>-7.7055293973605068E-2</v>
      </c>
      <c r="U60" s="329">
        <f>'Net revenue summary'!U158</f>
        <v>-6.5873276121421825E-2</v>
      </c>
      <c r="V60" s="329">
        <f>'Net revenue summary'!V158</f>
        <v>-9.220786352910125E-2</v>
      </c>
      <c r="W60" s="329">
        <f>'Net revenue summary'!W158</f>
        <v>-7.2907610584839119E-2</v>
      </c>
      <c r="X60" s="329">
        <f>'Net revenue summary'!X158</f>
        <v>-3.9999999999997451E-3</v>
      </c>
      <c r="Y60" s="329">
        <f>'Net revenue summary'!Y158</f>
        <v>-3.4000000000000884E-2</v>
      </c>
      <c r="Z60" s="329">
        <f>'Net revenue summary'!Z158</f>
        <v>-9.3999999999999861E-2</v>
      </c>
      <c r="AA60" s="329">
        <f>'Net revenue summary'!AA158</f>
        <v>2.2000000000000193E-2</v>
      </c>
      <c r="AB60" s="329">
        <f>'Net revenue summary'!AB158</f>
        <v>-3.1109567810390398E-2</v>
      </c>
      <c r="AC60" s="329">
        <f>'Net revenue summary'!AC158</f>
        <v>-1.9999999999999176E-3</v>
      </c>
      <c r="AD60" s="329">
        <f>'Net revenue summary'!AD158</f>
        <v>0</v>
      </c>
      <c r="AE60" s="329">
        <f>'Net revenue summary'!AE158</f>
        <v>-2.0000000000000963E-3</v>
      </c>
      <c r="AF60" s="329">
        <f>'Net revenue summary'!AG158</f>
        <v>-4.5605311232275085E-3</v>
      </c>
      <c r="AG60" s="329">
        <f>'Net revenue summary'!AI158</f>
        <v>-2.7041795274433444E-4</v>
      </c>
      <c r="AH60" s="329">
        <f>'Net revenue summary'!AK158</f>
        <v>-5.2605183552621292E-4</v>
      </c>
      <c r="AI60" s="329">
        <f>'Net revenue summary'!AM158</f>
        <v>-1.3309322652099269E-3</v>
      </c>
      <c r="AJ60" s="329">
        <f>'Net revenue summary'!AO158</f>
        <v>-1.2484607337011732E-3</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1114</v>
      </c>
      <c r="E64"/>
    </row>
    <row r="65" spans="2:38" x14ac:dyDescent="0.25">
      <c r="D65" s="29" t="s">
        <v>1115</v>
      </c>
      <c r="E65"/>
    </row>
    <row r="67" spans="2:38" ht="60" x14ac:dyDescent="0.25">
      <c r="E67"/>
      <c r="J67" s="268" t="s">
        <v>149</v>
      </c>
      <c r="K67" s="268" t="s">
        <v>150</v>
      </c>
      <c r="L67" s="268" t="s">
        <v>151</v>
      </c>
      <c r="M67" s="268" t="s">
        <v>152</v>
      </c>
      <c r="N67" s="268" t="s">
        <v>153</v>
      </c>
      <c r="O67" s="268" t="s">
        <v>154</v>
      </c>
      <c r="P67" s="268" t="s">
        <v>155</v>
      </c>
      <c r="Q67" s="268" t="s">
        <v>156</v>
      </c>
      <c r="R67" s="268" t="s">
        <v>157</v>
      </c>
      <c r="S67" s="268" t="s">
        <v>158</v>
      </c>
      <c r="T67" s="268" t="s">
        <v>159</v>
      </c>
      <c r="U67" s="268" t="s">
        <v>160</v>
      </c>
      <c r="V67" s="268" t="s">
        <v>161</v>
      </c>
      <c r="W67" s="268" t="s">
        <v>162</v>
      </c>
      <c r="X67" s="268" t="s">
        <v>163</v>
      </c>
      <c r="Y67" s="268" t="s">
        <v>164</v>
      </c>
      <c r="Z67" s="268" t="s">
        <v>165</v>
      </c>
      <c r="AA67" s="268" t="s">
        <v>166</v>
      </c>
      <c r="AB67" s="268" t="s">
        <v>167</v>
      </c>
      <c r="AC67" s="268" t="s">
        <v>168</v>
      </c>
      <c r="AD67" s="268" t="s">
        <v>169</v>
      </c>
      <c r="AE67" s="268" t="s">
        <v>170</v>
      </c>
      <c r="AF67" s="268" t="s">
        <v>172</v>
      </c>
      <c r="AG67" s="268" t="s">
        <v>174</v>
      </c>
      <c r="AH67" s="268" t="s">
        <v>176</v>
      </c>
      <c r="AI67" s="268" t="s">
        <v>178</v>
      </c>
      <c r="AJ67" s="268" t="s">
        <v>180</v>
      </c>
    </row>
    <row r="68" spans="2:38" x14ac:dyDescent="0.25">
      <c r="C68" s="267"/>
      <c r="D68"/>
      <c r="E68" t="s">
        <v>1088</v>
      </c>
      <c r="G68" s="28" t="s">
        <v>204</v>
      </c>
      <c r="H68" t="s">
        <v>509</v>
      </c>
      <c r="J68" s="275">
        <f>'Net revenue summary'!J190</f>
        <v>0.30454452417930727</v>
      </c>
      <c r="K68" s="275">
        <f>'Net revenue summary'!K190</f>
        <v>0.30443165890754703</v>
      </c>
      <c r="L68" s="275" t="str">
        <f>'Net revenue summary'!L190</f>
        <v/>
      </c>
      <c r="M68" s="275">
        <f>'Net revenue summary'!M190</f>
        <v>0.30423498813731553</v>
      </c>
      <c r="N68" s="275">
        <f>'Net revenue summary'!N190</f>
        <v>0.30438793756094634</v>
      </c>
      <c r="O68" s="275" t="str">
        <f>'Net revenue summary'!O190</f>
        <v/>
      </c>
      <c r="P68" s="275">
        <f>'Net revenue summary'!P190</f>
        <v>0.30461695970161107</v>
      </c>
      <c r="Q68" s="97"/>
      <c r="R68" s="97"/>
      <c r="S68" s="275">
        <f>'Net revenue summary'!S190</f>
        <v>0.30438221516116376</v>
      </c>
      <c r="T68" s="275">
        <f>'Net revenue summary'!T190</f>
        <v>0.30436996431187502</v>
      </c>
      <c r="U68" s="275">
        <f>'Net revenue summary'!U190</f>
        <v>0.30452221162451432</v>
      </c>
      <c r="V68" s="97"/>
      <c r="W68" s="97"/>
      <c r="X68" s="275">
        <f>'Net revenue summary'!X190</f>
        <v>0.30429239269018271</v>
      </c>
      <c r="Y68" s="275">
        <f>'Net revenue summary'!Y190</f>
        <v>0.30444874274661499</v>
      </c>
      <c r="Z68" s="275">
        <f>'Net revenue summary'!Z190</f>
        <v>0.30455979351878409</v>
      </c>
      <c r="AA68" s="275">
        <f>'Net revenue summary'!AA190</f>
        <v>0.30438886267107129</v>
      </c>
      <c r="AB68" s="275">
        <f>'Net revenue summary'!AB190</f>
        <v>0.30441532136096411</v>
      </c>
      <c r="AC68" s="275" t="str">
        <f>'Net revenue summary'!AC190</f>
        <v/>
      </c>
      <c r="AD68" s="97"/>
      <c r="AE68" s="275">
        <f>'Net revenue summary'!AE190</f>
        <v>0</v>
      </c>
      <c r="AF68" s="275">
        <f>'Net revenue summary'!AG190</f>
        <v>0</v>
      </c>
      <c r="AG68" s="97"/>
      <c r="AH68" s="97"/>
      <c r="AI68" s="97"/>
      <c r="AJ68" s="97"/>
    </row>
    <row r="69" spans="2:38" x14ac:dyDescent="0.25">
      <c r="C69" s="267"/>
      <c r="D69"/>
      <c r="E69" t="s">
        <v>1089</v>
      </c>
      <c r="G69" s="28" t="s">
        <v>204</v>
      </c>
      <c r="H69" t="s">
        <v>510</v>
      </c>
      <c r="J69" s="275">
        <f>'Net revenue summary'!J191</f>
        <v>0.4714897177743016</v>
      </c>
      <c r="K69" s="275">
        <f>'Net revenue summary'!K191</f>
        <v>0.4712162286654592</v>
      </c>
      <c r="L69" s="275" t="str">
        <f>'Net revenue summary'!L191</f>
        <v/>
      </c>
      <c r="M69" s="275">
        <f>'Net revenue summary'!M191</f>
        <v>0.47117994228815185</v>
      </c>
      <c r="N69" s="275">
        <f>'Net revenue summary'!N191</f>
        <v>0.47117462033727375</v>
      </c>
      <c r="O69" s="275" t="str">
        <f>'Net revenue summary'!O191</f>
        <v/>
      </c>
      <c r="P69" s="275">
        <f>'Net revenue summary'!P191</f>
        <v>0.47121799437817669</v>
      </c>
      <c r="Q69" s="97"/>
      <c r="R69" s="97"/>
      <c r="S69" s="275">
        <f>'Net revenue summary'!S191</f>
        <v>0.47130682703288873</v>
      </c>
      <c r="T69" s="275">
        <f>'Net revenue summary'!T191</f>
        <v>0.47122352955874036</v>
      </c>
      <c r="U69" s="275">
        <f>'Net revenue summary'!U191</f>
        <v>0.47110087097721204</v>
      </c>
      <c r="V69" s="275">
        <f>'Net revenue summary'!V191</f>
        <v>0.22871495404284664</v>
      </c>
      <c r="W69" s="275">
        <f>'Net revenue summary'!W191</f>
        <v>0.12578079595974459</v>
      </c>
      <c r="X69" s="275">
        <f>'Net revenue summary'!X191</f>
        <v>0.47131321716957081</v>
      </c>
      <c r="Y69" s="275">
        <f>'Net revenue summary'!Y191</f>
        <v>0.47117988394584132</v>
      </c>
      <c r="Z69" s="275">
        <f>'Net revenue summary'!Z191</f>
        <v>0.47117866360768568</v>
      </c>
      <c r="AA69" s="275">
        <f>'Net revenue summary'!AA191</f>
        <v>0.47144879660217076</v>
      </c>
      <c r="AB69" s="275">
        <f>'Net revenue summary'!AB191</f>
        <v>0.47111372665795948</v>
      </c>
      <c r="AC69" s="275" t="str">
        <f>'Net revenue summary'!AC191</f>
        <v/>
      </c>
      <c r="AD69" s="275" t="str">
        <f>'Net revenue summary'!AD191</f>
        <v/>
      </c>
      <c r="AE69" s="275">
        <f>'Net revenue summary'!AE191</f>
        <v>0</v>
      </c>
      <c r="AF69" s="275">
        <f>'Net revenue summary'!AG191</f>
        <v>0</v>
      </c>
      <c r="AG69" s="275">
        <f>'Net revenue summary'!AI191</f>
        <v>-1.6987836256776543E-16</v>
      </c>
      <c r="AH69" s="275">
        <f>'Net revenue summary'!AK191</f>
        <v>-1.2283005789716852E-16</v>
      </c>
      <c r="AI69" s="275">
        <f>'Net revenue summary'!AM191</f>
        <v>-2.4030126133760078E-2</v>
      </c>
      <c r="AJ69" s="275">
        <f>'Net revenue summary'!AO191</f>
        <v>-1.2004489019285932E-2</v>
      </c>
    </row>
    <row r="71" spans="2:38" x14ac:dyDescent="0.25">
      <c r="B71" s="30" t="s">
        <v>281</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282</v>
      </c>
      <c r="G73" s="6" t="s">
        <v>57</v>
      </c>
      <c r="H73" s="26">
        <f t="array" ref="H73">SUM(IF(ISERROR(H19:AJ70), 1))</f>
        <v>0</v>
      </c>
    </row>
    <row r="75" spans="2:38" x14ac:dyDescent="0.25">
      <c r="B75" s="30" t="s">
        <v>108</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WPD EMEB - [enter data version name]</v>
      </c>
    </row>
    <row r="3" spans="1:9" s="5" customFormat="1" x14ac:dyDescent="0.25">
      <c r="A3" s="5" t="str">
        <f>Cover!D2&amp;" - "&amp;Cover!D8&amp;" v"&amp;Cover!D10&amp;" - "&amp;Cover!D19</f>
        <v>CDCM charging model - Release for charge setting v3 - 2020/21</v>
      </c>
    </row>
    <row r="5" spans="1:9" customFormat="1" x14ac:dyDescent="0.25">
      <c r="A5" s="9"/>
      <c r="B5" s="41" t="s">
        <v>109</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WPD EMEB - [enter data version name]</v>
      </c>
    </row>
    <row r="3" spans="1:7" s="5" customFormat="1" x14ac:dyDescent="0.25">
      <c r="A3" s="5" t="str">
        <f>Cover!D2&amp;" - "&amp;Cover!D8&amp;" v"&amp;Cover!D10&amp;" - "&amp;Cover!D19</f>
        <v>CDCM charging model - Release for charge setting v3 - 2020/21</v>
      </c>
    </row>
    <row r="5" spans="1:7" x14ac:dyDescent="0.25">
      <c r="B5" s="30" t="s">
        <v>12</v>
      </c>
      <c r="C5" s="30"/>
      <c r="D5" s="30"/>
      <c r="E5" s="30"/>
      <c r="F5" s="30"/>
      <c r="G5" s="30"/>
    </row>
    <row r="7" spans="1:7" x14ac:dyDescent="0.25">
      <c r="C7" s="29" t="s">
        <v>110</v>
      </c>
    </row>
    <row r="8" spans="1:7" x14ac:dyDescent="0.25">
      <c r="C8" s="29" t="s">
        <v>111</v>
      </c>
    </row>
    <row r="10" spans="1:7" x14ac:dyDescent="0.25">
      <c r="B10" s="30" t="s">
        <v>112</v>
      </c>
      <c r="C10" s="30"/>
      <c r="D10" s="30"/>
      <c r="E10" s="30"/>
      <c r="F10" s="30"/>
      <c r="G10" s="30"/>
    </row>
    <row r="12" spans="1:7" x14ac:dyDescent="0.25">
      <c r="C12" s="29" t="s">
        <v>113</v>
      </c>
    </row>
    <row r="14" spans="1:7" ht="15.75" thickBot="1" x14ac:dyDescent="0.3">
      <c r="F14" s="1" t="s">
        <v>114</v>
      </c>
      <c r="G14" s="331" t="s">
        <v>115</v>
      </c>
    </row>
    <row r="15" spans="1:7" ht="16.5" thickTop="1" thickBot="1" x14ac:dyDescent="0.3">
      <c r="F15" s="333" t="s">
        <v>116</v>
      </c>
    </row>
    <row r="16" spans="1:7" ht="15.75" thickTop="1" x14ac:dyDescent="0.25">
      <c r="F16" s="333" t="s">
        <v>117</v>
      </c>
      <c r="G16" s="58" t="str">
        <f>'Version control'!$B$5</f>
        <v>Model version</v>
      </c>
    </row>
    <row r="17" spans="6:7" x14ac:dyDescent="0.25">
      <c r="F17" s="332" t="s">
        <v>118</v>
      </c>
      <c r="G17" s="58" t="str">
        <f>'Version control'!$B$17</f>
        <v>Version log</v>
      </c>
    </row>
    <row r="18" spans="6:7" x14ac:dyDescent="0.25">
      <c r="F18" s="332" t="s">
        <v>118</v>
      </c>
      <c r="G18" s="58" t="str">
        <f>'Version control'!$B$31</f>
        <v>Model checks</v>
      </c>
    </row>
    <row r="19" spans="6:7" ht="15.75" thickBot="1" x14ac:dyDescent="0.3">
      <c r="F19" s="332" t="s">
        <v>118</v>
      </c>
      <c r="G19" s="58" t="str">
        <f>'Version control'!$B$59</f>
        <v>Version log lists</v>
      </c>
    </row>
    <row r="20" spans="6:7" ht="16.5" thickTop="1" thickBot="1" x14ac:dyDescent="0.3">
      <c r="F20" s="333" t="s">
        <v>109</v>
      </c>
      <c r="G20" s="58" t="str">
        <f>'Model map'!$B$5</f>
        <v>Model map</v>
      </c>
    </row>
    <row r="21" spans="6:7" ht="16.5" thickTop="1" thickBot="1" x14ac:dyDescent="0.3">
      <c r="F21" s="333" t="s">
        <v>119</v>
      </c>
      <c r="G21" s="58" t="str">
        <f>'Named ranges'!$B$5</f>
        <v>List of named ranges</v>
      </c>
    </row>
    <row r="22" spans="6:7" ht="16.5" thickTop="1" thickBot="1" x14ac:dyDescent="0.3">
      <c r="F22" s="335" t="s">
        <v>55</v>
      </c>
      <c r="G22" s="58" t="str">
        <f>'Fixed inputs'!$B$11</f>
        <v>Fixed inputs</v>
      </c>
    </row>
    <row r="23" spans="6:7" ht="16.5" thickTop="1" thickBot="1" x14ac:dyDescent="0.3">
      <c r="F23" s="335" t="s">
        <v>58</v>
      </c>
      <c r="G23" s="58" t="str">
        <f>'Inputs by customer type'!$B$11</f>
        <v>Inputs by customer type</v>
      </c>
    </row>
    <row r="24" spans="6:7" ht="16.5" thickTop="1" thickBot="1" x14ac:dyDescent="0.3">
      <c r="F24" s="335" t="s">
        <v>60</v>
      </c>
      <c r="G24" s="58" t="str">
        <f>'Inputs by network level'!$B$11</f>
        <v>Inputs by network level</v>
      </c>
    </row>
    <row r="25" spans="6:7" ht="16.5" thickTop="1" thickBot="1" x14ac:dyDescent="0.3">
      <c r="F25" s="335" t="s">
        <v>62</v>
      </c>
      <c r="G25" s="58" t="str">
        <f>'General inputs'!$B$11</f>
        <v>General inputs</v>
      </c>
    </row>
    <row r="26" spans="6:7" ht="15.75" thickTop="1" x14ac:dyDescent="0.25">
      <c r="F26" s="337" t="s">
        <v>66</v>
      </c>
      <c r="G26" s="58" t="str">
        <f>'Load &amp; loss characteristics'!$B$13</f>
        <v>Load and loss characteristics</v>
      </c>
    </row>
    <row r="27" spans="6:7" ht="15.75" thickBot="1" x14ac:dyDescent="0.3">
      <c r="F27" s="336" t="s">
        <v>118</v>
      </c>
      <c r="G27" s="58" t="str">
        <f>'Load &amp; loss characteristics'!$B$31</f>
        <v>User loss factor adjustments</v>
      </c>
    </row>
    <row r="28" spans="6:7" ht="16.5" thickTop="1" thickBot="1" x14ac:dyDescent="0.3">
      <c r="F28" s="337" t="s">
        <v>68</v>
      </c>
      <c r="G28" s="58" t="str">
        <f>'Customer contributions'!$B$12</f>
        <v>Customer contributions</v>
      </c>
    </row>
    <row r="29" spans="6:7" ht="15.75" thickTop="1" x14ac:dyDescent="0.25">
      <c r="F29" s="337" t="s">
        <v>70</v>
      </c>
      <c r="G29" s="58" t="str">
        <f>'Volume adjustments'!$B$13</f>
        <v>LDNO discounts</v>
      </c>
    </row>
    <row r="30" spans="6:7" ht="15.75" thickBot="1" x14ac:dyDescent="0.3">
      <c r="F30" s="336" t="s">
        <v>118</v>
      </c>
      <c r="G30" s="58" t="str">
        <f>'Volume adjustments'!$B$51</f>
        <v>Volume discounting</v>
      </c>
    </row>
    <row r="31" spans="6:7" ht="16.5" thickTop="1" thickBot="1" x14ac:dyDescent="0.3">
      <c r="F31" s="337" t="s">
        <v>72</v>
      </c>
      <c r="G31" s="58" t="str">
        <f>'Pseudo-load coefficients'!$B$325</f>
        <v>Adjustment for domestic and non-domestic charge equalisation</v>
      </c>
    </row>
    <row r="32" spans="6:7" ht="15.75" thickTop="1" x14ac:dyDescent="0.25">
      <c r="F32" s="337" t="s">
        <v>74</v>
      </c>
      <c r="G32" s="58" t="str">
        <f>'System peak demand'!$B$16</f>
        <v>Common inputs for chargeable load calculations</v>
      </c>
    </row>
    <row r="33" spans="6:7" x14ac:dyDescent="0.25">
      <c r="F33" s="336" t="s">
        <v>118</v>
      </c>
      <c r="G33" s="58" t="str">
        <f>'System peak demand'!$B$63</f>
        <v>Load at system peak charged to unit rates</v>
      </c>
    </row>
    <row r="34" spans="6:7" x14ac:dyDescent="0.25">
      <c r="F34" s="336" t="s">
        <v>118</v>
      </c>
      <c r="G34" s="58" t="str">
        <f>'System peak demand'!$B$179</f>
        <v>Load at system peak charged to standing charges</v>
      </c>
    </row>
    <row r="35" spans="6:7" ht="15.75" thickBot="1" x14ac:dyDescent="0.3">
      <c r="F35" s="336" t="s">
        <v>118</v>
      </c>
      <c r="G35" s="58" t="str">
        <f>'System peak demand'!$B$262</f>
        <v>System peak based on chargeable load</v>
      </c>
    </row>
    <row r="36" spans="6:7" ht="16.5" thickTop="1" thickBot="1" x14ac:dyDescent="0.3">
      <c r="F36" s="337" t="s">
        <v>76</v>
      </c>
      <c r="G36" s="58" t="str">
        <f>'Service model assets'!$B$12</f>
        <v>Service model notional asset values</v>
      </c>
    </row>
    <row r="37" spans="6:7" ht="15.75" thickTop="1" x14ac:dyDescent="0.25">
      <c r="F37" s="337" t="s">
        <v>78</v>
      </c>
      <c r="G37" s="58" t="str">
        <f>'Unit costs'!$B$15</f>
        <v>500MW model costs</v>
      </c>
    </row>
    <row r="38" spans="6:7" x14ac:dyDescent="0.25">
      <c r="F38" s="336" t="s">
        <v>118</v>
      </c>
      <c r="G38" s="58" t="str">
        <f>'Unit costs'!$B$58</f>
        <v>Allocation of other costs</v>
      </c>
    </row>
    <row r="39" spans="6:7" ht="15.75" thickBot="1" x14ac:dyDescent="0.3">
      <c r="F39" s="336" t="s">
        <v>118</v>
      </c>
      <c r="G39" s="58" t="str">
        <f>'Unit costs'!$B$102</f>
        <v>Outputs</v>
      </c>
    </row>
    <row r="40" spans="6:7" ht="15.75" thickTop="1" x14ac:dyDescent="0.25">
      <c r="F40" s="337" t="s">
        <v>80</v>
      </c>
      <c r="G40" s="58" t="str">
        <f>'Initial unit rates'!$B$11</f>
        <v>Inputs for yardstick and unit rate calculations</v>
      </c>
    </row>
    <row r="41" spans="6:7" ht="15.75" thickBot="1" x14ac:dyDescent="0.3">
      <c r="F41" s="336" t="s">
        <v>118</v>
      </c>
      <c r="G41" s="58" t="str">
        <f>'Initial unit rates'!$B$116</f>
        <v>Calculation of yardstick &amp; unit rate charges</v>
      </c>
    </row>
    <row r="42" spans="6:7" ht="15.75" thickTop="1" x14ac:dyDescent="0.25">
      <c r="F42" s="337" t="s">
        <v>82</v>
      </c>
      <c r="G42" s="58" t="str">
        <f>'Service model charges'!$B$13</f>
        <v>Inputs to service model charge calculation</v>
      </c>
    </row>
    <row r="43" spans="6:7" ht="15.75" thickBot="1" x14ac:dyDescent="0.3">
      <c r="F43" s="336" t="s">
        <v>118</v>
      </c>
      <c r="G43" s="58" t="str">
        <f>'Service model charges'!$B$29</f>
        <v>Allocation of service model costs</v>
      </c>
    </row>
    <row r="44" spans="6:7" ht="15.75" thickTop="1" x14ac:dyDescent="0.25">
      <c r="F44" s="337" t="s">
        <v>84</v>
      </c>
      <c r="G44" s="58" t="str">
        <f>'Unit rate charges'!$B$15</f>
        <v>Inputs to unit rate charge calculations</v>
      </c>
    </row>
    <row r="45" spans="6:7" ht="15.75" thickBot="1" x14ac:dyDescent="0.3">
      <c r="F45" s="336" t="s">
        <v>118</v>
      </c>
      <c r="G45" s="58" t="str">
        <f>'Unit rate charges'!$B$122</f>
        <v>Application of standing charges to unit rates</v>
      </c>
    </row>
    <row r="46" spans="6:7" ht="15.75" thickTop="1" x14ac:dyDescent="0.25">
      <c r="F46" s="337" t="s">
        <v>86</v>
      </c>
      <c r="G46" s="58" t="str">
        <f>'Reactive power charges'!$B$13</f>
        <v>Inputs to reactive power charge calculations</v>
      </c>
    </row>
    <row r="47" spans="6:7" x14ac:dyDescent="0.25">
      <c r="F47" s="336" t="s">
        <v>118</v>
      </c>
      <c r="G47" s="58" t="str">
        <f>'Reactive power charges'!$B$150</f>
        <v>Calculation of yardstick charges for generation</v>
      </c>
    </row>
    <row r="48" spans="6:7" ht="15.75" thickBot="1" x14ac:dyDescent="0.3">
      <c r="F48" s="336" t="s">
        <v>118</v>
      </c>
      <c r="G48" s="58" t="str">
        <f>'Reactive power charges'!$B$185</f>
        <v>Calculation of reactive power charges</v>
      </c>
    </row>
    <row r="49" spans="6:7" ht="15.75" thickTop="1" x14ac:dyDescent="0.25">
      <c r="F49" s="337" t="s">
        <v>88</v>
      </c>
      <c r="G49" s="58" t="str">
        <f>'Capacity charges'!$B$17</f>
        <v>Inputs to capacity charge calculations</v>
      </c>
    </row>
    <row r="50" spans="6:7" x14ac:dyDescent="0.25">
      <c r="F50" s="336" t="s">
        <v>118</v>
      </c>
      <c r="G50" s="58" t="str">
        <f>'Capacity charges'!$B$125</f>
        <v>Calculation of capacity charges</v>
      </c>
    </row>
    <row r="51" spans="6:7" ht="15.75" thickBot="1" x14ac:dyDescent="0.3">
      <c r="F51" s="336" t="s">
        <v>118</v>
      </c>
      <c r="G51" s="58" t="str">
        <f>'Capacity charges'!$B$249</f>
        <v>Capacity charges (and elements allocated to fixed charges)</v>
      </c>
    </row>
    <row r="52" spans="6:7" ht="15.75" thickTop="1" x14ac:dyDescent="0.25">
      <c r="F52" s="337" t="s">
        <v>90</v>
      </c>
      <c r="G52" s="58" t="str">
        <f>'Fixed charges'!$B$14</f>
        <v>Inputs to fixed charge calculations</v>
      </c>
    </row>
    <row r="53" spans="6:7" ht="15.75" thickBot="1" x14ac:dyDescent="0.3">
      <c r="F53" s="336" t="s">
        <v>118</v>
      </c>
      <c r="G53" s="58" t="str">
        <f>'Fixed charges'!$B$65</f>
        <v>Calculation of fixed charges</v>
      </c>
    </row>
    <row r="54" spans="6:7" ht="15.75" thickTop="1" x14ac:dyDescent="0.25">
      <c r="F54" s="337" t="s">
        <v>92</v>
      </c>
      <c r="G54" s="58" t="str">
        <f>'Revenue matching'!$B$13</f>
        <v>Pre-matching net revenue calculations</v>
      </c>
    </row>
    <row r="55" spans="6:7" ht="15.75" thickBot="1" x14ac:dyDescent="0.3">
      <c r="F55" s="336" t="s">
        <v>118</v>
      </c>
      <c r="G55" s="58" t="str">
        <f>'Revenue matching'!$B$56</f>
        <v>Adder calculation</v>
      </c>
    </row>
    <row r="56" spans="6:7" ht="15.75" thickTop="1" x14ac:dyDescent="0.25">
      <c r="F56" s="337" t="s">
        <v>94</v>
      </c>
      <c r="G56" s="58" t="str">
        <f>Rounding!$B$12</f>
        <v>Inputs</v>
      </c>
    </row>
    <row r="57" spans="6:7" ht="15.75" thickBot="1" x14ac:dyDescent="0.3">
      <c r="F57" s="336" t="s">
        <v>118</v>
      </c>
      <c r="G57" s="58" t="str">
        <f>Rounding!$B$71</f>
        <v>Rounding of tariff forecast</v>
      </c>
    </row>
    <row r="58" spans="6:7" ht="15.75" thickTop="1" x14ac:dyDescent="0.25">
      <c r="F58" s="337" t="s">
        <v>96</v>
      </c>
      <c r="G58" s="58" t="str">
        <f>'Net revenue summary'!$B$11</f>
        <v>Inputs to net revenue summary calculation</v>
      </c>
    </row>
    <row r="59" spans="6:7" x14ac:dyDescent="0.25">
      <c r="F59" s="336" t="s">
        <v>118</v>
      </c>
      <c r="G59" s="58" t="str">
        <f>'Net revenue summary'!$B$77</f>
        <v>Typical bills</v>
      </c>
    </row>
    <row r="60" spans="6:7" x14ac:dyDescent="0.25">
      <c r="F60" s="336" t="s">
        <v>118</v>
      </c>
      <c r="G60" s="58" t="str">
        <f>'Net revenue summary'!$B$134</f>
        <v>Comparison with previous year</v>
      </c>
    </row>
    <row r="61" spans="6:7" ht="15.75" thickBot="1" x14ac:dyDescent="0.3">
      <c r="F61" s="336" t="s">
        <v>118</v>
      </c>
      <c r="G61" s="58" t="str">
        <f>'Net revenue summary'!$B$160</f>
        <v>LDNO margins</v>
      </c>
    </row>
    <row r="62" spans="6:7" ht="16.5" thickTop="1" thickBot="1" x14ac:dyDescent="0.3">
      <c r="F62" s="339" t="s">
        <v>98</v>
      </c>
      <c r="G62" s="58" t="str">
        <f>'Tariff summary'!$B$11</f>
        <v>Tariff summary</v>
      </c>
    </row>
    <row r="63" spans="6:7" ht="15.75" thickTop="1" x14ac:dyDescent="0.25">
      <c r="F63" s="339" t="s">
        <v>100</v>
      </c>
      <c r="G63" s="58" t="str">
        <f>'Output to other models'!$B$12</f>
        <v>Outputs for PCDM</v>
      </c>
    </row>
    <row r="64" spans="6:7" x14ac:dyDescent="0.25">
      <c r="F64" s="338" t="s">
        <v>118</v>
      </c>
      <c r="G64" s="58" t="str">
        <f>'Output to other models'!$B$25</f>
        <v>Outputs for EDCM</v>
      </c>
    </row>
    <row r="65" spans="2:7" x14ac:dyDescent="0.25">
      <c r="F65" s="338" t="s">
        <v>118</v>
      </c>
      <c r="G65" s="58" t="str">
        <f>'Output to other models'!$B$50</f>
        <v>Outputs for users' internal use</v>
      </c>
    </row>
    <row r="67" spans="2:7" x14ac:dyDescent="0.25">
      <c r="B67" s="30" t="s">
        <v>120</v>
      </c>
      <c r="C67" s="30"/>
      <c r="D67" s="30"/>
      <c r="E67" s="30"/>
      <c r="F67" s="30"/>
      <c r="G67" s="30"/>
    </row>
    <row r="69" spans="2:7" x14ac:dyDescent="0.25">
      <c r="C69" s="29" t="s">
        <v>121</v>
      </c>
    </row>
    <row r="71" spans="2:7" ht="15.75" thickBot="1" x14ac:dyDescent="0.3">
      <c r="F71" s="1" t="s">
        <v>114</v>
      </c>
      <c r="G71" s="331" t="s">
        <v>115</v>
      </c>
    </row>
    <row r="72" spans="2:7" ht="15.75" thickTop="1" x14ac:dyDescent="0.25">
      <c r="F72" s="335" t="s">
        <v>55</v>
      </c>
      <c r="G72" s="58" t="str">
        <f ca="1">'Fixed inputs'!$C$13</f>
        <v>Input 101-A: Conversions and time</v>
      </c>
    </row>
    <row r="73" spans="2:7" x14ac:dyDescent="0.25">
      <c r="F73" s="334" t="s">
        <v>118</v>
      </c>
      <c r="G73" s="58" t="str">
        <f ca="1">'Fixed inputs'!$C$20</f>
        <v>Input 101-B: Input 101-B: Rounding</v>
      </c>
    </row>
    <row r="74" spans="2:7" x14ac:dyDescent="0.25">
      <c r="F74" s="334" t="s">
        <v>118</v>
      </c>
      <c r="G74" s="58" t="str">
        <f ca="1">'Fixed inputs'!$C$33</f>
        <v>Input 101-C: Financial and general assumptions</v>
      </c>
    </row>
    <row r="75" spans="2:7" x14ac:dyDescent="0.25">
      <c r="F75" s="334" t="s">
        <v>118</v>
      </c>
      <c r="G75" s="58" t="str">
        <f ca="1">'Fixed inputs'!$C$43</f>
        <v>Input 101-D: Mappings</v>
      </c>
    </row>
    <row r="76" spans="2:7" x14ac:dyDescent="0.25">
      <c r="F76" s="334" t="s">
        <v>118</v>
      </c>
      <c r="G76" s="58" t="str">
        <f ca="1">'Fixed inputs'!$C$84</f>
        <v>Input 101-E: Standing charge factors</v>
      </c>
    </row>
    <row r="77" spans="2:7" x14ac:dyDescent="0.25">
      <c r="F77" s="334" t="s">
        <v>118</v>
      </c>
      <c r="G77" s="58" t="str">
        <f ca="1">'Fixed inputs'!$C$100</f>
        <v>Input 101-F: Flags</v>
      </c>
    </row>
    <row r="78" spans="2:7" x14ac:dyDescent="0.25">
      <c r="F78" s="334" t="s">
        <v>118</v>
      </c>
      <c r="G78" s="58" t="str">
        <f ca="1">'Fixed inputs'!$C$146</f>
        <v>Input 101-G: Identifiers for customer groupings</v>
      </c>
    </row>
    <row r="79" spans="2:7" ht="15.75" thickBot="1" x14ac:dyDescent="0.3">
      <c r="F79" s="334" t="s">
        <v>118</v>
      </c>
      <c r="G79" s="58" t="str">
        <f ca="1">'Fixed inputs'!$C$157</f>
        <v>Input 101-H: Decimal places for error checks</v>
      </c>
    </row>
    <row r="80" spans="2:7" ht="15.75" thickTop="1" x14ac:dyDescent="0.25">
      <c r="F80" s="335" t="s">
        <v>58</v>
      </c>
      <c r="G80" s="58" t="str">
        <f ca="1">'Inputs by customer type'!$C$13</f>
        <v>Input 102-A: Load characteristics</v>
      </c>
    </row>
    <row r="81" spans="6:7" x14ac:dyDescent="0.25">
      <c r="F81" s="334" t="s">
        <v>118</v>
      </c>
      <c r="G81" s="58" t="str">
        <f ca="1">'Inputs by customer type'!$C$18</f>
        <v>Input 102-B: Volume forecasts for the charging year</v>
      </c>
    </row>
    <row r="82" spans="6:7" x14ac:dyDescent="0.25">
      <c r="F82" s="334" t="s">
        <v>118</v>
      </c>
      <c r="G82" s="58" t="str">
        <f ca="1">'Inputs by customer type'!$C$47</f>
        <v>Input 102-C: Split of units by distribution timeband</v>
      </c>
    </row>
    <row r="83" spans="6:7" x14ac:dyDescent="0.25">
      <c r="F83" s="334" t="s">
        <v>118</v>
      </c>
      <c r="G83" s="58" t="str">
        <f ca="1">'Inputs by customer type'!$C$67</f>
        <v>Input 102-D: Service model asset values</v>
      </c>
    </row>
    <row r="84" spans="6:7" x14ac:dyDescent="0.25">
      <c r="F84" s="334" t="s">
        <v>118</v>
      </c>
      <c r="G84" s="58" t="str">
        <f ca="1">'Inputs by customer type'!$C$76</f>
        <v>Input 102-E: Previous year all-the-way tariff forecast</v>
      </c>
    </row>
    <row r="85" spans="6:7" ht="15.75" thickBot="1" x14ac:dyDescent="0.3">
      <c r="F85" s="334" t="s">
        <v>118</v>
      </c>
      <c r="G85" s="58" t="str">
        <f ca="1">'Inputs by customer type'!$C$90</f>
        <v>Input 102-F: Previous year net revenue (if known)</v>
      </c>
    </row>
    <row r="86" spans="6:7" ht="15.75" thickTop="1" x14ac:dyDescent="0.25">
      <c r="F86" s="335" t="s">
        <v>60</v>
      </c>
      <c r="G86" s="58" t="str">
        <f ca="1">'Inputs by network level'!$C$13</f>
        <v>Input 103-A: Network and load inputs</v>
      </c>
    </row>
    <row r="87" spans="6:7" x14ac:dyDescent="0.25">
      <c r="F87" s="334" t="s">
        <v>118</v>
      </c>
      <c r="G87" s="58" t="str">
        <f ca="1">'Inputs by network level'!$C$23</f>
        <v>Input 103-B: Customer contributions under current connection charging policy</v>
      </c>
    </row>
    <row r="88" spans="6:7" x14ac:dyDescent="0.25">
      <c r="F88" s="334" t="s">
        <v>118</v>
      </c>
      <c r="G88" s="58" t="str">
        <f ca="1">'Inputs by network level'!$C$31</f>
        <v>Input 103-C: DRM asset costs</v>
      </c>
    </row>
    <row r="89" spans="6:7" ht="15.75" thickBot="1" x14ac:dyDescent="0.3">
      <c r="F89" s="334" t="s">
        <v>118</v>
      </c>
      <c r="G89" s="58" t="str">
        <f ca="1">'Inputs by network level'!$C$35</f>
        <v>Input 103-D: Peaking probabilities by network level</v>
      </c>
    </row>
    <row r="90" spans="6:7" ht="15.75" thickTop="1" x14ac:dyDescent="0.25">
      <c r="F90" s="335" t="s">
        <v>62</v>
      </c>
      <c r="G90" s="58" t="str">
        <f ca="1">'General inputs'!$C$13</f>
        <v>Input 104-A: Inputs by distribution timeband</v>
      </c>
    </row>
    <row r="91" spans="6:7" x14ac:dyDescent="0.25">
      <c r="F91" s="334" t="s">
        <v>118</v>
      </c>
      <c r="G91" s="58" t="str">
        <f ca="1">'General inputs'!$C$25</f>
        <v>Input 104-B: LDNO discount inputs</v>
      </c>
    </row>
    <row r="92" spans="6:7" x14ac:dyDescent="0.25">
      <c r="F92" s="334" t="s">
        <v>118</v>
      </c>
      <c r="G92" s="58" t="str">
        <f ca="1">'General inputs'!$C$35</f>
        <v>Input 104-C: CDCM target revenue</v>
      </c>
    </row>
    <row r="93" spans="6:7" x14ac:dyDescent="0.25">
      <c r="F93" s="334" t="s">
        <v>118</v>
      </c>
      <c r="G93" s="58" t="str">
        <f ca="1">'General inputs'!$C$87</f>
        <v>Input 104-D: Financial and general assumptions</v>
      </c>
    </row>
    <row r="94" spans="6:7" x14ac:dyDescent="0.25">
      <c r="F94" s="334" t="s">
        <v>118</v>
      </c>
      <c r="G94" s="58" t="str">
        <f ca="1">'General inputs'!$C$93</f>
        <v>Input 104-E: Transmission exit charges</v>
      </c>
    </row>
    <row r="95" spans="6:7" ht="15.75" thickBot="1" x14ac:dyDescent="0.3">
      <c r="F95" s="334" t="s">
        <v>118</v>
      </c>
      <c r="G95" s="58" t="str">
        <f ca="1">'General inputs'!$C$97</f>
        <v>Input 104-F: Other expenditure</v>
      </c>
    </row>
    <row r="96" spans="6:7" ht="16.5" thickTop="1" thickBot="1" x14ac:dyDescent="0.3">
      <c r="F96" s="337" t="s">
        <v>122</v>
      </c>
      <c r="G96" s="58" t="str">
        <f ca="1">'Standing charge factors'!$C$19</f>
        <v>Section 101-A: Adjustments to standing charges</v>
      </c>
    </row>
    <row r="97" spans="6:7" ht="15.75" thickTop="1" x14ac:dyDescent="0.25">
      <c r="F97" s="337" t="s">
        <v>66</v>
      </c>
      <c r="G97" s="58" t="str">
        <f ca="1">'Load &amp; loss characteristics'!$C$17</f>
        <v>Section 102-A: Load characteristics</v>
      </c>
    </row>
    <row r="98" spans="6:7" x14ac:dyDescent="0.25">
      <c r="F98" s="336" t="s">
        <v>118</v>
      </c>
      <c r="G98" s="58" t="str">
        <f ca="1">'Load &amp; loss characteristics'!$C$25</f>
        <v>Section 102-B: Loss adjustment factors</v>
      </c>
    </row>
    <row r="99" spans="6:7" x14ac:dyDescent="0.25">
      <c r="F99" s="336" t="s">
        <v>118</v>
      </c>
      <c r="G99" s="58" t="str">
        <f ca="1">'Load &amp; loss characteristics'!$C$35</f>
        <v>Section 102-C: Proportion of relevant load going through 132kV/HV direct transformation</v>
      </c>
    </row>
    <row r="100" spans="6:7" x14ac:dyDescent="0.25">
      <c r="F100" s="336" t="s">
        <v>118</v>
      </c>
      <c r="G100" s="58" t="str">
        <f ca="1">'Load &amp; loss characteristics'!$C$40</f>
        <v>Section 102-D: Network use factors</v>
      </c>
    </row>
    <row r="101" spans="6:7" ht="15.75" thickBot="1" x14ac:dyDescent="0.3">
      <c r="F101" s="336" t="s">
        <v>118</v>
      </c>
      <c r="G101" s="58" t="str">
        <f ca="1">'Load &amp; loss characteristics'!$C$189</f>
        <v>Section 102-E: User loss factors</v>
      </c>
    </row>
    <row r="102" spans="6:7" ht="15.75" thickTop="1" x14ac:dyDescent="0.25">
      <c r="F102" s="337" t="s">
        <v>68</v>
      </c>
      <c r="G102" s="58" t="str">
        <f ca="1">'Customer contributions'!$C$16</f>
        <v>Section 103-A: Network use factors</v>
      </c>
    </row>
    <row r="103" spans="6:7" ht="15.75" thickBot="1" x14ac:dyDescent="0.3">
      <c r="F103" s="336" t="s">
        <v>118</v>
      </c>
      <c r="G103" s="58" t="str">
        <f ca="1">'Customer contributions'!$C$55</f>
        <v>Section 103-B: Customer contributions</v>
      </c>
    </row>
    <row r="104" spans="6:7" ht="15.75" thickTop="1" x14ac:dyDescent="0.25">
      <c r="F104" s="337" t="s">
        <v>70</v>
      </c>
      <c r="G104" s="58" t="str">
        <f ca="1">'Volume adjustments'!$C$15</f>
        <v>Section 104-A: LDNO discounts</v>
      </c>
    </row>
    <row r="105" spans="6:7" ht="15.75" thickBot="1" x14ac:dyDescent="0.3">
      <c r="F105" s="336" t="s">
        <v>118</v>
      </c>
      <c r="G105" s="58" t="str">
        <f ca="1">'Volume adjustments'!$C$55</f>
        <v>Section 104-B: Volume discounting</v>
      </c>
    </row>
    <row r="106" spans="6:7" ht="15.75" thickTop="1" x14ac:dyDescent="0.25">
      <c r="F106" s="337" t="s">
        <v>72</v>
      </c>
      <c r="G106" s="58" t="str">
        <f ca="1">'Pseudo-load coefficients'!$C$21</f>
        <v>Section 105-A: Flags and hours in timebands</v>
      </c>
    </row>
    <row r="107" spans="6:7" x14ac:dyDescent="0.25">
      <c r="F107" s="336" t="s">
        <v>118</v>
      </c>
      <c r="G107" s="58" t="str">
        <f ca="1">'Pseudo-load coefficients'!$C$33</f>
        <v>Section 105-B: Average load by timeband</v>
      </c>
    </row>
    <row r="108" spans="6:7" x14ac:dyDescent="0.25">
      <c r="F108" s="336" t="s">
        <v>118</v>
      </c>
      <c r="G108" s="58" t="str">
        <f ca="1">'Pseudo-load coefficients'!$C$77</f>
        <v>Section 105-C: Aggregated values for UMS customers</v>
      </c>
    </row>
    <row r="109" spans="6:7" x14ac:dyDescent="0.25">
      <c r="F109" s="336" t="s">
        <v>118</v>
      </c>
      <c r="G109" s="58" t="str">
        <f ca="1">'Pseudo-load coefficients'!$C$86</f>
        <v>Section 105-D: Ratio of coincidence to load factor assuming units evenly spread within time bands, and peak falls in Red period</v>
      </c>
    </row>
    <row r="110" spans="6:7" x14ac:dyDescent="0.25">
      <c r="F110" s="336" t="s">
        <v>118</v>
      </c>
      <c r="G110" s="58" t="str">
        <f ca="1">'Pseudo-load coefficients'!$C$96</f>
        <v>Section 105-E: Load characteristics for all customers</v>
      </c>
    </row>
    <row r="111" spans="6:7" x14ac:dyDescent="0.25">
      <c r="F111" s="336" t="s">
        <v>118</v>
      </c>
      <c r="G111" s="58" t="str">
        <f ca="1">'Pseudo-load coefficients'!$C$101</f>
        <v>Section 105-F: Aggregated load characteristics for UMS customers</v>
      </c>
    </row>
    <row r="112" spans="6:7" x14ac:dyDescent="0.25">
      <c r="F112" s="336" t="s">
        <v>118</v>
      </c>
      <c r="G112" s="58" t="str">
        <f ca="1">'Pseudo-load coefficients'!$C$114</f>
        <v>Section 105-G: Calculation of correction factor</v>
      </c>
    </row>
    <row r="113" spans="6:7" x14ac:dyDescent="0.25">
      <c r="F113" s="336" t="s">
        <v>118</v>
      </c>
      <c r="G113" s="58" t="str">
        <f ca="1">'Pseudo-load coefficients'!$C$129</f>
        <v>Section 105-H: Peaking probabilities, by network level</v>
      </c>
    </row>
    <row r="114" spans="6:7" x14ac:dyDescent="0.25">
      <c r="F114" s="336" t="s">
        <v>118</v>
      </c>
      <c r="G114" s="58" t="str">
        <f ca="1">'Pseudo-load coefficients'!$C$203</f>
        <v>Section 105-I: Peaking probabilities, by network level and customer type</v>
      </c>
    </row>
    <row r="115" spans="6:7" x14ac:dyDescent="0.25">
      <c r="F115" s="336" t="s">
        <v>118</v>
      </c>
      <c r="G115" s="58" t="str">
        <f ca="1">'Pseudo-load coefficients'!$C$250</f>
        <v>Section 105-J: Ratio of coincidence factor to load factor, based on uniform distribution in timebands and peaking probabilities</v>
      </c>
    </row>
    <row r="116" spans="6:7" x14ac:dyDescent="0.25">
      <c r="F116" s="336" t="s">
        <v>118</v>
      </c>
      <c r="G116" s="58" t="str">
        <f ca="1">'Pseudo-load coefficients'!$C$290</f>
        <v>Section 105-K: Pseudo load coefficients, by unit rate</v>
      </c>
    </row>
    <row r="117" spans="6:7" x14ac:dyDescent="0.25">
      <c r="F117" s="336" t="s">
        <v>118</v>
      </c>
      <c r="G117" s="58" t="str">
        <f ca="1">'Pseudo-load coefficients'!$C$335</f>
        <v>Section 105-L: Peak load based on average pseudo load coefficient</v>
      </c>
    </row>
    <row r="118" spans="6:7" x14ac:dyDescent="0.25">
      <c r="F118" s="336" t="s">
        <v>118</v>
      </c>
      <c r="G118" s="58" t="str">
        <f ca="1">'Pseudo-load coefficients'!$C$359</f>
        <v>Section 105-M: Adjustment group flags</v>
      </c>
    </row>
    <row r="119" spans="6:7" x14ac:dyDescent="0.25">
      <c r="F119" s="336" t="s">
        <v>118</v>
      </c>
      <c r="G119" s="58" t="str">
        <f ca="1">'Pseudo-load coefficients'!$C$365</f>
        <v>Section 105-N: Average pseudo load coefficient for HH tariff forecast, based on average split of units for NHH tariff forecast</v>
      </c>
    </row>
    <row r="120" spans="6:7" x14ac:dyDescent="0.25">
      <c r="F120" s="336" t="s">
        <v>118</v>
      </c>
      <c r="G120" s="58" t="str">
        <f ca="1">'Pseudo-load coefficients'!$C$393</f>
        <v>Section 105-O: Volume weighted average pseudo load coefficient by profile class</v>
      </c>
    </row>
    <row r="121" spans="6:7" x14ac:dyDescent="0.25">
      <c r="F121" s="336" t="s">
        <v>118</v>
      </c>
      <c r="G121" s="58" t="str">
        <f ca="1">'Pseudo-load coefficients'!$C$417</f>
        <v>Section 105-P: Relative correction factors</v>
      </c>
    </row>
    <row r="122" spans="6:7" x14ac:dyDescent="0.25">
      <c r="F122" s="336" t="s">
        <v>118</v>
      </c>
      <c r="G122" s="58" t="str">
        <f ca="1">'Pseudo-load coefficients'!$C$485</f>
        <v>Section 105-Q: Final correction factors for Paragraph 72A adjustment</v>
      </c>
    </row>
    <row r="123" spans="6:7" x14ac:dyDescent="0.25">
      <c r="F123" s="336" t="s">
        <v>118</v>
      </c>
      <c r="G123" s="58" t="str">
        <f ca="1">'Pseudo-load coefficients'!$C$502</f>
        <v>Section 105-R: Load coefficient</v>
      </c>
    </row>
    <row r="124" spans="6:7" ht="15.75" thickBot="1" x14ac:dyDescent="0.3">
      <c r="F124" s="336" t="s">
        <v>118</v>
      </c>
      <c r="G124" s="58" t="str">
        <f ca="1">'Pseudo-load coefficients'!$C$506</f>
        <v>Section 105-S: Pseudo load coefficients, by unit rate</v>
      </c>
    </row>
    <row r="125" spans="6:7" ht="15.75" thickTop="1" x14ac:dyDescent="0.25">
      <c r="F125" s="337" t="s">
        <v>74</v>
      </c>
      <c r="G125" s="58" t="str">
        <f ca="1">'System peak demand'!$C$18</f>
        <v>Section 106-A: Common inputs for chargeable load calculations</v>
      </c>
    </row>
    <row r="126" spans="6:7" x14ac:dyDescent="0.25">
      <c r="F126" s="336" t="s">
        <v>118</v>
      </c>
      <c r="G126" s="58" t="str">
        <f ca="1">'System peak demand'!$C$67</f>
        <v>Section 106-B: System peak load, by unit rate</v>
      </c>
    </row>
    <row r="127" spans="6:7" x14ac:dyDescent="0.25">
      <c r="F127" s="336" t="s">
        <v>118</v>
      </c>
      <c r="G127" s="58" t="str">
        <f ca="1">'System peak demand'!$C$138</f>
        <v>Section 106-C: System peak load, all unit rates</v>
      </c>
    </row>
    <row r="128" spans="6:7" x14ac:dyDescent="0.25">
      <c r="F128" s="336" t="s">
        <v>118</v>
      </c>
      <c r="G128" s="58" t="str">
        <f ca="1">'System peak demand'!$C$164</f>
        <v>Section 106-D: Unit rate contributions to chargeable peak load</v>
      </c>
    </row>
    <row r="129" spans="6:7" x14ac:dyDescent="0.25">
      <c r="F129" s="336" t="s">
        <v>118</v>
      </c>
      <c r="G129" s="58" t="str">
        <f ca="1">'System peak demand'!$C$184</f>
        <v>Section 106-E: Adjustment of import and exceeded capacity</v>
      </c>
    </row>
    <row r="130" spans="6:7" x14ac:dyDescent="0.25">
      <c r="F130" s="336" t="s">
        <v>118</v>
      </c>
      <c r="G130" s="58" t="str">
        <f ca="1">'System peak demand'!$C$194</f>
        <v>Section 106-F: Calculation of LV circuit diversity factor</v>
      </c>
    </row>
    <row r="131" spans="6:7" x14ac:dyDescent="0.25">
      <c r="F131" s="336" t="s">
        <v>118</v>
      </c>
      <c r="G131" s="58" t="str">
        <f ca="1">'System peak demand'!$C$236</f>
        <v>Section 106-G: Import/exceeded capacity contribution to system peak</v>
      </c>
    </row>
    <row r="132" spans="6:7" x14ac:dyDescent="0.25">
      <c r="F132" s="336" t="s">
        <v>118</v>
      </c>
      <c r="G132" s="58" t="str">
        <f ca="1">'System peak demand'!$C$249</f>
        <v>Section 106-H: Estimated capacity contribution to system peak</v>
      </c>
    </row>
    <row r="133" spans="6:7" ht="15.75" thickBot="1" x14ac:dyDescent="0.3">
      <c r="F133" s="336" t="s">
        <v>118</v>
      </c>
      <c r="G133" s="58" t="str">
        <f ca="1">'System peak demand'!$C$266</f>
        <v>Section 106-I: System peak based on chargeable load</v>
      </c>
    </row>
    <row r="134" spans="6:7" ht="16.5" thickTop="1" thickBot="1" x14ac:dyDescent="0.3">
      <c r="F134" s="337" t="s">
        <v>76</v>
      </c>
      <c r="G134" s="58" t="str">
        <f ca="1">'Service model assets'!$C$14</f>
        <v>Section 107-A: Service model notional asset values</v>
      </c>
    </row>
    <row r="135" spans="6:7" ht="15.75" thickTop="1" x14ac:dyDescent="0.25">
      <c r="F135" s="337" t="s">
        <v>78</v>
      </c>
      <c r="G135" s="58" t="str">
        <f ca="1">'Unit costs'!$C$19</f>
        <v>Section 108-A: Financial data</v>
      </c>
    </row>
    <row r="136" spans="6:7" x14ac:dyDescent="0.25">
      <c r="F136" s="336" t="s">
        <v>118</v>
      </c>
      <c r="G136" s="58" t="str">
        <f ca="1">'Unit costs'!$C$27</f>
        <v>Section 108-B: Diversity and loss adjustment factors</v>
      </c>
    </row>
    <row r="137" spans="6:7" x14ac:dyDescent="0.25">
      <c r="F137" s="336" t="s">
        <v>118</v>
      </c>
      <c r="G137" s="58" t="str">
        <f ca="1">'Unit costs'!$C$35</f>
        <v>Section 108-C: Maximum demand</v>
      </c>
    </row>
    <row r="138" spans="6:7" x14ac:dyDescent="0.25">
      <c r="F138" s="336" t="s">
        <v>118</v>
      </c>
      <c r="G138" s="58" t="str">
        <f ca="1">'Unit costs'!$C$42</f>
        <v>Section 108-D: Rerouting matrix</v>
      </c>
    </row>
    <row r="139" spans="6:7" x14ac:dyDescent="0.25">
      <c r="F139" s="336" t="s">
        <v>118</v>
      </c>
      <c r="G139" s="58" t="str">
        <f ca="1">'Unit costs'!$C$50</f>
        <v>Section 108-E: Annuitised cost of assets</v>
      </c>
    </row>
    <row r="140" spans="6:7" x14ac:dyDescent="0.25">
      <c r="F140" s="336" t="s">
        <v>118</v>
      </c>
      <c r="G140" s="58" t="str">
        <f ca="1">'Unit costs'!$C$62</f>
        <v>Section 108-F: System simultaneous peak load based on charegable units</v>
      </c>
    </row>
    <row r="141" spans="6:7" x14ac:dyDescent="0.25">
      <c r="F141" s="336" t="s">
        <v>118</v>
      </c>
      <c r="G141" s="58" t="str">
        <f ca="1">'Unit costs'!$C$69</f>
        <v>Section 108-G: Notional asset values, by network level</v>
      </c>
    </row>
    <row r="142" spans="6:7" x14ac:dyDescent="0.25">
      <c r="F142" s="336" t="s">
        <v>118</v>
      </c>
      <c r="G142" s="58" t="str">
        <f ca="1">'Unit costs'!$C$80</f>
        <v>Section 108-H: Other operating costs</v>
      </c>
    </row>
    <row r="143" spans="6:7" x14ac:dyDescent="0.25">
      <c r="F143" s="336" t="s">
        <v>118</v>
      </c>
      <c r="G143" s="58" t="str">
        <f ca="1">'Unit costs'!$C$92</f>
        <v>Section 108-I: Other operating costs by network level</v>
      </c>
    </row>
    <row r="144" spans="6:7" x14ac:dyDescent="0.25">
      <c r="F144" s="336" t="s">
        <v>118</v>
      </c>
      <c r="G144" s="58" t="str">
        <f ca="1">'Unit costs'!$C$104</f>
        <v>Section 108-J: Notional asset values by network level</v>
      </c>
    </row>
    <row r="145" spans="6:7" x14ac:dyDescent="0.25">
      <c r="F145" s="336" t="s">
        <v>118</v>
      </c>
      <c r="G145" s="58" t="str">
        <f ca="1">'Unit costs'!$C$110</f>
        <v>Section 108-K: Unit costs</v>
      </c>
    </row>
    <row r="146" spans="6:7" ht="15.75" thickBot="1" x14ac:dyDescent="0.3">
      <c r="F146" s="336" t="s">
        <v>118</v>
      </c>
      <c r="G146" s="58" t="str">
        <f ca="1">'Unit costs'!$C$117</f>
        <v>Section 108-L: Values used for allocating costs to service models</v>
      </c>
    </row>
    <row r="147" spans="6:7" ht="15.75" thickTop="1" x14ac:dyDescent="0.25">
      <c r="F147" s="337" t="s">
        <v>80</v>
      </c>
      <c r="G147" s="58" t="str">
        <f ca="1">'Initial unit rates'!$C$13</f>
        <v>Section 109-A: Inputs for yardstick and unit rate calculations</v>
      </c>
    </row>
    <row r="148" spans="6:7" x14ac:dyDescent="0.25">
      <c r="F148" s="336" t="s">
        <v>118</v>
      </c>
      <c r="G148" s="58" t="str">
        <f ca="1">'Initial unit rates'!$C$118</f>
        <v>Section 109-B: Yardstick charges</v>
      </c>
    </row>
    <row r="149" spans="6:7" x14ac:dyDescent="0.25">
      <c r="F149" s="336" t="s">
        <v>118</v>
      </c>
      <c r="G149" s="58" t="str">
        <f ca="1">'Initial unit rates'!$C$146</f>
        <v>Section 109-C: Unit rate 1</v>
      </c>
    </row>
    <row r="150" spans="6:7" x14ac:dyDescent="0.25">
      <c r="F150" s="336" t="s">
        <v>118</v>
      </c>
      <c r="G150" s="58" t="str">
        <f ca="1">'Initial unit rates'!$C$175</f>
        <v>Section 109-D: Unit rate 2</v>
      </c>
    </row>
    <row r="151" spans="6:7" ht="15.75" thickBot="1" x14ac:dyDescent="0.3">
      <c r="F151" s="336" t="s">
        <v>118</v>
      </c>
      <c r="G151" s="58" t="str">
        <f ca="1">'Initial unit rates'!$C$204</f>
        <v>Section 109-E: Unit rate 3</v>
      </c>
    </row>
    <row r="152" spans="6:7" ht="15.75" thickTop="1" x14ac:dyDescent="0.25">
      <c r="F152" s="337" t="s">
        <v>82</v>
      </c>
      <c r="G152" s="58" t="str">
        <f ca="1">'Service model charges'!$C$17</f>
        <v>Section 110-A: Inputs to service model charge calculation</v>
      </c>
    </row>
    <row r="153" spans="6:7" x14ac:dyDescent="0.25">
      <c r="F153" s="336" t="s">
        <v>118</v>
      </c>
      <c r="G153" s="58" t="str">
        <f ca="1">'Service model charges'!$C$33</f>
        <v>Section 110-B: Calculation of other operating expenditure per £ of notional asset value</v>
      </c>
    </row>
    <row r="154" spans="6:7" ht="15.75" thickBot="1" x14ac:dyDescent="0.3">
      <c r="F154" s="336" t="s">
        <v>118</v>
      </c>
      <c r="G154" s="58" t="str">
        <f ca="1">'Service model charges'!$C$37</f>
        <v>Section 110-C: Calculation of service model charges</v>
      </c>
    </row>
    <row r="155" spans="6:7" ht="15.75" thickTop="1" x14ac:dyDescent="0.25">
      <c r="F155" s="337" t="s">
        <v>84</v>
      </c>
      <c r="G155" s="58" t="str">
        <f ca="1">'Unit rate charges'!$C$19</f>
        <v>Section 111-A: Initial unit rate 1</v>
      </c>
    </row>
    <row r="156" spans="6:7" x14ac:dyDescent="0.25">
      <c r="F156" s="336" t="s">
        <v>118</v>
      </c>
      <c r="G156" s="58" t="str">
        <f ca="1">'Unit rate charges'!$C$49</f>
        <v>Section 111-B: Initial unit rate 2</v>
      </c>
    </row>
    <row r="157" spans="6:7" x14ac:dyDescent="0.25">
      <c r="F157" s="336" t="s">
        <v>118</v>
      </c>
      <c r="G157" s="58" t="str">
        <f ca="1">'Unit rate charges'!$C$79</f>
        <v>Section 111-C: Initial unit rate 3</v>
      </c>
    </row>
    <row r="158" spans="6:7" x14ac:dyDescent="0.25">
      <c r="F158" s="336" t="s">
        <v>118</v>
      </c>
      <c r="G158" s="58" t="str">
        <f ca="1">'Unit rate charges'!$C$109</f>
        <v>Section 111-D: Standing charge factors</v>
      </c>
    </row>
    <row r="159" spans="6:7" x14ac:dyDescent="0.25">
      <c r="F159" s="336" t="s">
        <v>118</v>
      </c>
      <c r="G159" s="58" t="str">
        <f ca="1">'Unit rate charges'!$C$124</f>
        <v>Section 111-E: Contributions to unit rate 1 p/kWh by network level (taking account of standing charges)</v>
      </c>
    </row>
    <row r="160" spans="6:7" x14ac:dyDescent="0.25">
      <c r="F160" s="336" t="s">
        <v>118</v>
      </c>
      <c r="G160" s="58" t="str">
        <f ca="1">'Unit rate charges'!$C$154</f>
        <v>Section 111-F: Contributions to unit rate 2 p/kWh by network level (taking account of standing charges)</v>
      </c>
    </row>
    <row r="161" spans="6:7" x14ac:dyDescent="0.25">
      <c r="F161" s="336" t="s">
        <v>118</v>
      </c>
      <c r="G161" s="58" t="str">
        <f ca="1">'Unit rate charges'!$C$184</f>
        <v>Section 111-G: Contributions to unit rate 3 p/kWh by network level (taking account of standing charges)</v>
      </c>
    </row>
    <row r="162" spans="6:7" ht="15.75" thickBot="1" x14ac:dyDescent="0.3">
      <c r="F162" s="336" t="s">
        <v>118</v>
      </c>
      <c r="G162" s="58" t="str">
        <f ca="1">'Unit rate charges'!$C$214</f>
        <v>Section 111-H: Unit rates, post application of standing charges</v>
      </c>
    </row>
    <row r="163" spans="6:7" ht="15.75" thickTop="1" x14ac:dyDescent="0.25">
      <c r="F163" s="337" t="s">
        <v>86</v>
      </c>
      <c r="G163" s="58" t="str">
        <f ca="1">'Reactive power charges'!$C$17</f>
        <v>Section 112-A: Inputs to reactive power charge calculations</v>
      </c>
    </row>
    <row r="164" spans="6:7" x14ac:dyDescent="0.25">
      <c r="F164" s="336" t="s">
        <v>118</v>
      </c>
      <c r="G164" s="58" t="str">
        <f ca="1">'Reactive power charges'!$C$120</f>
        <v>Section 112-B: Yardstick charge (demand)</v>
      </c>
    </row>
    <row r="165" spans="6:7" x14ac:dyDescent="0.25">
      <c r="F165" s="336" t="s">
        <v>118</v>
      </c>
      <c r="G165" s="58" t="str">
        <f ca="1">'Reactive power charges'!$C$155</f>
        <v>Section 112-C: Yardstick charge used for generation</v>
      </c>
    </row>
    <row r="166" spans="6:7" x14ac:dyDescent="0.25">
      <c r="F166" s="336" t="s">
        <v>118</v>
      </c>
      <c r="G166" s="58" t="str">
        <f ca="1">'Reactive power charges'!$C$190</f>
        <v>Section 112-D: Reactive power charges, all customer categories</v>
      </c>
    </row>
    <row r="167" spans="6:7" ht="15.75" thickBot="1" x14ac:dyDescent="0.3">
      <c r="F167" s="336" t="s">
        <v>118</v>
      </c>
      <c r="G167" s="58" t="str">
        <f ca="1">'Reactive power charges'!$C$220</f>
        <v>Section 112-E: Reactive power charges for applicable customers</v>
      </c>
    </row>
    <row r="168" spans="6:7" ht="15.75" thickTop="1" x14ac:dyDescent="0.25">
      <c r="F168" s="337" t="s">
        <v>88</v>
      </c>
      <c r="G168" s="58" t="str">
        <f ca="1">'Capacity charges'!$C$19</f>
        <v>Section 113-A: Inputs to capacity charge calculations</v>
      </c>
    </row>
    <row r="169" spans="6:7" x14ac:dyDescent="0.25">
      <c r="F169" s="336" t="s">
        <v>118</v>
      </c>
      <c r="G169" s="58" t="str">
        <f ca="1">'Capacity charges'!$C$129</f>
        <v>Section 113-B: Capacity-based charge elements (to be split between capacity &amp; fixed charges)</v>
      </c>
    </row>
    <row r="170" spans="6:7" x14ac:dyDescent="0.25">
      <c r="F170" s="336" t="s">
        <v>118</v>
      </c>
      <c r="G170" s="58" t="str">
        <f ca="1">'Capacity charges'!$C$159</f>
        <v>Section 113-C: Exceeded capacity-based charge elements</v>
      </c>
    </row>
    <row r="171" spans="6:7" x14ac:dyDescent="0.25">
      <c r="F171" s="336" t="s">
        <v>118</v>
      </c>
      <c r="G171" s="58" t="str">
        <f ca="1">'Capacity charges'!$C$189</f>
        <v>Section 113-D: Capacity charges for eligible customers, by network level</v>
      </c>
    </row>
    <row r="172" spans="6:7" x14ac:dyDescent="0.25">
      <c r="F172" s="336" t="s">
        <v>118</v>
      </c>
      <c r="G172" s="58" t="str">
        <f ca="1">'Capacity charges'!$C$219</f>
        <v>Section 113-E: Exceeded capacity charges for eligible customers, by network level</v>
      </c>
    </row>
    <row r="173" spans="6:7" x14ac:dyDescent="0.25">
      <c r="F173" s="336" t="s">
        <v>118</v>
      </c>
      <c r="G173" s="58" t="str">
        <f ca="1">'Capacity charges'!$C$254</f>
        <v>Section 113-F: Capacity and exceeded capacity charges</v>
      </c>
    </row>
    <row r="174" spans="6:7" ht="15.75" thickBot="1" x14ac:dyDescent="0.3">
      <c r="F174" s="336" t="s">
        <v>118</v>
      </c>
      <c r="G174" s="58" t="str">
        <f ca="1">'Capacity charges'!$C$259</f>
        <v>Section 113-G: Capacity elements allocated to fixed charges</v>
      </c>
    </row>
    <row r="175" spans="6:7" ht="15.75" thickTop="1" x14ac:dyDescent="0.25">
      <c r="F175" s="337" t="s">
        <v>90</v>
      </c>
      <c r="G175" s="58" t="str">
        <f ca="1">'Fixed charges'!$C$16</f>
        <v>Section 114-A: Volumes (discounted MPANs &amp; maximum load)</v>
      </c>
    </row>
    <row r="176" spans="6:7" x14ac:dyDescent="0.25">
      <c r="F176" s="336" t="s">
        <v>118</v>
      </c>
      <c r="G176" s="58" t="str">
        <f ca="1">'Fixed charges'!$C$22</f>
        <v>Section 114-B: Capacity elements allocated to fixed charges</v>
      </c>
    </row>
    <row r="177" spans="6:7" x14ac:dyDescent="0.25">
      <c r="F177" s="336" t="s">
        <v>118</v>
      </c>
      <c r="G177" s="58" t="str">
        <f ca="1">'Fixed charges'!$C$52</f>
        <v>Section 114-C: Service model costs allocated to fixed charges</v>
      </c>
    </row>
    <row r="178" spans="6:7" x14ac:dyDescent="0.25">
      <c r="F178" s="336" t="s">
        <v>118</v>
      </c>
      <c r="G178" s="58" t="str">
        <f ca="1">'Fixed charges'!$C$58</f>
        <v>Section 114-D: Flags</v>
      </c>
    </row>
    <row r="179" spans="6:7" x14ac:dyDescent="0.25">
      <c r="F179" s="336" t="s">
        <v>118</v>
      </c>
      <c r="G179" s="58" t="str">
        <f ca="1">'Fixed charges'!$C$67</f>
        <v>Section 114-E: Revenue allocated to fixed charges</v>
      </c>
    </row>
    <row r="180" spans="6:7" x14ac:dyDescent="0.25">
      <c r="F180" s="336" t="s">
        <v>118</v>
      </c>
      <c r="G180" s="58" t="str">
        <f ca="1">'Fixed charges'!$C$97</f>
        <v>Section 114-F: Revenue allocated to fixed charges, by aggregation group</v>
      </c>
    </row>
    <row r="181" spans="6:7" x14ac:dyDescent="0.25">
      <c r="F181" s="336" t="s">
        <v>118</v>
      </c>
      <c r="G181" s="58" t="str">
        <f ca="1">'Fixed charges'!$C$127</f>
        <v>Section 114-G: Fixed charges, by network level</v>
      </c>
    </row>
    <row r="182" spans="6:7" ht="15.75" thickBot="1" x14ac:dyDescent="0.3">
      <c r="F182" s="336" t="s">
        <v>118</v>
      </c>
      <c r="G182" s="58" t="str">
        <f ca="1">'Fixed charges'!$C$159</f>
        <v>Section 114-H: Aggregated fixed charges</v>
      </c>
    </row>
    <row r="183" spans="6:7" ht="15.75" thickTop="1" x14ac:dyDescent="0.25">
      <c r="F183" s="337" t="s">
        <v>92</v>
      </c>
      <c r="G183" s="58" t="str">
        <f ca="1">'Revenue matching'!$C$15</f>
        <v>Section 115-A: Inputs to revenue matching</v>
      </c>
    </row>
    <row r="184" spans="6:7" x14ac:dyDescent="0.25">
      <c r="F184" s="336" t="s">
        <v>118</v>
      </c>
      <c r="G184" s="58" t="str">
        <f ca="1">'Revenue matching'!$C$39</f>
        <v>Section 115-B: Net revenue before matching</v>
      </c>
    </row>
    <row r="185" spans="6:7" x14ac:dyDescent="0.25">
      <c r="F185" s="336" t="s">
        <v>118</v>
      </c>
      <c r="G185" s="58" t="str">
        <f ca="1">'Revenue matching'!$C$62</f>
        <v>Section 115-C: Calculation of unconstrained adder solution</v>
      </c>
    </row>
    <row r="186" spans="6:7" x14ac:dyDescent="0.25">
      <c r="F186" s="336" t="s">
        <v>118</v>
      </c>
      <c r="G186" s="58" t="str">
        <f ca="1">'Revenue matching'!$C$86</f>
        <v>Section 115-D: Algorithm to find constrained adder solution</v>
      </c>
    </row>
    <row r="187" spans="6:7" ht="15.75" thickBot="1" x14ac:dyDescent="0.3">
      <c r="F187" s="336" t="s">
        <v>118</v>
      </c>
      <c r="G187" s="58" t="str">
        <f ca="1">'Revenue matching'!$C$125</f>
        <v>Section 115-E: Adder to be applied to unit rates</v>
      </c>
    </row>
    <row r="188" spans="6:7" ht="15.75" thickTop="1" x14ac:dyDescent="0.25">
      <c r="F188" s="337" t="s">
        <v>94</v>
      </c>
      <c r="G188" s="58" t="str">
        <f ca="1">Rounding!$C$16</f>
        <v>Section 116-A: Pre-match, pre-rounding tariff forecast</v>
      </c>
    </row>
    <row r="189" spans="6:7" x14ac:dyDescent="0.25">
      <c r="F189" s="336" t="s">
        <v>118</v>
      </c>
      <c r="G189" s="58" t="str">
        <f ca="1">Rounding!$C$28</f>
        <v>Section 116-B: Adder to be applied to unit rates</v>
      </c>
    </row>
    <row r="190" spans="6:7" x14ac:dyDescent="0.25">
      <c r="F190" s="336" t="s">
        <v>118</v>
      </c>
      <c r="G190" s="58" t="str">
        <f ca="1">Rounding!$C$40</f>
        <v>Section 116-C: LDNO discounts</v>
      </c>
    </row>
    <row r="191" spans="6:7" x14ac:dyDescent="0.25">
      <c r="F191" s="336" t="s">
        <v>118</v>
      </c>
      <c r="G191" s="58" t="str">
        <f ca="1">Rounding!$C$60</f>
        <v>Section 116-D: Decimal places for rounding</v>
      </c>
    </row>
    <row r="192" spans="6:7" x14ac:dyDescent="0.25">
      <c r="F192" s="336" t="s">
        <v>118</v>
      </c>
      <c r="G192" s="58" t="str">
        <f ca="1">Rounding!$C$75</f>
        <v>Section 116-E: All the way tariff forecast, pre-rounding</v>
      </c>
    </row>
    <row r="193" spans="6:7" ht="15.75" thickBot="1" x14ac:dyDescent="0.3">
      <c r="F193" s="336" t="s">
        <v>118</v>
      </c>
      <c r="G193" s="58" t="str">
        <f ca="1">Rounding!$C$86</f>
        <v>Section 116-F: tariff forecast, post-rounding</v>
      </c>
    </row>
    <row r="194" spans="6:7" ht="15.75" thickTop="1" x14ac:dyDescent="0.25">
      <c r="F194" s="337" t="s">
        <v>96</v>
      </c>
      <c r="G194" s="58" t="str">
        <f ca="1">'Net revenue summary'!$C$13</f>
        <v>Section 117-A: Volume forecasts</v>
      </c>
    </row>
    <row r="195" spans="6:7" x14ac:dyDescent="0.25">
      <c r="F195" s="336" t="s">
        <v>118</v>
      </c>
      <c r="G195" s="58" t="str">
        <f ca="1">'Net revenue summary'!$C$42</f>
        <v>Section 117-B: Tariff forecast</v>
      </c>
    </row>
    <row r="196" spans="6:7" x14ac:dyDescent="0.25">
      <c r="F196" s="336" t="s">
        <v>118</v>
      </c>
      <c r="G196" s="58" t="str">
        <f ca="1">'Net revenue summary'!$C$71</f>
        <v>Section 117-C: Net revenue components</v>
      </c>
    </row>
    <row r="197" spans="6:7" x14ac:dyDescent="0.25">
      <c r="F197" s="336" t="s">
        <v>118</v>
      </c>
      <c r="G197" s="58" t="str">
        <f ca="1">'Net revenue summary'!$C$79</f>
        <v>Section 117-D: Net revenue by tariff</v>
      </c>
    </row>
    <row r="198" spans="6:7" x14ac:dyDescent="0.25">
      <c r="F198" s="336" t="s">
        <v>118</v>
      </c>
      <c r="G198" s="58" t="str">
        <f ca="1">'Net revenue summary'!$C$111</f>
        <v>Section 117-E: Net revenue summary (for information only)</v>
      </c>
    </row>
    <row r="199" spans="6:7" x14ac:dyDescent="0.25">
      <c r="F199" s="336" t="s">
        <v>118</v>
      </c>
      <c r="G199" s="58" t="str">
        <f ca="1">'Net revenue summary'!$C$122</f>
        <v>Section 117-F: Typical bills</v>
      </c>
    </row>
    <row r="200" spans="6:7" x14ac:dyDescent="0.25">
      <c r="F200" s="336" t="s">
        <v>118</v>
      </c>
      <c r="G200" s="58" t="str">
        <f ca="1">'Net revenue summary'!$C$128</f>
        <v>Section 117-G: Average bill per kWh</v>
      </c>
    </row>
    <row r="201" spans="6:7" x14ac:dyDescent="0.25">
      <c r="F201" s="336" t="s">
        <v>118</v>
      </c>
      <c r="G201" s="58" t="str">
        <f ca="1">'Net revenue summary'!$C$136</f>
        <v>Section 117-H: Previous year all the way tariff forecast</v>
      </c>
    </row>
    <row r="202" spans="6:7" x14ac:dyDescent="0.25">
      <c r="F202" s="336" t="s">
        <v>118</v>
      </c>
      <c r="G202" s="58" t="str">
        <f ca="1">'Net revenue summary'!$C$147</f>
        <v>Section 117-I: Previous year net revenue from all the way tariff forecast</v>
      </c>
    </row>
    <row r="203" spans="6:7" x14ac:dyDescent="0.25">
      <c r="F203" s="336" t="s">
        <v>118</v>
      </c>
      <c r="G203" s="58" t="str">
        <f ca="1">'Net revenue summary'!$C$162</f>
        <v>Section 117-J: LDNO typical bills using all-the-way volumes</v>
      </c>
    </row>
    <row r="204" spans="6:7" ht="15.75" thickBot="1" x14ac:dyDescent="0.3">
      <c r="F204" s="336" t="s">
        <v>118</v>
      </c>
      <c r="G204" s="58" t="str">
        <f ca="1">'Net revenue summary'!$C$186</f>
        <v>Section 117-K: LDNO margins</v>
      </c>
    </row>
    <row r="205" spans="6:7" ht="16.5" thickTop="1" thickBot="1" x14ac:dyDescent="0.3">
      <c r="F205" s="339" t="s">
        <v>98</v>
      </c>
      <c r="G205" s="58" t="str">
        <f>'Tariff summary'!$C$13</f>
        <v>Output 101-A: Tariffs for 2020/21</v>
      </c>
    </row>
    <row r="206" spans="6:7" ht="15.75" thickTop="1" x14ac:dyDescent="0.25">
      <c r="F206" s="339" t="s">
        <v>100</v>
      </c>
      <c r="G206" s="58" t="str">
        <f ca="1">'Output to other models'!$C$14</f>
        <v>Output 102-A: CDCM notional EHV asset values</v>
      </c>
    </row>
    <row r="207" spans="6:7" x14ac:dyDescent="0.25">
      <c r="F207" s="338" t="s">
        <v>118</v>
      </c>
      <c r="G207" s="58" t="str">
        <f ca="1">'Output to other models'!$C$27</f>
        <v>Output 102-B: CDCM end user tariff forecast</v>
      </c>
    </row>
    <row r="208" spans="6:7" x14ac:dyDescent="0.25">
      <c r="F208" s="338" t="s">
        <v>118</v>
      </c>
      <c r="G208" s="58" t="str">
        <f ca="1">'Output to other models'!$C$40</f>
        <v>Output 102-C: CDCM non-tariff outputs to EDCM</v>
      </c>
    </row>
    <row r="209" spans="2:7" x14ac:dyDescent="0.25">
      <c r="F209" s="338" t="s">
        <v>118</v>
      </c>
      <c r="G209" s="58" t="str">
        <f ca="1">'Output to other models'!$C$52</f>
        <v>Output 102-D: Outputs for DNOs' internal use</v>
      </c>
    </row>
    <row r="210" spans="2:7" x14ac:dyDescent="0.25">
      <c r="F210" s="338" t="s">
        <v>118</v>
      </c>
      <c r="G210" s="58" t="str">
        <f ca="1">'Output to other models'!$C$62</f>
        <v>Output 102-E: Outputs for IDNOs' internal use</v>
      </c>
    </row>
    <row r="212" spans="2:7" x14ac:dyDescent="0.25">
      <c r="B212" s="30" t="s">
        <v>108</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WPD EMEB - [enter data version name]</v>
      </c>
    </row>
    <row r="3" spans="1:8" s="5" customFormat="1" x14ac:dyDescent="0.25">
      <c r="A3" s="5" t="str">
        <f>Cover!D2&amp;" - "&amp;Cover!D8&amp;" v"&amp;Cover!D10&amp;" - "&amp;Cover!D19</f>
        <v>CDCM charging model - Release for charge setting v3 - 2020/21</v>
      </c>
    </row>
    <row r="5" spans="1:8" x14ac:dyDescent="0.25">
      <c r="B5" s="41" t="s">
        <v>123</v>
      </c>
      <c r="C5" s="41"/>
      <c r="D5" s="41"/>
      <c r="E5" s="41"/>
      <c r="F5" s="42"/>
      <c r="G5" s="42"/>
      <c r="H5" s="42"/>
    </row>
    <row r="6" spans="1:8" x14ac:dyDescent="0.25">
      <c r="B6" s="40"/>
      <c r="C6" s="40"/>
      <c r="D6" s="40"/>
      <c r="E6" s="40"/>
      <c r="F6" s="43"/>
      <c r="G6" s="40"/>
      <c r="H6" s="40"/>
    </row>
    <row r="7" spans="1:8" x14ac:dyDescent="0.25">
      <c r="F7" s="58" t="s">
        <v>124</v>
      </c>
      <c r="G7" t="s">
        <v>125</v>
      </c>
      <c r="H7" t="s">
        <v>116</v>
      </c>
    </row>
    <row r="8" spans="1:8" x14ac:dyDescent="0.25">
      <c r="F8" s="58" t="s">
        <v>126</v>
      </c>
      <c r="G8" t="s">
        <v>127</v>
      </c>
      <c r="H8" t="s">
        <v>55</v>
      </c>
    </row>
    <row r="9" spans="1:8" x14ac:dyDescent="0.25">
      <c r="F9" s="58" t="s">
        <v>128</v>
      </c>
      <c r="G9" t="s">
        <v>129</v>
      </c>
      <c r="H9" t="s">
        <v>62</v>
      </c>
    </row>
    <row r="10" spans="1:8" x14ac:dyDescent="0.25">
      <c r="F10" s="58" t="s">
        <v>130</v>
      </c>
      <c r="G10" t="s">
        <v>131</v>
      </c>
      <c r="H10" t="s">
        <v>116</v>
      </c>
    </row>
    <row r="11" spans="1:8" x14ac:dyDescent="0.25">
      <c r="F11" s="58" t="s">
        <v>132</v>
      </c>
      <c r="G11" t="s">
        <v>133</v>
      </c>
      <c r="H11" t="s">
        <v>55</v>
      </c>
    </row>
    <row r="12" spans="1:8" x14ac:dyDescent="0.25">
      <c r="F12" s="58" t="s">
        <v>134</v>
      </c>
      <c r="G12" t="s">
        <v>135</v>
      </c>
      <c r="H12" t="s">
        <v>62</v>
      </c>
    </row>
    <row r="13" spans="1:8" x14ac:dyDescent="0.25">
      <c r="F13" s="58" t="s">
        <v>136</v>
      </c>
      <c r="G13" t="s">
        <v>137</v>
      </c>
      <c r="H13" t="s">
        <v>55</v>
      </c>
    </row>
    <row r="14" spans="1:8" x14ac:dyDescent="0.25">
      <c r="F14" s="58" t="s">
        <v>138</v>
      </c>
      <c r="G14" t="s">
        <v>139</v>
      </c>
      <c r="H14" t="s">
        <v>98</v>
      </c>
    </row>
    <row r="15" spans="1:8" x14ac:dyDescent="0.25">
      <c r="F15" s="58" t="s">
        <v>140</v>
      </c>
      <c r="G15" t="s">
        <v>141</v>
      </c>
      <c r="H15" t="s">
        <v>55</v>
      </c>
    </row>
    <row r="16" spans="1:8" x14ac:dyDescent="0.25">
      <c r="F16" s="58" t="s">
        <v>142</v>
      </c>
      <c r="G16" t="s">
        <v>143</v>
      </c>
      <c r="H16" t="s">
        <v>55</v>
      </c>
    </row>
    <row r="17" spans="2:8" x14ac:dyDescent="0.25">
      <c r="F17" s="58" t="s">
        <v>144</v>
      </c>
      <c r="G17" t="s">
        <v>145</v>
      </c>
      <c r="H17" t="s">
        <v>55</v>
      </c>
    </row>
    <row r="18" spans="2:8" x14ac:dyDescent="0.25">
      <c r="F18" s="58"/>
    </row>
    <row r="19" spans="2:8" x14ac:dyDescent="0.25">
      <c r="B19" s="41" t="s">
        <v>108</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183</v>
      </c>
    </row>
    <row r="11" spans="1:44" x14ac:dyDescent="0.25">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133</v>
      </c>
      <c r="G15" t="s">
        <v>184</v>
      </c>
      <c r="H15" s="277">
        <v>24</v>
      </c>
    </row>
    <row r="16" spans="1:44" x14ac:dyDescent="0.25">
      <c r="E16" s="28" t="s">
        <v>185</v>
      </c>
      <c r="G16" t="s">
        <v>186</v>
      </c>
      <c r="H16" s="277">
        <v>10</v>
      </c>
    </row>
    <row r="17" spans="3:44" x14ac:dyDescent="0.25">
      <c r="E17" s="28" t="s">
        <v>187</v>
      </c>
      <c r="G17" t="s">
        <v>186</v>
      </c>
      <c r="H17" s="277">
        <v>100</v>
      </c>
    </row>
    <row r="18" spans="3:44" x14ac:dyDescent="0.25">
      <c r="E18" s="28" t="s">
        <v>188</v>
      </c>
      <c r="G18" t="s">
        <v>186</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189</v>
      </c>
    </row>
    <row r="23" spans="3:44" x14ac:dyDescent="0.25">
      <c r="E23" s="32"/>
    </row>
    <row r="24" spans="3:44" x14ac:dyDescent="0.25">
      <c r="E24" s="32" t="s">
        <v>190</v>
      </c>
      <c r="F24" s="29"/>
      <c r="I24" t="s">
        <v>191</v>
      </c>
      <c r="AR24" t="s">
        <v>192</v>
      </c>
    </row>
    <row r="25" spans="3:44" x14ac:dyDescent="0.25">
      <c r="F25" s="23" t="s">
        <v>193</v>
      </c>
      <c r="G25" s="23" t="s">
        <v>186</v>
      </c>
      <c r="H25" s="281">
        <v>3</v>
      </c>
    </row>
    <row r="26" spans="3:44" x14ac:dyDescent="0.25">
      <c r="F26" t="s">
        <v>194</v>
      </c>
      <c r="G26" t="s">
        <v>186</v>
      </c>
      <c r="H26" s="277">
        <v>3</v>
      </c>
    </row>
    <row r="27" spans="3:44" x14ac:dyDescent="0.25">
      <c r="F27" t="s">
        <v>195</v>
      </c>
      <c r="G27" t="s">
        <v>186</v>
      </c>
      <c r="H27" s="277">
        <v>3</v>
      </c>
    </row>
    <row r="28" spans="3:44" x14ac:dyDescent="0.25">
      <c r="F28" t="s">
        <v>196</v>
      </c>
      <c r="G28" t="s">
        <v>186</v>
      </c>
      <c r="H28" s="277">
        <v>2</v>
      </c>
    </row>
    <row r="29" spans="3:44" x14ac:dyDescent="0.25">
      <c r="F29" t="s">
        <v>197</v>
      </c>
      <c r="G29" t="s">
        <v>186</v>
      </c>
      <c r="H29" s="277">
        <v>2</v>
      </c>
    </row>
    <row r="30" spans="3:44" x14ac:dyDescent="0.25">
      <c r="F30" t="s">
        <v>198</v>
      </c>
      <c r="G30" t="s">
        <v>186</v>
      </c>
      <c r="H30" s="277">
        <v>2</v>
      </c>
    </row>
    <row r="31" spans="3:44" x14ac:dyDescent="0.25">
      <c r="F31" s="37" t="s">
        <v>199</v>
      </c>
      <c r="G31" s="37" t="s">
        <v>186</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200</v>
      </c>
      <c r="G35" t="s">
        <v>201</v>
      </c>
      <c r="H35" s="277">
        <v>40</v>
      </c>
      <c r="I35" t="s">
        <v>191</v>
      </c>
      <c r="AR35" s="3" t="s">
        <v>202</v>
      </c>
    </row>
    <row r="37" spans="3:44" x14ac:dyDescent="0.25">
      <c r="E37" s="28" t="s">
        <v>203</v>
      </c>
      <c r="G37" t="s">
        <v>204</v>
      </c>
      <c r="H37" s="277">
        <v>0.95</v>
      </c>
      <c r="I37" t="s">
        <v>191</v>
      </c>
      <c r="AR37" t="s">
        <v>205</v>
      </c>
    </row>
    <row r="39" spans="3:44" x14ac:dyDescent="0.25">
      <c r="E39" s="28" t="s">
        <v>206</v>
      </c>
      <c r="G39" t="s">
        <v>204</v>
      </c>
      <c r="H39" s="283">
        <v>0.6</v>
      </c>
      <c r="I39" t="s">
        <v>191</v>
      </c>
      <c r="AR39" s="3" t="s">
        <v>207</v>
      </c>
    </row>
    <row r="41" spans="3:44" x14ac:dyDescent="0.25">
      <c r="E41" s="28" t="s">
        <v>208</v>
      </c>
      <c r="G41" s="28" t="s">
        <v>209</v>
      </c>
      <c r="H41" s="277">
        <v>500</v>
      </c>
      <c r="I41" t="s">
        <v>191</v>
      </c>
      <c r="AR41" s="63" t="s">
        <v>210</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211</v>
      </c>
    </row>
    <row r="46" spans="3:44" x14ac:dyDescent="0.25">
      <c r="F46" s="64" t="s">
        <v>212</v>
      </c>
      <c r="G46" s="23" t="s">
        <v>213</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214</v>
      </c>
      <c r="G47" t="s">
        <v>213</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215</v>
      </c>
      <c r="G48" t="s">
        <v>213</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216</v>
      </c>
      <c r="G49" s="37" t="s">
        <v>213</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217</v>
      </c>
      <c r="I51" t="s">
        <v>191</v>
      </c>
      <c r="AR51" s="3" t="s">
        <v>218</v>
      </c>
    </row>
    <row r="52" spans="5:44" x14ac:dyDescent="0.25">
      <c r="E52" s="29" t="s">
        <v>219</v>
      </c>
    </row>
    <row r="53" spans="5:44" x14ac:dyDescent="0.25">
      <c r="F53" s="64" t="s">
        <v>220</v>
      </c>
      <c r="G53" s="23" t="s">
        <v>213</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221</v>
      </c>
      <c r="G54" t="s">
        <v>213</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222</v>
      </c>
      <c r="G55" t="s">
        <v>213</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223</v>
      </c>
      <c r="G56" s="37" t="s">
        <v>213</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224</v>
      </c>
    </row>
    <row r="59" spans="5:44" x14ac:dyDescent="0.25">
      <c r="E59" s="29" t="s">
        <v>225</v>
      </c>
    </row>
    <row r="60" spans="5:44" x14ac:dyDescent="0.25">
      <c r="F60" s="23" t="s">
        <v>226</v>
      </c>
      <c r="G60" s="23" t="s">
        <v>227</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228</v>
      </c>
      <c r="G61" t="s">
        <v>227</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229</v>
      </c>
      <c r="G62" t="s">
        <v>227</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230</v>
      </c>
      <c r="G63" t="s">
        <v>227</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231</v>
      </c>
      <c r="G64" t="s">
        <v>227</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232</v>
      </c>
      <c r="G65" t="s">
        <v>227</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233</v>
      </c>
      <c r="G66" t="s">
        <v>227</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234</v>
      </c>
      <c r="G67" t="s">
        <v>227</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235</v>
      </c>
      <c r="G68" t="s">
        <v>227</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236</v>
      </c>
      <c r="G69" s="37" t="s">
        <v>227</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237</v>
      </c>
      <c r="I71" t="s">
        <v>191</v>
      </c>
      <c r="AR71" s="3" t="s">
        <v>238</v>
      </c>
    </row>
    <row r="72" spans="5:44" x14ac:dyDescent="0.25">
      <c r="E72" s="29" t="s">
        <v>239</v>
      </c>
    </row>
    <row r="73" spans="5:44" x14ac:dyDescent="0.25">
      <c r="E73" s="29"/>
      <c r="F73" s="23" t="s">
        <v>226</v>
      </c>
      <c r="G73" s="23" t="s">
        <v>227</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228</v>
      </c>
      <c r="G74" t="s">
        <v>227</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229</v>
      </c>
      <c r="G75" t="s">
        <v>227</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230</v>
      </c>
      <c r="G76" t="s">
        <v>227</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231</v>
      </c>
      <c r="G77" t="s">
        <v>227</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232</v>
      </c>
      <c r="G78" t="s">
        <v>227</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233</v>
      </c>
      <c r="G79" t="s">
        <v>227</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234</v>
      </c>
      <c r="G80" t="s">
        <v>227</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235</v>
      </c>
      <c r="G81" t="s">
        <v>227</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236</v>
      </c>
      <c r="G82" s="37" t="s">
        <v>227</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239</v>
      </c>
      <c r="F86" s="29"/>
    </row>
    <row r="87" spans="3:44" x14ac:dyDescent="0.25">
      <c r="E87" s="29"/>
      <c r="F87" s="29"/>
    </row>
    <row r="88" spans="3:44" x14ac:dyDescent="0.25">
      <c r="E88" s="32" t="s">
        <v>122</v>
      </c>
      <c r="F88" s="32"/>
      <c r="I88" t="s">
        <v>191</v>
      </c>
      <c r="AR88" t="s">
        <v>240</v>
      </c>
    </row>
    <row r="89" spans="3:44" x14ac:dyDescent="0.25">
      <c r="E89" s="29"/>
      <c r="F89" s="23" t="s">
        <v>226</v>
      </c>
      <c r="G89" s="23" t="s">
        <v>204</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228</v>
      </c>
      <c r="G90" t="s">
        <v>204</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229</v>
      </c>
      <c r="G91" t="s">
        <v>204</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230</v>
      </c>
      <c r="G92" t="s">
        <v>204</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231</v>
      </c>
      <c r="G93" t="s">
        <v>204</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232</v>
      </c>
      <c r="G94" t="s">
        <v>204</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233</v>
      </c>
      <c r="G95" t="s">
        <v>204</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234</v>
      </c>
      <c r="G96" t="s">
        <v>204</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235</v>
      </c>
      <c r="G97" t="s">
        <v>204</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236</v>
      </c>
      <c r="G98" s="37" t="s">
        <v>204</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241</v>
      </c>
      <c r="E102" s="32"/>
    </row>
    <row r="103" spans="3:44" x14ac:dyDescent="0.25">
      <c r="D103" s="29" t="s">
        <v>242</v>
      </c>
      <c r="E103" s="29"/>
    </row>
    <row r="104" spans="3:44" x14ac:dyDescent="0.25">
      <c r="D104" s="29" t="s">
        <v>243</v>
      </c>
      <c r="E104" s="29"/>
    </row>
    <row r="105" spans="3:44" x14ac:dyDescent="0.25">
      <c r="D105" s="29"/>
      <c r="E105" s="32" t="s">
        <v>244</v>
      </c>
    </row>
    <row r="106" spans="3:44" x14ac:dyDescent="0.25">
      <c r="D106" s="29"/>
      <c r="F106" s="28" t="s">
        <v>245</v>
      </c>
      <c r="G106" t="s">
        <v>246</v>
      </c>
      <c r="I106" t="s">
        <v>191</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247</v>
      </c>
    </row>
    <row r="107" spans="3:44" x14ac:dyDescent="0.25">
      <c r="D107" s="29"/>
      <c r="E107" s="28"/>
      <c r="F107" s="28" t="s">
        <v>248</v>
      </c>
      <c r="G107" t="s">
        <v>204</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249</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245</v>
      </c>
      <c r="G110" t="s">
        <v>246</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248</v>
      </c>
      <c r="G111" t="s">
        <v>204</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250</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245</v>
      </c>
      <c r="G114" t="s">
        <v>246</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248</v>
      </c>
      <c r="G115" t="s">
        <v>204</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251</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245</v>
      </c>
      <c r="G118" t="s">
        <v>246</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248</v>
      </c>
      <c r="G119" t="s">
        <v>204</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252</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245</v>
      </c>
      <c r="G122" t="s">
        <v>246</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248</v>
      </c>
      <c r="G123" t="s">
        <v>204</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253</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254</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255</v>
      </c>
      <c r="G127" t="s">
        <v>246</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256</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257</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258</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256</v>
      </c>
      <c r="G132" t="s">
        <v>246</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259</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260</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261</v>
      </c>
      <c r="G136" t="s">
        <v>246</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262</v>
      </c>
      <c r="I138" t="s">
        <v>191</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263</v>
      </c>
    </row>
    <row r="139" spans="4:44" x14ac:dyDescent="0.25">
      <c r="E139" s="29" t="s">
        <v>264</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265</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197</v>
      </c>
      <c r="G141" t="s">
        <v>213</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198</v>
      </c>
      <c r="G142" t="s">
        <v>213</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266</v>
      </c>
      <c r="G143" t="s">
        <v>213</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267</v>
      </c>
      <c r="G144" t="s">
        <v>213</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268</v>
      </c>
      <c r="F148" s="32"/>
    </row>
    <row r="149" spans="3:44" x14ac:dyDescent="0.25">
      <c r="E149" s="29" t="s">
        <v>269</v>
      </c>
      <c r="F149" s="29"/>
    </row>
    <row r="150" spans="3:44" x14ac:dyDescent="0.25">
      <c r="E150" s="29"/>
      <c r="F150" s="28" t="s">
        <v>268</v>
      </c>
      <c r="G150" t="s">
        <v>186</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270</v>
      </c>
    </row>
    <row r="153" spans="3:44" x14ac:dyDescent="0.25">
      <c r="E153" s="29" t="s">
        <v>271</v>
      </c>
    </row>
    <row r="154" spans="3:44" x14ac:dyDescent="0.25">
      <c r="E154" s="29"/>
      <c r="F154" s="72" t="s">
        <v>272</v>
      </c>
      <c r="G154" t="s">
        <v>273</v>
      </c>
      <c r="J154" s="285" t="s">
        <v>274</v>
      </c>
      <c r="K154" s="285" t="s">
        <v>274</v>
      </c>
      <c r="L154" s="285" t="s">
        <v>274</v>
      </c>
      <c r="M154" s="285" t="s">
        <v>275</v>
      </c>
      <c r="N154" s="285" t="s">
        <v>275</v>
      </c>
      <c r="O154" s="285" t="s">
        <v>275</v>
      </c>
      <c r="P154" s="70"/>
      <c r="Q154" s="70"/>
      <c r="R154" s="70"/>
      <c r="S154" s="285" t="s">
        <v>158</v>
      </c>
      <c r="T154" s="285" t="s">
        <v>276</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277</v>
      </c>
      <c r="G155" t="s">
        <v>273</v>
      </c>
      <c r="J155" s="285" t="s">
        <v>278</v>
      </c>
      <c r="K155" s="285" t="s">
        <v>278</v>
      </c>
      <c r="L155" s="285" t="s">
        <v>278</v>
      </c>
      <c r="M155" s="285" t="s">
        <v>279</v>
      </c>
      <c r="N155" s="285" t="s">
        <v>279</v>
      </c>
      <c r="O155" s="285" t="s">
        <v>279</v>
      </c>
      <c r="P155" s="70"/>
      <c r="Q155" s="70"/>
      <c r="R155" s="70"/>
      <c r="S155" s="285" t="s">
        <v>278</v>
      </c>
      <c r="T155" s="285" t="s">
        <v>279</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280</v>
      </c>
      <c r="G159" t="s">
        <v>186</v>
      </c>
      <c r="H159" s="277">
        <v>5</v>
      </c>
    </row>
    <row r="161" spans="2:44" x14ac:dyDescent="0.25">
      <c r="B161" s="30" t="s">
        <v>281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282</v>
      </c>
      <c r="G163" s="6" t="s">
        <v>57</v>
      </c>
      <c r="H163" s="24">
        <f t="array" ref="H163">SUM(IF(ISERROR(H15:AP155), 1))</f>
        <v>0</v>
      </c>
      <c r="I163" s="3"/>
    </row>
    <row r="164" spans="2:44" x14ac:dyDescent="0.25">
      <c r="I164" s="3"/>
    </row>
    <row r="165" spans="2:44" x14ac:dyDescent="0.25">
      <c r="E165" t="s">
        <v>283</v>
      </c>
      <c r="G165" s="6" t="s">
        <v>57</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284</v>
      </c>
      <c r="I167" s="3"/>
    </row>
    <row r="168" spans="2:44" x14ac:dyDescent="0.25">
      <c r="F168" s="23" t="s">
        <v>285</v>
      </c>
      <c r="G168" s="73" t="s">
        <v>57</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286</v>
      </c>
      <c r="G169" s="6" t="s">
        <v>57</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287</v>
      </c>
      <c r="G170" s="6" t="s">
        <v>57</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288</v>
      </c>
      <c r="G171" s="6" t="s">
        <v>57</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289</v>
      </c>
      <c r="G172" s="50" t="s">
        <v>57</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290</v>
      </c>
      <c r="G174" s="6" t="s">
        <v>57</v>
      </c>
      <c r="H174" s="26">
        <f>H163 + H165 + SUM(H168:H172)</f>
        <v>0</v>
      </c>
      <c r="I174" s="3"/>
    </row>
    <row r="175" spans="2:44" x14ac:dyDescent="0.25">
      <c r="I175" s="3"/>
    </row>
    <row r="176" spans="2:44" x14ac:dyDescent="0.25">
      <c r="B176" s="30" t="s">
        <v>108</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zoomScale="80" zoomScaleNormal="80" workbookViewId="0">
      <pane xSplit="9" ySplit="5" topLeftCell="O6" activePane="bottomRight" state="frozen"/>
      <selection pane="topRight" activeCell="N50" sqref="N50"/>
      <selection pane="bottomLeft" activeCell="N50" sqref="N50"/>
      <selection pane="bottomRight" activeCell="X24" sqref="X24:AA24"/>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WPD EMEB - [enter data version name]</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291</v>
      </c>
    </row>
    <row r="11" spans="1:44" x14ac:dyDescent="0.25">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292</v>
      </c>
      <c r="G15" s="13" t="s">
        <v>204</v>
      </c>
      <c r="I15" t="s">
        <v>191</v>
      </c>
      <c r="J15" s="287">
        <v>0.41407872498730502</v>
      </c>
      <c r="K15" s="287">
        <v>0.49248975388733579</v>
      </c>
      <c r="L15" s="287">
        <v>0.14305577157852312</v>
      </c>
      <c r="M15" s="287">
        <v>0.34609457148438277</v>
      </c>
      <c r="N15" s="287">
        <v>0.49545703656924811</v>
      </c>
      <c r="O15" s="287">
        <v>0.24100502718886166</v>
      </c>
      <c r="P15" s="287">
        <v>0.49840423475127543</v>
      </c>
      <c r="Q15" s="287">
        <v>0.49840423475127543</v>
      </c>
      <c r="R15" s="287">
        <v>0.45245269166658703</v>
      </c>
      <c r="S15" s="287">
        <v>0.43865363928278661</v>
      </c>
      <c r="T15" s="287">
        <v>0.43823771268620382</v>
      </c>
      <c r="U15" s="287">
        <v>0.54894368430984619</v>
      </c>
      <c r="V15" s="287">
        <v>0.5869018049531709</v>
      </c>
      <c r="W15" s="287">
        <v>0.71829507571907503</v>
      </c>
      <c r="X15" s="287">
        <v>0.99999999999989286</v>
      </c>
      <c r="Y15" s="287">
        <v>0.47339376284943491</v>
      </c>
      <c r="Z15" s="287">
        <v>0.26105460677253245</v>
      </c>
      <c r="AA15" s="287">
        <v>0.51369285328412573</v>
      </c>
      <c r="AB15" s="287">
        <v>0.44099130198956971</v>
      </c>
      <c r="AC15" s="70"/>
      <c r="AD15" s="70"/>
      <c r="AE15" s="70"/>
      <c r="AF15" s="70"/>
      <c r="AG15" s="70"/>
      <c r="AH15" s="70"/>
      <c r="AI15" s="70"/>
      <c r="AJ15" s="70"/>
      <c r="AK15" s="70"/>
      <c r="AL15" s="70"/>
      <c r="AM15" s="70"/>
      <c r="AN15" s="70"/>
      <c r="AO15" s="70"/>
      <c r="AP15" s="70"/>
      <c r="AR15" t="s">
        <v>293</v>
      </c>
    </row>
    <row r="16" spans="1:44" x14ac:dyDescent="0.25">
      <c r="E16" s="28" t="s">
        <v>294</v>
      </c>
      <c r="G16" s="13" t="s">
        <v>204</v>
      </c>
      <c r="I16" t="s">
        <v>191</v>
      </c>
      <c r="J16" s="287">
        <v>0.92367240367563086</v>
      </c>
      <c r="K16" s="287">
        <v>0.9075472005377071</v>
      </c>
      <c r="L16" s="77"/>
      <c r="M16" s="287">
        <v>0.61692796143931661</v>
      </c>
      <c r="N16" s="287">
        <v>0.79655092022147578</v>
      </c>
      <c r="O16" s="77"/>
      <c r="P16" s="287">
        <v>0.76849866998234573</v>
      </c>
      <c r="Q16" s="287">
        <v>0.76849866998234573</v>
      </c>
      <c r="R16" s="287">
        <v>0.71161920281123192</v>
      </c>
      <c r="S16" s="287">
        <v>0.91770070036425977</v>
      </c>
      <c r="T16" s="287">
        <v>0.7286543398258174</v>
      </c>
      <c r="U16" s="287">
        <v>0.77765575918340302</v>
      </c>
      <c r="V16" s="287">
        <v>0.80937096609958281</v>
      </c>
      <c r="W16" s="287">
        <v>0.81197577048147129</v>
      </c>
      <c r="X16" s="287">
        <v>1</v>
      </c>
      <c r="Y16" s="287">
        <v>1</v>
      </c>
      <c r="Z16" s="287">
        <v>1</v>
      </c>
      <c r="AA16" s="287">
        <v>2.8444444444444443E-4</v>
      </c>
      <c r="AB16" s="287">
        <v>0.93776475529294456</v>
      </c>
      <c r="AC16" s="70"/>
      <c r="AD16" s="70"/>
      <c r="AE16" s="70"/>
      <c r="AF16" s="70"/>
      <c r="AG16" s="70"/>
      <c r="AH16" s="70"/>
      <c r="AI16" s="70"/>
      <c r="AJ16" s="70"/>
      <c r="AK16" s="70"/>
      <c r="AL16" s="70"/>
      <c r="AM16" s="70"/>
      <c r="AN16" s="70"/>
      <c r="AO16" s="70"/>
      <c r="AP16" s="70"/>
      <c r="AR16" t="s">
        <v>295</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296</v>
      </c>
      <c r="G20" s="13"/>
      <c r="I20" t="s">
        <v>191</v>
      </c>
      <c r="AR20" t="s">
        <v>297</v>
      </c>
    </row>
    <row r="21" spans="3:44" x14ac:dyDescent="0.25">
      <c r="E21" s="32"/>
      <c r="F21" s="78" t="s">
        <v>298</v>
      </c>
      <c r="G21" s="78" t="s">
        <v>244</v>
      </c>
      <c r="H21" s="23"/>
      <c r="I21" s="23"/>
      <c r="J21" s="288">
        <v>5727223.5546060232</v>
      </c>
      <c r="K21" s="288">
        <v>2246637.0202637264</v>
      </c>
      <c r="L21" s="288">
        <v>23777.812108679751</v>
      </c>
      <c r="M21" s="288">
        <v>1151038.4249265536</v>
      </c>
      <c r="N21" s="288">
        <v>1501419.1038109311</v>
      </c>
      <c r="O21" s="288">
        <v>2608.5296353034564</v>
      </c>
      <c r="P21" s="288">
        <v>14960.241897686794</v>
      </c>
      <c r="Q21" s="288">
        <v>0.43263699199999994</v>
      </c>
      <c r="R21" s="288">
        <v>2548.6086671293438</v>
      </c>
      <c r="S21" s="288">
        <v>2657.3370184328815</v>
      </c>
      <c r="T21" s="288">
        <v>19645.290695455911</v>
      </c>
      <c r="U21" s="288">
        <v>374701.02025964757</v>
      </c>
      <c r="V21" s="288">
        <v>30204.612139499506</v>
      </c>
      <c r="W21" s="288">
        <v>737611.94825904525</v>
      </c>
      <c r="X21" s="288">
        <v>29025.063649476611</v>
      </c>
      <c r="Y21" s="288">
        <v>22350.368811724031</v>
      </c>
      <c r="Z21" s="288">
        <v>395.39625709926401</v>
      </c>
      <c r="AA21" s="288">
        <v>7679.7163795824645</v>
      </c>
      <c r="AB21" s="288">
        <v>10625.864662770657</v>
      </c>
      <c r="AC21" s="288">
        <v>1441.4409999999998</v>
      </c>
      <c r="AD21" s="288">
        <v>0</v>
      </c>
      <c r="AE21" s="288">
        <v>31028.512000000002</v>
      </c>
      <c r="AF21" s="288">
        <v>0</v>
      </c>
      <c r="AG21" s="288">
        <v>1530.0617253920277</v>
      </c>
      <c r="AH21" s="288">
        <v>0</v>
      </c>
      <c r="AI21" s="288">
        <v>3603.9466430000011</v>
      </c>
      <c r="AJ21" s="288">
        <v>0</v>
      </c>
      <c r="AK21" s="288">
        <v>423.59616493048139</v>
      </c>
      <c r="AL21" s="288">
        <v>0</v>
      </c>
      <c r="AM21" s="288">
        <v>460932.38117850013</v>
      </c>
      <c r="AN21" s="288">
        <v>0</v>
      </c>
      <c r="AO21" s="288">
        <v>90502.303315318844</v>
      </c>
      <c r="AP21" s="288">
        <v>0</v>
      </c>
    </row>
    <row r="22" spans="3:44" x14ac:dyDescent="0.25">
      <c r="E22" s="32"/>
      <c r="F22" s="72" t="s">
        <v>299</v>
      </c>
      <c r="G22" s="72" t="s">
        <v>244</v>
      </c>
      <c r="J22" s="79"/>
      <c r="K22" s="289">
        <v>1016555.5777678631</v>
      </c>
      <c r="L22" s="79"/>
      <c r="M22" s="79"/>
      <c r="N22" s="289">
        <v>451251.18137488526</v>
      </c>
      <c r="O22" s="79"/>
      <c r="P22" s="289">
        <v>4341.3901968379723</v>
      </c>
      <c r="Q22" s="289">
        <v>0</v>
      </c>
      <c r="R22" s="289">
        <v>842.84934146739215</v>
      </c>
      <c r="S22" s="289">
        <v>8187.595996185978</v>
      </c>
      <c r="T22" s="289">
        <v>77843.079337008559</v>
      </c>
      <c r="U22" s="289">
        <v>1498601.6468493079</v>
      </c>
      <c r="V22" s="289">
        <v>116712.23400507448</v>
      </c>
      <c r="W22" s="289">
        <v>2813454.6910302229</v>
      </c>
      <c r="X22" s="79"/>
      <c r="Y22" s="79"/>
      <c r="Z22" s="79"/>
      <c r="AA22" s="79"/>
      <c r="AB22" s="290">
        <v>33031.440290376238</v>
      </c>
      <c r="AC22" s="79"/>
      <c r="AD22" s="79"/>
      <c r="AE22" s="79"/>
      <c r="AF22" s="79"/>
      <c r="AG22" s="289">
        <v>6003.5671991277068</v>
      </c>
      <c r="AH22" s="289">
        <v>0</v>
      </c>
      <c r="AI22" s="79"/>
      <c r="AJ22" s="79"/>
      <c r="AK22" s="289">
        <v>1386.3166215887916</v>
      </c>
      <c r="AL22" s="289">
        <v>0</v>
      </c>
      <c r="AM22" s="79"/>
      <c r="AN22" s="79"/>
      <c r="AO22" s="289">
        <v>234395.58417537581</v>
      </c>
      <c r="AP22" s="289">
        <v>0</v>
      </c>
    </row>
    <row r="23" spans="3:44" x14ac:dyDescent="0.25">
      <c r="E23" s="32"/>
      <c r="F23" s="72" t="s">
        <v>300</v>
      </c>
      <c r="G23" s="72" t="s">
        <v>244</v>
      </c>
      <c r="J23" s="79"/>
      <c r="K23" s="79"/>
      <c r="L23" s="79"/>
      <c r="M23" s="79"/>
      <c r="N23" s="79"/>
      <c r="O23" s="79"/>
      <c r="P23" s="79"/>
      <c r="Q23" s="79"/>
      <c r="R23" s="79"/>
      <c r="S23" s="289">
        <v>13752.667872630456</v>
      </c>
      <c r="T23" s="289">
        <v>84385.798473301824</v>
      </c>
      <c r="U23" s="289">
        <v>1626548.7071108846</v>
      </c>
      <c r="V23" s="289">
        <v>135772.82140143303</v>
      </c>
      <c r="W23" s="289">
        <v>4052286.8914527148</v>
      </c>
      <c r="X23" s="79"/>
      <c r="Y23" s="79"/>
      <c r="Z23" s="79"/>
      <c r="AA23" s="79"/>
      <c r="AB23" s="290">
        <v>166291.0895487376</v>
      </c>
      <c r="AC23" s="79"/>
      <c r="AD23" s="79"/>
      <c r="AE23" s="79"/>
      <c r="AF23" s="79"/>
      <c r="AG23" s="289">
        <v>8927.0882180837252</v>
      </c>
      <c r="AH23" s="289">
        <v>0</v>
      </c>
      <c r="AI23" s="79"/>
      <c r="AJ23" s="79"/>
      <c r="AK23" s="289">
        <v>3100.3150081195781</v>
      </c>
      <c r="AL23" s="289">
        <v>0</v>
      </c>
      <c r="AM23" s="79"/>
      <c r="AN23" s="79"/>
      <c r="AO23" s="289">
        <v>405234.32478734496</v>
      </c>
      <c r="AP23" s="289">
        <v>0</v>
      </c>
    </row>
    <row r="24" spans="3:44" x14ac:dyDescent="0.25">
      <c r="E24" s="32"/>
      <c r="F24" s="72" t="s">
        <v>249</v>
      </c>
      <c r="G24" s="72" t="s">
        <v>249</v>
      </c>
      <c r="J24" s="289">
        <v>1726707.407553507</v>
      </c>
      <c r="K24" s="289">
        <v>743453.16784122027</v>
      </c>
      <c r="L24" s="289">
        <v>0</v>
      </c>
      <c r="M24" s="289">
        <v>95879.721386254867</v>
      </c>
      <c r="N24" s="289">
        <v>82292.67299191159</v>
      </c>
      <c r="O24" s="289">
        <v>0</v>
      </c>
      <c r="P24" s="289">
        <v>314.26284919123452</v>
      </c>
      <c r="Q24" s="289">
        <v>0.83287671232876703</v>
      </c>
      <c r="R24" s="289">
        <v>36.832876712328769</v>
      </c>
      <c r="S24" s="289">
        <v>6648.589604662181</v>
      </c>
      <c r="T24" s="289">
        <v>2705.1007261385821</v>
      </c>
      <c r="U24" s="289">
        <v>15003.221102696019</v>
      </c>
      <c r="V24" s="289">
        <v>376.98734183773303</v>
      </c>
      <c r="W24" s="289">
        <v>3533.4058829299429</v>
      </c>
      <c r="X24" s="289">
        <v>1612</v>
      </c>
      <c r="Y24" s="289">
        <v>1312</v>
      </c>
      <c r="Z24" s="289">
        <v>197</v>
      </c>
      <c r="AA24" s="289">
        <v>240</v>
      </c>
      <c r="AB24" s="289">
        <v>27.095890410958901</v>
      </c>
      <c r="AC24" s="289">
        <v>0</v>
      </c>
      <c r="AD24" s="289">
        <v>0</v>
      </c>
      <c r="AE24" s="289">
        <v>529.51229260273976</v>
      </c>
      <c r="AF24" s="289">
        <v>0</v>
      </c>
      <c r="AG24" s="289">
        <v>104.10217808219178</v>
      </c>
      <c r="AH24" s="289">
        <v>0</v>
      </c>
      <c r="AI24" s="289">
        <v>28.933541095890419</v>
      </c>
      <c r="AJ24" s="289">
        <v>0</v>
      </c>
      <c r="AK24" s="289">
        <v>6.8061575342465748</v>
      </c>
      <c r="AL24" s="289">
        <v>0</v>
      </c>
      <c r="AM24" s="289">
        <v>225.48004931506853</v>
      </c>
      <c r="AN24" s="289">
        <v>0</v>
      </c>
      <c r="AO24" s="289">
        <v>232.44540410958902</v>
      </c>
      <c r="AP24" s="289">
        <v>0</v>
      </c>
    </row>
    <row r="25" spans="3:44" x14ac:dyDescent="0.25">
      <c r="E25" s="32"/>
      <c r="F25" s="72" t="s">
        <v>301</v>
      </c>
      <c r="G25" s="72" t="s">
        <v>302</v>
      </c>
      <c r="J25" s="79"/>
      <c r="K25" s="79"/>
      <c r="L25" s="79"/>
      <c r="M25" s="79"/>
      <c r="N25" s="79"/>
      <c r="O25" s="79"/>
      <c r="P25" s="79"/>
      <c r="Q25" s="79"/>
      <c r="R25" s="79"/>
      <c r="S25" s="79"/>
      <c r="T25" s="79"/>
      <c r="U25" s="289">
        <v>2012756.1269389815</v>
      </c>
      <c r="V25" s="289">
        <v>134871.15068493152</v>
      </c>
      <c r="W25" s="289">
        <v>2791747.7905340358</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303</v>
      </c>
      <c r="G26" s="72" t="s">
        <v>302</v>
      </c>
      <c r="J26" s="79"/>
      <c r="K26" s="79"/>
      <c r="L26" s="79"/>
      <c r="M26" s="79"/>
      <c r="N26" s="79"/>
      <c r="O26" s="79"/>
      <c r="P26" s="79"/>
      <c r="Q26" s="79"/>
      <c r="R26" s="79"/>
      <c r="S26" s="79"/>
      <c r="T26" s="79"/>
      <c r="U26" s="289">
        <v>42592.376258778822</v>
      </c>
      <c r="V26" s="289">
        <v>2955.2953808219186</v>
      </c>
      <c r="W26" s="289">
        <v>69019.941675850831</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304</v>
      </c>
      <c r="G27" s="80" t="s">
        <v>305</v>
      </c>
      <c r="H27" s="37"/>
      <c r="I27" s="37"/>
      <c r="J27" s="81"/>
      <c r="K27" s="81"/>
      <c r="L27" s="81"/>
      <c r="M27" s="81"/>
      <c r="N27" s="81"/>
      <c r="O27" s="81"/>
      <c r="P27" s="81"/>
      <c r="Q27" s="81"/>
      <c r="R27" s="81"/>
      <c r="S27" s="81"/>
      <c r="T27" s="81"/>
      <c r="U27" s="291">
        <v>373665.31995114766</v>
      </c>
      <c r="V27" s="291">
        <v>22299.254923000008</v>
      </c>
      <c r="W27" s="291">
        <v>628646.07027292252</v>
      </c>
      <c r="X27" s="81"/>
      <c r="Y27" s="81"/>
      <c r="Z27" s="81"/>
      <c r="AA27" s="81"/>
      <c r="AB27" s="81"/>
      <c r="AC27" s="81"/>
      <c r="AD27" s="81"/>
      <c r="AE27" s="291">
        <v>2648.0790000000006</v>
      </c>
      <c r="AF27" s="81"/>
      <c r="AG27" s="291">
        <v>769.16792807999991</v>
      </c>
      <c r="AH27" s="81"/>
      <c r="AI27" s="291">
        <v>324.85729100000009</v>
      </c>
      <c r="AJ27" s="81"/>
      <c r="AK27" s="291">
        <v>334.46799999999996</v>
      </c>
      <c r="AL27" s="81"/>
      <c r="AM27" s="291">
        <v>6236.7726382500005</v>
      </c>
      <c r="AN27" s="81"/>
      <c r="AO27" s="291">
        <v>13294.739999999998</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306</v>
      </c>
      <c r="G29" s="80"/>
      <c r="H29" s="37"/>
      <c r="I29" t="s">
        <v>191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297</v>
      </c>
    </row>
    <row r="30" spans="3:44" x14ac:dyDescent="0.25">
      <c r="E30" s="32"/>
      <c r="F30" s="78" t="s">
        <v>298</v>
      </c>
      <c r="G30" s="72" t="s">
        <v>244</v>
      </c>
      <c r="I30" s="23"/>
      <c r="J30" s="288">
        <v>90706.231221793001</v>
      </c>
      <c r="K30" s="288">
        <v>4012.6525669850589</v>
      </c>
      <c r="L30" s="288">
        <v>0</v>
      </c>
      <c r="M30" s="288">
        <v>3865.1952078149543</v>
      </c>
      <c r="N30" s="288">
        <v>221.08087281558221</v>
      </c>
      <c r="O30" s="288">
        <v>0</v>
      </c>
      <c r="P30" s="288">
        <v>129.20657088607629</v>
      </c>
      <c r="Q30" s="83"/>
      <c r="R30" s="83"/>
      <c r="S30" s="288">
        <v>6.9725643128346757</v>
      </c>
      <c r="T30" s="288">
        <v>3.9756336172560971</v>
      </c>
      <c r="U30" s="288">
        <v>1476.9998397821612</v>
      </c>
      <c r="V30" s="83"/>
      <c r="W30" s="83"/>
      <c r="X30" s="288">
        <v>140.78398760357746</v>
      </c>
      <c r="Y30" s="288">
        <v>294.68721213077981</v>
      </c>
      <c r="Z30" s="288">
        <v>0</v>
      </c>
      <c r="AA30" s="288">
        <v>3.3906326441377281</v>
      </c>
      <c r="AB30" s="288">
        <v>0</v>
      </c>
      <c r="AC30" s="288">
        <v>19.391702000000002</v>
      </c>
      <c r="AD30" s="83"/>
      <c r="AE30" s="288">
        <v>0</v>
      </c>
      <c r="AF30" s="83"/>
      <c r="AG30" s="288">
        <v>0</v>
      </c>
      <c r="AH30" s="83"/>
      <c r="AI30" s="83"/>
      <c r="AJ30" s="83"/>
      <c r="AK30" s="83"/>
      <c r="AL30" s="83"/>
      <c r="AM30" s="83"/>
      <c r="AN30" s="83"/>
      <c r="AO30" s="83"/>
      <c r="AP30" s="83"/>
    </row>
    <row r="31" spans="3:44" x14ac:dyDescent="0.25">
      <c r="E31" s="32"/>
      <c r="F31" s="72" t="s">
        <v>299</v>
      </c>
      <c r="G31" s="72" t="s">
        <v>244</v>
      </c>
      <c r="J31" s="79"/>
      <c r="K31" s="289">
        <v>1474.2321988188905</v>
      </c>
      <c r="L31" s="79"/>
      <c r="M31" s="79"/>
      <c r="N31" s="289">
        <v>80.370832774097536</v>
      </c>
      <c r="O31" s="79"/>
      <c r="P31" s="289">
        <v>87.453794532356753</v>
      </c>
      <c r="Q31" s="79"/>
      <c r="R31" s="79"/>
      <c r="S31" s="289">
        <v>21.221578278736995</v>
      </c>
      <c r="T31" s="289">
        <v>13.814241848098465</v>
      </c>
      <c r="U31" s="289">
        <v>5428.3366144632464</v>
      </c>
      <c r="V31" s="79"/>
      <c r="W31" s="79"/>
      <c r="X31" s="79"/>
      <c r="Y31" s="79"/>
      <c r="Z31" s="79"/>
      <c r="AA31" s="79"/>
      <c r="AB31" s="290">
        <v>0</v>
      </c>
      <c r="AC31" s="79"/>
      <c r="AD31" s="79"/>
      <c r="AE31" s="79"/>
      <c r="AF31" s="79"/>
      <c r="AG31" s="289">
        <v>0</v>
      </c>
      <c r="AH31" s="79"/>
      <c r="AI31" s="79"/>
      <c r="AJ31" s="79"/>
      <c r="AK31" s="79"/>
      <c r="AL31" s="79"/>
      <c r="AM31" s="79"/>
      <c r="AN31" s="79"/>
      <c r="AO31" s="79"/>
      <c r="AP31" s="79"/>
    </row>
    <row r="32" spans="3:44" x14ac:dyDescent="0.25">
      <c r="E32" s="32"/>
      <c r="F32" s="72" t="s">
        <v>300</v>
      </c>
      <c r="G32" s="72" t="s">
        <v>244</v>
      </c>
      <c r="J32" s="79"/>
      <c r="K32" s="79"/>
      <c r="L32" s="79"/>
      <c r="M32" s="79"/>
      <c r="N32" s="79"/>
      <c r="O32" s="79"/>
      <c r="P32" s="79"/>
      <c r="Q32" s="79"/>
      <c r="R32" s="79"/>
      <c r="S32" s="289">
        <v>37.471511462341077</v>
      </c>
      <c r="T32" s="289">
        <v>45.81776188005373</v>
      </c>
      <c r="U32" s="289">
        <v>6615.9800236541769</v>
      </c>
      <c r="V32" s="79"/>
      <c r="W32" s="79"/>
      <c r="X32" s="79"/>
      <c r="Y32" s="79"/>
      <c r="Z32" s="79"/>
      <c r="AA32" s="79"/>
      <c r="AB32" s="290">
        <v>0</v>
      </c>
      <c r="AC32" s="79"/>
      <c r="AD32" s="79"/>
      <c r="AE32" s="79"/>
      <c r="AF32" s="79"/>
      <c r="AG32" s="289">
        <v>0</v>
      </c>
      <c r="AH32" s="79"/>
      <c r="AI32" s="79"/>
      <c r="AJ32" s="79"/>
      <c r="AK32" s="79"/>
      <c r="AL32" s="79"/>
      <c r="AM32" s="79"/>
      <c r="AN32" s="79"/>
      <c r="AO32" s="79"/>
      <c r="AP32" s="79"/>
    </row>
    <row r="33" spans="3:44" x14ac:dyDescent="0.25">
      <c r="E33" s="32"/>
      <c r="F33" s="72" t="s">
        <v>249</v>
      </c>
      <c r="G33" s="72" t="s">
        <v>249</v>
      </c>
      <c r="J33" s="289">
        <v>32201.229921917806</v>
      </c>
      <c r="K33" s="289">
        <v>1236.9380808219178</v>
      </c>
      <c r="L33" s="289">
        <v>0</v>
      </c>
      <c r="M33" s="289">
        <v>607.52541917808219</v>
      </c>
      <c r="N33" s="289">
        <v>10.725572602739726</v>
      </c>
      <c r="O33" s="289">
        <v>0</v>
      </c>
      <c r="P33" s="289">
        <v>4.8612164383561653</v>
      </c>
      <c r="Q33" s="79"/>
      <c r="R33" s="79"/>
      <c r="S33" s="289">
        <v>17.532236986301371</v>
      </c>
      <c r="T33" s="289">
        <v>1.3154191780821918</v>
      </c>
      <c r="U33" s="289">
        <v>60.059095890410966</v>
      </c>
      <c r="V33" s="79"/>
      <c r="W33" s="79"/>
      <c r="X33" s="289">
        <v>0</v>
      </c>
      <c r="Y33" s="289">
        <v>0</v>
      </c>
      <c r="Z33" s="289">
        <v>0</v>
      </c>
      <c r="AA33" s="289">
        <v>0</v>
      </c>
      <c r="AB33" s="289">
        <v>0</v>
      </c>
      <c r="AC33" s="289">
        <v>0</v>
      </c>
      <c r="AD33" s="79"/>
      <c r="AE33" s="289">
        <v>0</v>
      </c>
      <c r="AF33" s="79"/>
      <c r="AG33" s="289">
        <v>0</v>
      </c>
      <c r="AH33" s="79"/>
      <c r="AI33" s="79"/>
      <c r="AJ33" s="79"/>
      <c r="AK33" s="79"/>
      <c r="AL33" s="79"/>
      <c r="AM33" s="79"/>
      <c r="AN33" s="79"/>
      <c r="AO33" s="79"/>
      <c r="AP33" s="79"/>
    </row>
    <row r="34" spans="3:44" x14ac:dyDescent="0.25">
      <c r="E34" s="32"/>
      <c r="F34" s="72" t="s">
        <v>301</v>
      </c>
      <c r="G34" s="72" t="s">
        <v>302</v>
      </c>
      <c r="J34" s="79"/>
      <c r="K34" s="79"/>
      <c r="L34" s="79"/>
      <c r="M34" s="79"/>
      <c r="N34" s="79"/>
      <c r="O34" s="79"/>
      <c r="P34" s="79"/>
      <c r="Q34" s="79"/>
      <c r="R34" s="79"/>
      <c r="S34" s="79"/>
      <c r="T34" s="79"/>
      <c r="U34" s="289">
        <v>11724.637778082189</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303</v>
      </c>
      <c r="G35" s="72" t="s">
        <v>302</v>
      </c>
      <c r="J35" s="79"/>
      <c r="K35" s="79"/>
      <c r="L35" s="79"/>
      <c r="M35" s="79"/>
      <c r="N35" s="79"/>
      <c r="O35" s="79"/>
      <c r="P35" s="79"/>
      <c r="Q35" s="79"/>
      <c r="R35" s="79"/>
      <c r="S35" s="79"/>
      <c r="T35" s="79"/>
      <c r="U35" s="289">
        <v>39.814933972602745</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304</v>
      </c>
      <c r="G36" s="80" t="s">
        <v>305</v>
      </c>
      <c r="H36" s="37"/>
      <c r="I36" s="37"/>
      <c r="J36" s="81"/>
      <c r="K36" s="81"/>
      <c r="L36" s="81"/>
      <c r="M36" s="81"/>
      <c r="N36" s="81"/>
      <c r="O36" s="81"/>
      <c r="P36" s="81"/>
      <c r="Q36" s="81"/>
      <c r="R36" s="81"/>
      <c r="S36" s="81"/>
      <c r="T36" s="81"/>
      <c r="U36" s="291">
        <v>919.89154344999986</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307</v>
      </c>
      <c r="G38" s="80"/>
      <c r="H38" s="37"/>
      <c r="I38" t="s">
        <v>191</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297</v>
      </c>
    </row>
    <row r="39" spans="3:44" x14ac:dyDescent="0.25">
      <c r="F39" s="78" t="s">
        <v>298</v>
      </c>
      <c r="G39" s="72" t="s">
        <v>244</v>
      </c>
      <c r="I39" s="23"/>
      <c r="J39" s="288">
        <v>175842.18594634093</v>
      </c>
      <c r="K39" s="288">
        <v>7131.2458973914127</v>
      </c>
      <c r="L39" s="288">
        <v>0</v>
      </c>
      <c r="M39" s="288">
        <v>15280.377040827343</v>
      </c>
      <c r="N39" s="288">
        <v>1247.7986456769813</v>
      </c>
      <c r="O39" s="288">
        <v>0</v>
      </c>
      <c r="P39" s="288">
        <v>497.1657442260904</v>
      </c>
      <c r="Q39" s="83"/>
      <c r="R39" s="83"/>
      <c r="S39" s="288">
        <v>6.1021629312192065</v>
      </c>
      <c r="T39" s="288">
        <v>88.90940417389254</v>
      </c>
      <c r="U39" s="288">
        <v>14597.035550842567</v>
      </c>
      <c r="V39" s="288">
        <v>1238.2706110484576</v>
      </c>
      <c r="W39" s="288">
        <v>7826.6040878638278</v>
      </c>
      <c r="X39" s="288">
        <v>34.134849923926403</v>
      </c>
      <c r="Y39" s="288">
        <v>644.68298954125567</v>
      </c>
      <c r="Z39" s="288">
        <v>1.372096834944E-3</v>
      </c>
      <c r="AA39" s="288">
        <v>0</v>
      </c>
      <c r="AB39" s="288">
        <v>0</v>
      </c>
      <c r="AC39" s="288">
        <v>0</v>
      </c>
      <c r="AD39" s="288">
        <v>0</v>
      </c>
      <c r="AE39" s="288">
        <v>71.358007600000008</v>
      </c>
      <c r="AF39" s="83"/>
      <c r="AG39" s="288">
        <v>0</v>
      </c>
      <c r="AH39" s="83"/>
      <c r="AI39" s="288">
        <v>0</v>
      </c>
      <c r="AJ39" s="83"/>
      <c r="AK39" s="288">
        <v>0</v>
      </c>
      <c r="AL39" s="83"/>
      <c r="AM39" s="288">
        <v>5.3308365000000002</v>
      </c>
      <c r="AN39" s="83"/>
      <c r="AO39" s="288">
        <v>0</v>
      </c>
      <c r="AP39" s="83"/>
    </row>
    <row r="40" spans="3:44" x14ac:dyDescent="0.25">
      <c r="F40" s="72" t="s">
        <v>299</v>
      </c>
      <c r="G40" s="72" t="s">
        <v>244</v>
      </c>
      <c r="J40" s="79"/>
      <c r="K40" s="289">
        <v>2752.814922542364</v>
      </c>
      <c r="L40" s="79"/>
      <c r="M40" s="79"/>
      <c r="N40" s="289">
        <v>330.95054553818323</v>
      </c>
      <c r="O40" s="79"/>
      <c r="P40" s="289">
        <v>212.07382711673949</v>
      </c>
      <c r="Q40" s="79"/>
      <c r="R40" s="79"/>
      <c r="S40" s="289">
        <v>18.537530936878277</v>
      </c>
      <c r="T40" s="289">
        <v>287.67055690060766</v>
      </c>
      <c r="U40" s="289">
        <v>54699.338698454434</v>
      </c>
      <c r="V40" s="289">
        <v>4577.2989131506693</v>
      </c>
      <c r="W40" s="289">
        <v>27331.644755410642</v>
      </c>
      <c r="X40" s="79"/>
      <c r="Y40" s="79"/>
      <c r="Z40" s="79"/>
      <c r="AA40" s="79"/>
      <c r="AB40" s="290">
        <v>0</v>
      </c>
      <c r="AC40" s="79"/>
      <c r="AD40" s="79"/>
      <c r="AE40" s="79"/>
      <c r="AF40" s="79"/>
      <c r="AG40" s="289">
        <v>0</v>
      </c>
      <c r="AH40" s="79"/>
      <c r="AI40" s="79"/>
      <c r="AJ40" s="79"/>
      <c r="AK40" s="289">
        <v>0</v>
      </c>
      <c r="AL40" s="79"/>
      <c r="AM40" s="79"/>
      <c r="AN40" s="79"/>
      <c r="AO40" s="289">
        <v>0</v>
      </c>
      <c r="AP40" s="79"/>
    </row>
    <row r="41" spans="3:44" x14ac:dyDescent="0.25">
      <c r="F41" s="72" t="s">
        <v>300</v>
      </c>
      <c r="G41" s="72" t="s">
        <v>244</v>
      </c>
      <c r="J41" s="79"/>
      <c r="K41" s="79"/>
      <c r="L41" s="79"/>
      <c r="M41" s="79"/>
      <c r="N41" s="79"/>
      <c r="O41" s="79"/>
      <c r="P41" s="79"/>
      <c r="Q41" s="79"/>
      <c r="R41" s="79"/>
      <c r="S41" s="289">
        <v>29.894722236498524</v>
      </c>
      <c r="T41" s="289">
        <v>275.79822176894174</v>
      </c>
      <c r="U41" s="289">
        <v>65327.258144804458</v>
      </c>
      <c r="V41" s="289">
        <v>7338.4120807554873</v>
      </c>
      <c r="W41" s="289">
        <v>41381.491070825359</v>
      </c>
      <c r="X41" s="79"/>
      <c r="Y41" s="79"/>
      <c r="Z41" s="79"/>
      <c r="AA41" s="79"/>
      <c r="AB41" s="290">
        <v>0</v>
      </c>
      <c r="AC41" s="79"/>
      <c r="AD41" s="79"/>
      <c r="AE41" s="79"/>
      <c r="AF41" s="79"/>
      <c r="AG41" s="289">
        <v>0</v>
      </c>
      <c r="AH41" s="79"/>
      <c r="AI41" s="79"/>
      <c r="AJ41" s="79"/>
      <c r="AK41" s="289">
        <v>0</v>
      </c>
      <c r="AL41" s="79"/>
      <c r="AM41" s="79"/>
      <c r="AN41" s="79"/>
      <c r="AO41" s="289">
        <v>0</v>
      </c>
      <c r="AP41" s="79"/>
    </row>
    <row r="42" spans="3:44" x14ac:dyDescent="0.25">
      <c r="F42" s="72" t="s">
        <v>249</v>
      </c>
      <c r="G42" s="72" t="s">
        <v>249</v>
      </c>
      <c r="J42" s="289">
        <v>64167.903498630149</v>
      </c>
      <c r="K42" s="289">
        <v>2161.8216369863017</v>
      </c>
      <c r="L42" s="289">
        <v>0</v>
      </c>
      <c r="M42" s="289">
        <v>1513.2644547945206</v>
      </c>
      <c r="N42" s="289">
        <v>45.189687671232882</v>
      </c>
      <c r="O42" s="289">
        <v>0</v>
      </c>
      <c r="P42" s="289">
        <v>14.824323287671234</v>
      </c>
      <c r="Q42" s="79"/>
      <c r="R42" s="79"/>
      <c r="S42" s="289">
        <v>18.142541095890412</v>
      </c>
      <c r="T42" s="289">
        <v>13.302872602739725</v>
      </c>
      <c r="U42" s="289">
        <v>370.4231013698631</v>
      </c>
      <c r="V42" s="289">
        <v>8.6778547945205506</v>
      </c>
      <c r="W42" s="289">
        <v>37.045227397260277</v>
      </c>
      <c r="X42" s="289">
        <v>0</v>
      </c>
      <c r="Y42" s="289">
        <v>0</v>
      </c>
      <c r="Z42" s="289">
        <v>0</v>
      </c>
      <c r="AA42" s="289">
        <v>0</v>
      </c>
      <c r="AB42" s="289">
        <v>0</v>
      </c>
      <c r="AC42" s="289">
        <v>0</v>
      </c>
      <c r="AD42" s="289">
        <v>0</v>
      </c>
      <c r="AE42" s="289">
        <v>5.1473068493150684</v>
      </c>
      <c r="AF42" s="79"/>
      <c r="AG42" s="289">
        <v>0</v>
      </c>
      <c r="AH42" s="79"/>
      <c r="AI42" s="289">
        <v>0</v>
      </c>
      <c r="AJ42" s="79"/>
      <c r="AK42" s="289">
        <v>0</v>
      </c>
      <c r="AL42" s="79"/>
      <c r="AM42" s="289">
        <v>0.21349041095890409</v>
      </c>
      <c r="AN42" s="79"/>
      <c r="AO42" s="289">
        <v>0</v>
      </c>
      <c r="AP42" s="79"/>
    </row>
    <row r="43" spans="3:44" x14ac:dyDescent="0.25">
      <c r="F43" s="72" t="s">
        <v>301</v>
      </c>
      <c r="G43" s="72" t="s">
        <v>302</v>
      </c>
      <c r="J43" s="79"/>
      <c r="K43" s="79"/>
      <c r="L43" s="79"/>
      <c r="M43" s="79"/>
      <c r="N43" s="79"/>
      <c r="O43" s="79"/>
      <c r="P43" s="79"/>
      <c r="Q43" s="79"/>
      <c r="R43" s="79"/>
      <c r="S43" s="79"/>
      <c r="T43" s="79"/>
      <c r="U43" s="289">
        <v>110516.27473835615</v>
      </c>
      <c r="V43" s="289">
        <v>5879.2099917808227</v>
      </c>
      <c r="W43" s="289">
        <v>50936.123534246581</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303</v>
      </c>
      <c r="G44" s="72" t="s">
        <v>302</v>
      </c>
      <c r="J44" s="79"/>
      <c r="K44" s="79"/>
      <c r="L44" s="79"/>
      <c r="M44" s="79"/>
      <c r="N44" s="79"/>
      <c r="O44" s="79"/>
      <c r="P44" s="79"/>
      <c r="Q44" s="79"/>
      <c r="R44" s="79"/>
      <c r="S44" s="79"/>
      <c r="T44" s="79"/>
      <c r="U44" s="289">
        <v>331.76625342465752</v>
      </c>
      <c r="V44" s="289">
        <v>65.642334246575345</v>
      </c>
      <c r="W44" s="289">
        <v>140.6746</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304</v>
      </c>
      <c r="G45" s="80" t="s">
        <v>305</v>
      </c>
      <c r="H45" s="37"/>
      <c r="I45" s="37"/>
      <c r="J45" s="81"/>
      <c r="K45" s="81"/>
      <c r="L45" s="81"/>
      <c r="M45" s="81"/>
      <c r="N45" s="81"/>
      <c r="O45" s="81"/>
      <c r="P45" s="81"/>
      <c r="Q45" s="81"/>
      <c r="R45" s="81"/>
      <c r="S45" s="81"/>
      <c r="T45" s="81"/>
      <c r="U45" s="291">
        <v>9734.5960591000003</v>
      </c>
      <c r="V45" s="291">
        <v>1284.3620080499998</v>
      </c>
      <c r="W45" s="291">
        <v>2361.2876358500007</v>
      </c>
      <c r="X45" s="81"/>
      <c r="Y45" s="81"/>
      <c r="Z45" s="81"/>
      <c r="AA45" s="81"/>
      <c r="AB45" s="81"/>
      <c r="AC45" s="81"/>
      <c r="AD45" s="81"/>
      <c r="AE45" s="291">
        <v>33.892680800000008</v>
      </c>
      <c r="AF45" s="81"/>
      <c r="AG45" s="291">
        <v>0</v>
      </c>
      <c r="AH45" s="81"/>
      <c r="AI45" s="291">
        <v>0</v>
      </c>
      <c r="AJ45" s="81"/>
      <c r="AK45" s="291">
        <v>0</v>
      </c>
      <c r="AL45" s="81"/>
      <c r="AM45" s="291">
        <v>0</v>
      </c>
      <c r="AN45" s="81"/>
      <c r="AO45" s="291">
        <v>0</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308</v>
      </c>
      <c r="G49" s="13"/>
    </row>
    <row r="50" spans="4:44" x14ac:dyDescent="0.25">
      <c r="D50" s="29" t="s">
        <v>309</v>
      </c>
      <c r="G50" s="13"/>
      <c r="J50" s="84"/>
    </row>
    <row r="51" spans="4:44" x14ac:dyDescent="0.25">
      <c r="D51" s="29"/>
      <c r="G51" s="13"/>
      <c r="J51" s="84"/>
    </row>
    <row r="52" spans="4:44" x14ac:dyDescent="0.25">
      <c r="E52" s="32" t="s">
        <v>310</v>
      </c>
      <c r="G52" s="13"/>
      <c r="I52" t="s">
        <v>191</v>
      </c>
      <c r="AR52" t="s">
        <v>311</v>
      </c>
    </row>
    <row r="53" spans="4:44" x14ac:dyDescent="0.25">
      <c r="F53" s="23" t="s">
        <v>312</v>
      </c>
      <c r="G53" s="85" t="s">
        <v>204</v>
      </c>
      <c r="H53" s="23"/>
      <c r="I53" s="23"/>
      <c r="J53" s="292">
        <v>0.13371685416286261</v>
      </c>
      <c r="K53" s="292">
        <v>0.15054979392998849</v>
      </c>
      <c r="L53" s="292">
        <v>4.5355186832534776E-2</v>
      </c>
      <c r="M53" s="292">
        <v>0.11656968483529889</v>
      </c>
      <c r="N53" s="292">
        <v>0.12874160707862378</v>
      </c>
      <c r="O53" s="292">
        <v>1.5909652063275811E-2</v>
      </c>
      <c r="P53" s="292">
        <v>0.13560803887276721</v>
      </c>
      <c r="Q53" s="292">
        <v>0.13442171920657908</v>
      </c>
      <c r="R53" s="292">
        <v>0.13348177602302611</v>
      </c>
      <c r="S53" s="293">
        <v>1</v>
      </c>
      <c r="T53" s="293">
        <v>1</v>
      </c>
      <c r="U53" s="293">
        <v>1</v>
      </c>
      <c r="V53" s="293">
        <v>1</v>
      </c>
      <c r="W53" s="293">
        <v>1</v>
      </c>
      <c r="X53" s="292">
        <v>2.9425231429498239E-2</v>
      </c>
      <c r="Y53" s="292">
        <v>5.061333499213988E-2</v>
      </c>
      <c r="Z53" s="292">
        <v>9.3864536382589403E-2</v>
      </c>
      <c r="AA53" s="292">
        <v>8.798706029313522E-3</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313</v>
      </c>
      <c r="G54" s="13" t="s">
        <v>204</v>
      </c>
      <c r="J54" s="287">
        <v>0.37215420848085484</v>
      </c>
      <c r="K54" s="287">
        <v>0.42036294543236191</v>
      </c>
      <c r="L54" s="287">
        <v>0.32747076802630654</v>
      </c>
      <c r="M54" s="287">
        <v>0.51348140537638154</v>
      </c>
      <c r="N54" s="287">
        <v>0.51198611908990421</v>
      </c>
      <c r="O54" s="287">
        <v>0.18415330169738534</v>
      </c>
      <c r="P54" s="287">
        <v>0.52776406449913449</v>
      </c>
      <c r="Q54" s="287">
        <v>0.52516273901990085</v>
      </c>
      <c r="R54" s="287">
        <v>0.54616839991824573</v>
      </c>
      <c r="S54" s="70"/>
      <c r="T54" s="70"/>
      <c r="U54" s="70"/>
      <c r="V54" s="70"/>
      <c r="W54" s="70"/>
      <c r="X54" s="287">
        <v>0.37243306634728185</v>
      </c>
      <c r="Y54" s="287">
        <v>8.9619654867135926E-2</v>
      </c>
      <c r="Z54" s="287">
        <v>0.16770933496921578</v>
      </c>
      <c r="AA54" s="287">
        <v>0.63478080883753785</v>
      </c>
      <c r="AB54" s="70"/>
      <c r="AC54" s="70"/>
      <c r="AD54" s="70"/>
      <c r="AE54" s="70"/>
      <c r="AF54" s="70"/>
      <c r="AG54" s="70"/>
      <c r="AH54" s="70"/>
      <c r="AI54" s="70"/>
      <c r="AJ54" s="70"/>
      <c r="AK54" s="70"/>
      <c r="AL54" s="70"/>
      <c r="AM54" s="70"/>
      <c r="AN54" s="70"/>
      <c r="AO54" s="70"/>
      <c r="AP54" s="70"/>
    </row>
    <row r="55" spans="4:44" x14ac:dyDescent="0.25">
      <c r="F55" s="37" t="s">
        <v>314</v>
      </c>
      <c r="G55" s="87" t="s">
        <v>204</v>
      </c>
      <c r="H55" s="37"/>
      <c r="I55" s="37"/>
      <c r="J55" s="294">
        <v>0.49412893735628255</v>
      </c>
      <c r="K55" s="294">
        <v>0.42908726063764963</v>
      </c>
      <c r="L55" s="294">
        <v>0.62717404514115871</v>
      </c>
      <c r="M55" s="294">
        <v>0.36994890978831957</v>
      </c>
      <c r="N55" s="294">
        <v>0.35927227383147203</v>
      </c>
      <c r="O55" s="294">
        <v>0.79993704623933881</v>
      </c>
      <c r="P55" s="294">
        <v>0.33662789662809822</v>
      </c>
      <c r="Q55" s="294">
        <v>0.34041554177352013</v>
      </c>
      <c r="R55" s="294">
        <v>0.32034982405872814</v>
      </c>
      <c r="S55" s="71"/>
      <c r="T55" s="71"/>
      <c r="U55" s="71"/>
      <c r="V55" s="71"/>
      <c r="W55" s="71"/>
      <c r="X55" s="294">
        <v>0.59814170222321994</v>
      </c>
      <c r="Y55" s="294">
        <v>0.8597670101407241</v>
      </c>
      <c r="Z55" s="294">
        <v>0.73842612864819479</v>
      </c>
      <c r="AA55" s="294">
        <v>0.35642048513314867</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315</v>
      </c>
      <c r="G57" s="13"/>
      <c r="I57" t="s">
        <v>191</v>
      </c>
      <c r="AR57" t="s">
        <v>311</v>
      </c>
    </row>
    <row r="58" spans="4:44" x14ac:dyDescent="0.25">
      <c r="F58" s="23" t="s">
        <v>312</v>
      </c>
      <c r="G58" s="85" t="s">
        <v>204</v>
      </c>
      <c r="H58" s="23"/>
      <c r="I58" s="23"/>
      <c r="J58" s="88"/>
      <c r="K58" s="292">
        <v>0</v>
      </c>
      <c r="L58" s="88"/>
      <c r="M58" s="88"/>
      <c r="N58" s="292">
        <v>0</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313</v>
      </c>
      <c r="G59" s="13" t="s">
        <v>204</v>
      </c>
      <c r="J59" s="77"/>
      <c r="K59" s="287">
        <v>0</v>
      </c>
      <c r="L59" s="77"/>
      <c r="M59" s="77"/>
      <c r="N59" s="287">
        <v>0</v>
      </c>
      <c r="O59" s="77"/>
      <c r="P59" s="287">
        <v>0</v>
      </c>
      <c r="Q59" s="287">
        <v>0</v>
      </c>
      <c r="R59" s="287">
        <v>0</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314</v>
      </c>
      <c r="G60" s="87" t="s">
        <v>204</v>
      </c>
      <c r="H60" s="37"/>
      <c r="I60" s="37"/>
      <c r="J60" s="89"/>
      <c r="K60" s="294">
        <v>1</v>
      </c>
      <c r="L60" s="89"/>
      <c r="M60" s="89"/>
      <c r="N60" s="294">
        <v>1</v>
      </c>
      <c r="O60" s="89"/>
      <c r="P60" s="294">
        <v>1</v>
      </c>
      <c r="Q60" s="294">
        <v>1</v>
      </c>
      <c r="R60" s="294">
        <v>1</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316</v>
      </c>
      <c r="G62" s="13"/>
      <c r="I62" t="s">
        <v>191</v>
      </c>
      <c r="AR62" t="s">
        <v>311</v>
      </c>
    </row>
    <row r="63" spans="4:44" x14ac:dyDescent="0.25">
      <c r="F63" s="23" t="s">
        <v>312</v>
      </c>
      <c r="G63" s="85" t="s">
        <v>204</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313</v>
      </c>
      <c r="G64" s="13" t="s">
        <v>204</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314</v>
      </c>
      <c r="G65" s="87" t="s">
        <v>204</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317</v>
      </c>
      <c r="H69" s="63"/>
    </row>
    <row r="70" spans="3:44" x14ac:dyDescent="0.25">
      <c r="G70" s="13"/>
      <c r="I70" t="s">
        <v>191</v>
      </c>
      <c r="AR70" t="s">
        <v>318</v>
      </c>
    </row>
    <row r="71" spans="3:44" x14ac:dyDescent="0.25">
      <c r="D71" s="91"/>
      <c r="E71" t="s">
        <v>319</v>
      </c>
      <c r="G71" t="s">
        <v>320</v>
      </c>
      <c r="H71" s="51"/>
      <c r="J71" s="289">
        <v>233.25987618636759</v>
      </c>
      <c r="K71" s="289">
        <v>233.25987618636759</v>
      </c>
      <c r="L71" s="79"/>
      <c r="M71" s="289">
        <v>683.9497454702331</v>
      </c>
      <c r="N71" s="289">
        <v>683.9497454702331</v>
      </c>
      <c r="O71" s="79"/>
      <c r="P71" s="289">
        <v>791.92323986195004</v>
      </c>
      <c r="Q71" s="289">
        <v>570.92474547023312</v>
      </c>
      <c r="R71" s="79"/>
      <c r="S71" s="289">
        <v>233.25987618636759</v>
      </c>
      <c r="T71" s="289">
        <v>683.9497454702331</v>
      </c>
      <c r="U71" s="289">
        <v>1364.5739016393445</v>
      </c>
      <c r="V71" s="289">
        <v>1065.1965724762726</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321</v>
      </c>
      <c r="G72" t="s">
        <v>320</v>
      </c>
      <c r="H72" s="51"/>
      <c r="J72" s="79"/>
      <c r="K72" s="79"/>
      <c r="L72" s="79"/>
      <c r="M72" s="79"/>
      <c r="N72" s="79"/>
      <c r="O72" s="79"/>
      <c r="P72" s="79"/>
      <c r="Q72" s="79"/>
      <c r="R72" s="289">
        <v>9833.7196902502164</v>
      </c>
      <c r="S72" s="79"/>
      <c r="T72" s="79"/>
      <c r="U72" s="79"/>
      <c r="V72" s="79"/>
      <c r="W72" s="289">
        <v>9833.7196902502164</v>
      </c>
      <c r="X72" s="79"/>
      <c r="Y72" s="79"/>
      <c r="Z72" s="79"/>
      <c r="AA72" s="79"/>
      <c r="AB72" s="79"/>
      <c r="AC72" s="79"/>
      <c r="AD72" s="79"/>
      <c r="AE72" s="79"/>
      <c r="AF72" s="79"/>
      <c r="AG72" s="79"/>
      <c r="AH72" s="79"/>
      <c r="AI72" s="79"/>
      <c r="AJ72" s="79"/>
      <c r="AK72" s="79"/>
      <c r="AL72" s="79"/>
      <c r="AM72" s="289">
        <v>6154.361518550475</v>
      </c>
      <c r="AN72" s="289">
        <v>6154.361518550475</v>
      </c>
      <c r="AO72" s="289">
        <v>6154.361518550475</v>
      </c>
      <c r="AP72" s="289">
        <v>6154.361518550475</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322</v>
      </c>
      <c r="G74" t="s">
        <v>323</v>
      </c>
      <c r="I74" t="s">
        <v>191</v>
      </c>
      <c r="J74" s="79"/>
      <c r="K74" s="79"/>
      <c r="L74" s="79"/>
      <c r="M74" s="79"/>
      <c r="N74" s="79"/>
      <c r="O74" s="79"/>
      <c r="P74" s="79"/>
      <c r="Q74" s="79"/>
      <c r="R74" s="79"/>
      <c r="S74" s="79"/>
      <c r="T74" s="79"/>
      <c r="U74" s="79"/>
      <c r="V74" s="79"/>
      <c r="W74" s="79"/>
      <c r="X74" s="289">
        <v>263.68548631578949</v>
      </c>
      <c r="Y74" s="289">
        <v>263.68548631578949</v>
      </c>
      <c r="Z74" s="289">
        <v>263.68548631578949</v>
      </c>
      <c r="AA74" s="289">
        <v>263.68548631578949</v>
      </c>
      <c r="AB74" s="289">
        <v>263.68548631578949</v>
      </c>
      <c r="AC74" s="79"/>
      <c r="AD74" s="79"/>
      <c r="AE74" s="79"/>
      <c r="AF74" s="79"/>
      <c r="AG74" s="79"/>
      <c r="AH74" s="79"/>
      <c r="AI74" s="79"/>
      <c r="AJ74" s="79"/>
      <c r="AK74" s="79"/>
      <c r="AL74" s="79"/>
      <c r="AM74" s="79"/>
      <c r="AN74" s="79"/>
      <c r="AO74" s="79"/>
      <c r="AP74" s="79"/>
      <c r="AR74" t="s">
        <v>324</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325</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326</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327</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193</v>
      </c>
      <c r="G82" s="23" t="s">
        <v>328</v>
      </c>
      <c r="H82" s="302"/>
      <c r="I82" s="302"/>
      <c r="J82" s="303">
        <v>2.06</v>
      </c>
      <c r="K82" s="303">
        <v>2.2909999999999999</v>
      </c>
      <c r="L82" s="303">
        <v>1.2629999999999999</v>
      </c>
      <c r="M82" s="303">
        <v>2.1179999999999999</v>
      </c>
      <c r="N82" s="303">
        <v>2.1920000000000002</v>
      </c>
      <c r="O82" s="303">
        <v>1.056</v>
      </c>
      <c r="P82" s="303">
        <v>2.1419999999999999</v>
      </c>
      <c r="Q82" s="303">
        <v>1.9970000000000001</v>
      </c>
      <c r="R82" s="303">
        <v>1.361</v>
      </c>
      <c r="S82" s="303">
        <v>7.5659999999999998</v>
      </c>
      <c r="T82" s="303">
        <v>7.9980000000000002</v>
      </c>
      <c r="U82" s="303">
        <v>6.0449999999999999</v>
      </c>
      <c r="V82" s="303">
        <v>4.6349999999999998</v>
      </c>
      <c r="W82" s="303">
        <v>3.129</v>
      </c>
      <c r="X82" s="303">
        <v>2.3570000000000002</v>
      </c>
      <c r="Y82" s="303">
        <v>2.6190000000000002</v>
      </c>
      <c r="Z82" s="303">
        <v>3.581</v>
      </c>
      <c r="AA82" s="303">
        <v>2.097</v>
      </c>
      <c r="AB82" s="303">
        <v>21.657</v>
      </c>
      <c r="AC82" s="303">
        <v>-0.626</v>
      </c>
      <c r="AD82" s="303">
        <v>-0.54800000000000004</v>
      </c>
      <c r="AE82" s="303">
        <v>-0.626</v>
      </c>
      <c r="AF82" s="303">
        <v>-0.626</v>
      </c>
      <c r="AG82" s="303">
        <v>-4.99</v>
      </c>
      <c r="AH82" s="303">
        <v>-4.99</v>
      </c>
      <c r="AI82" s="303">
        <v>-0.54800000000000004</v>
      </c>
      <c r="AJ82" s="303">
        <v>-0.54800000000000004</v>
      </c>
      <c r="AK82" s="303">
        <v>-4.4020000000000001</v>
      </c>
      <c r="AL82" s="303">
        <v>-4.4020000000000001</v>
      </c>
      <c r="AM82" s="303">
        <v>-0.33900000000000002</v>
      </c>
      <c r="AN82" s="303">
        <v>-0.33900000000000002</v>
      </c>
      <c r="AO82" s="303">
        <v>-2.851</v>
      </c>
      <c r="AP82" s="303">
        <v>-2.851</v>
      </c>
      <c r="AQ82" s="304"/>
      <c r="AR82" s="304"/>
    </row>
    <row r="83" spans="3:44" x14ac:dyDescent="0.25">
      <c r="F83" t="s">
        <v>194</v>
      </c>
      <c r="G83" t="s">
        <v>328</v>
      </c>
      <c r="H83" s="304"/>
      <c r="I83" s="304"/>
      <c r="J83" s="305">
        <v>0</v>
      </c>
      <c r="K83" s="306">
        <v>0.89800000000000002</v>
      </c>
      <c r="L83" s="305">
        <v>0</v>
      </c>
      <c r="M83" s="305">
        <v>0</v>
      </c>
      <c r="N83" s="306">
        <v>0.89800000000000002</v>
      </c>
      <c r="O83" s="305">
        <v>0</v>
      </c>
      <c r="P83" s="306">
        <v>0.89400000000000002</v>
      </c>
      <c r="Q83" s="306">
        <v>0.88900000000000001</v>
      </c>
      <c r="R83" s="306">
        <v>0.86199999999999999</v>
      </c>
      <c r="S83" s="306">
        <v>1.544</v>
      </c>
      <c r="T83" s="306">
        <v>1.5880000000000001</v>
      </c>
      <c r="U83" s="306">
        <v>1.365</v>
      </c>
      <c r="V83" s="306">
        <v>1.1890000000000001</v>
      </c>
      <c r="W83" s="306">
        <v>1.018</v>
      </c>
      <c r="X83" s="305">
        <v>0</v>
      </c>
      <c r="Y83" s="305">
        <v>0</v>
      </c>
      <c r="Z83" s="305">
        <v>0</v>
      </c>
      <c r="AA83" s="305">
        <v>0</v>
      </c>
      <c r="AB83" s="307">
        <v>2.13</v>
      </c>
      <c r="AC83" s="305">
        <v>0</v>
      </c>
      <c r="AD83" s="305">
        <v>0</v>
      </c>
      <c r="AE83" s="305">
        <v>0</v>
      </c>
      <c r="AF83" s="305">
        <v>0</v>
      </c>
      <c r="AG83" s="306">
        <v>-0.51300000000000001</v>
      </c>
      <c r="AH83" s="306">
        <v>-0.51300000000000001</v>
      </c>
      <c r="AI83" s="305">
        <v>0</v>
      </c>
      <c r="AJ83" s="305">
        <v>0</v>
      </c>
      <c r="AK83" s="306">
        <v>-0.442</v>
      </c>
      <c r="AL83" s="306">
        <v>-0.442</v>
      </c>
      <c r="AM83" s="305">
        <v>0</v>
      </c>
      <c r="AN83" s="305">
        <v>0</v>
      </c>
      <c r="AO83" s="306">
        <v>-0.245</v>
      </c>
      <c r="AP83" s="306">
        <v>-0.245</v>
      </c>
      <c r="AQ83" s="304"/>
      <c r="AR83" s="304"/>
    </row>
    <row r="84" spans="3:44" x14ac:dyDescent="0.25">
      <c r="F84" t="s">
        <v>195</v>
      </c>
      <c r="G84" t="s">
        <v>328</v>
      </c>
      <c r="H84" s="304"/>
      <c r="I84" s="304"/>
      <c r="J84" s="305">
        <v>0</v>
      </c>
      <c r="K84" s="305">
        <v>0</v>
      </c>
      <c r="L84" s="305">
        <v>0</v>
      </c>
      <c r="M84" s="305">
        <v>0</v>
      </c>
      <c r="N84" s="305">
        <v>0</v>
      </c>
      <c r="O84" s="305">
        <v>0</v>
      </c>
      <c r="P84" s="305">
        <v>0</v>
      </c>
      <c r="Q84" s="305">
        <v>0</v>
      </c>
      <c r="R84" s="305">
        <v>0</v>
      </c>
      <c r="S84" s="306">
        <v>0.89400000000000002</v>
      </c>
      <c r="T84" s="306">
        <v>0.89700000000000002</v>
      </c>
      <c r="U84" s="306">
        <v>0.88300000000000001</v>
      </c>
      <c r="V84" s="306">
        <v>0.871</v>
      </c>
      <c r="W84" s="306">
        <v>0.86</v>
      </c>
      <c r="X84" s="305">
        <v>0</v>
      </c>
      <c r="Y84" s="305">
        <v>0</v>
      </c>
      <c r="Z84" s="305">
        <v>0</v>
      </c>
      <c r="AA84" s="305">
        <v>0</v>
      </c>
      <c r="AB84" s="307">
        <v>1.552</v>
      </c>
      <c r="AC84" s="305">
        <v>0</v>
      </c>
      <c r="AD84" s="305">
        <v>0</v>
      </c>
      <c r="AE84" s="305">
        <v>0</v>
      </c>
      <c r="AF84" s="305">
        <v>0</v>
      </c>
      <c r="AG84" s="306">
        <v>-0.03</v>
      </c>
      <c r="AH84" s="306">
        <v>-0.03</v>
      </c>
      <c r="AI84" s="305">
        <v>0</v>
      </c>
      <c r="AJ84" s="305">
        <v>0</v>
      </c>
      <c r="AK84" s="306">
        <v>-2.5999999999999999E-2</v>
      </c>
      <c r="AL84" s="306">
        <v>-2.5999999999999999E-2</v>
      </c>
      <c r="AM84" s="305">
        <v>0</v>
      </c>
      <c r="AN84" s="305">
        <v>0</v>
      </c>
      <c r="AO84" s="306">
        <v>-1.2E-2</v>
      </c>
      <c r="AP84" s="306">
        <v>-1.2E-2</v>
      </c>
      <c r="AQ84" s="304"/>
      <c r="AR84" s="304"/>
    </row>
    <row r="85" spans="3:44" x14ac:dyDescent="0.25">
      <c r="F85" t="s">
        <v>196</v>
      </c>
      <c r="G85" t="s">
        <v>329</v>
      </c>
      <c r="J85" s="289">
        <v>3.03</v>
      </c>
      <c r="K85" s="289">
        <v>3.03</v>
      </c>
      <c r="L85" s="79">
        <v>0</v>
      </c>
      <c r="M85" s="289">
        <v>6.15</v>
      </c>
      <c r="N85" s="289">
        <v>6.15</v>
      </c>
      <c r="O85" s="79">
        <v>0</v>
      </c>
      <c r="P85" s="289">
        <v>17.329999999999998</v>
      </c>
      <c r="Q85" s="289">
        <v>15.74</v>
      </c>
      <c r="R85" s="289">
        <v>150.18</v>
      </c>
      <c r="S85" s="289">
        <v>3.03</v>
      </c>
      <c r="T85" s="289">
        <v>6.15</v>
      </c>
      <c r="U85" s="289">
        <v>8.6</v>
      </c>
      <c r="V85" s="289">
        <v>6.71</v>
      </c>
      <c r="W85" s="289">
        <v>72.5</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289">
        <v>29.81</v>
      </c>
      <c r="AN85" s="289">
        <v>29.81</v>
      </c>
      <c r="AO85" s="289">
        <v>29.81</v>
      </c>
      <c r="AP85" s="289">
        <v>29.81</v>
      </c>
    </row>
    <row r="86" spans="3:44" x14ac:dyDescent="0.25">
      <c r="F86" t="s">
        <v>197</v>
      </c>
      <c r="G86" t="s">
        <v>330</v>
      </c>
      <c r="J86" s="79">
        <v>0</v>
      </c>
      <c r="K86" s="79">
        <v>0</v>
      </c>
      <c r="L86" s="79">
        <v>0</v>
      </c>
      <c r="M86" s="79">
        <v>0</v>
      </c>
      <c r="N86" s="79">
        <v>0</v>
      </c>
      <c r="O86" s="79">
        <v>0</v>
      </c>
      <c r="P86" s="79">
        <v>0</v>
      </c>
      <c r="Q86" s="79">
        <v>0</v>
      </c>
      <c r="R86" s="79">
        <v>0</v>
      </c>
      <c r="S86" s="79">
        <v>0</v>
      </c>
      <c r="T86" s="79">
        <v>0</v>
      </c>
      <c r="U86" s="289">
        <v>2.66</v>
      </c>
      <c r="V86" s="289">
        <v>3.44</v>
      </c>
      <c r="W86" s="289">
        <v>4.13</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row>
    <row r="87" spans="3:44" x14ac:dyDescent="0.25">
      <c r="F87" t="s">
        <v>198</v>
      </c>
      <c r="G87" t="s">
        <v>330</v>
      </c>
      <c r="J87" s="79">
        <v>0</v>
      </c>
      <c r="K87" s="79">
        <v>0</v>
      </c>
      <c r="L87" s="79">
        <v>0</v>
      </c>
      <c r="M87" s="79">
        <v>0</v>
      </c>
      <c r="N87" s="79">
        <v>0</v>
      </c>
      <c r="O87" s="79">
        <v>0</v>
      </c>
      <c r="P87" s="79">
        <v>0</v>
      </c>
      <c r="Q87" s="79">
        <v>0</v>
      </c>
      <c r="R87" s="79">
        <v>0</v>
      </c>
      <c r="S87" s="79">
        <v>0</v>
      </c>
      <c r="T87" s="79">
        <v>0</v>
      </c>
      <c r="U87" s="289">
        <v>5.75</v>
      </c>
      <c r="V87" s="289">
        <v>5.43</v>
      </c>
      <c r="W87" s="289">
        <v>6.24</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row>
    <row r="88" spans="3:44" x14ac:dyDescent="0.25">
      <c r="F88" s="37" t="s">
        <v>199</v>
      </c>
      <c r="G88" s="37" t="s">
        <v>331</v>
      </c>
      <c r="H88" s="308"/>
      <c r="I88" s="308"/>
      <c r="J88" s="309">
        <v>0</v>
      </c>
      <c r="K88" s="309">
        <v>0</v>
      </c>
      <c r="L88" s="309">
        <v>0</v>
      </c>
      <c r="M88" s="309">
        <v>0</v>
      </c>
      <c r="N88" s="309">
        <v>0</v>
      </c>
      <c r="O88" s="309">
        <v>0</v>
      </c>
      <c r="P88" s="309">
        <v>0</v>
      </c>
      <c r="Q88" s="309">
        <v>0</v>
      </c>
      <c r="R88" s="309">
        <v>0</v>
      </c>
      <c r="S88" s="309">
        <v>0</v>
      </c>
      <c r="T88" s="309">
        <v>0</v>
      </c>
      <c r="U88" s="310">
        <v>0.129</v>
      </c>
      <c r="V88" s="310">
        <v>0.09</v>
      </c>
      <c r="W88" s="310">
        <v>4.7E-2</v>
      </c>
      <c r="X88" s="309">
        <v>0</v>
      </c>
      <c r="Y88" s="309">
        <v>0</v>
      </c>
      <c r="Z88" s="309">
        <v>0</v>
      </c>
      <c r="AA88" s="309">
        <v>0</v>
      </c>
      <c r="AB88" s="309">
        <v>0</v>
      </c>
      <c r="AC88" s="309">
        <v>0</v>
      </c>
      <c r="AD88" s="309">
        <v>0</v>
      </c>
      <c r="AE88" s="310">
        <v>0.14000000000000001</v>
      </c>
      <c r="AF88" s="309">
        <v>0</v>
      </c>
      <c r="AG88" s="310">
        <v>0.14000000000000001</v>
      </c>
      <c r="AH88" s="309">
        <v>0</v>
      </c>
      <c r="AI88" s="310">
        <v>0.122</v>
      </c>
      <c r="AJ88" s="309">
        <v>0</v>
      </c>
      <c r="AK88" s="310">
        <v>0.122</v>
      </c>
      <c r="AL88" s="309">
        <v>0</v>
      </c>
      <c r="AM88" s="310">
        <v>9.7000000000000003E-2</v>
      </c>
      <c r="AN88" s="309">
        <v>0</v>
      </c>
      <c r="AO88" s="310">
        <v>9.7000000000000003E-2</v>
      </c>
      <c r="AP88" s="309">
        <v>0</v>
      </c>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332</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333</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334</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335</v>
      </c>
      <c r="G96" t="s">
        <v>336</v>
      </c>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row>
    <row r="97" spans="2:44" x14ac:dyDescent="0.25">
      <c r="G97" s="13"/>
    </row>
    <row r="98" spans="2:44" x14ac:dyDescent="0.25">
      <c r="B98" s="30" t="s">
        <v>281</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282</v>
      </c>
      <c r="G100" s="6" t="s">
        <v>57</v>
      </c>
      <c r="H100" s="24">
        <f t="array" ref="H100">SUM(IF(ISERROR(H13:AP97), 1))</f>
        <v>0</v>
      </c>
    </row>
    <row r="101" spans="2:44" x14ac:dyDescent="0.25">
      <c r="G101" s="13"/>
    </row>
    <row r="102" spans="2:44" x14ac:dyDescent="0.25">
      <c r="E102" s="32" t="s">
        <v>337</v>
      </c>
      <c r="G102" s="13"/>
      <c r="X102" s="84"/>
    </row>
    <row r="103" spans="2:44" x14ac:dyDescent="0.25">
      <c r="F103" s="23" t="s">
        <v>193</v>
      </c>
      <c r="G103" s="85" t="s">
        <v>57</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194</v>
      </c>
      <c r="G104" s="13" t="s">
        <v>57</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195</v>
      </c>
      <c r="G105" s="87" t="s">
        <v>57</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290</v>
      </c>
      <c r="G107" s="6" t="s">
        <v>57</v>
      </c>
      <c r="H107" s="26">
        <f>SUM(H100, H103:H105)</f>
        <v>0</v>
      </c>
    </row>
    <row r="109" spans="2:44" x14ac:dyDescent="0.25">
      <c r="B109" s="30" t="s">
        <v>108</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J39:AO39 AB31:AB32 J34:AO38 J91:AP91 J77:AP77 J66:AP66 J69:AP69 J74:AP75 J71:AP72 J61:W61 J21:AO30 J40:AO45">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K21" sqref="K21:S21"/>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WPD EMEB - [enter data version name]</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1" t="s">
        <v>147</v>
      </c>
      <c r="H5" s="96" t="s">
        <v>148</v>
      </c>
      <c r="I5" s="14"/>
      <c r="J5" s="96" t="s">
        <v>226</v>
      </c>
      <c r="K5" s="96" t="s">
        <v>228</v>
      </c>
      <c r="L5" s="96" t="s">
        <v>229</v>
      </c>
      <c r="M5" s="96" t="s">
        <v>230</v>
      </c>
      <c r="N5" s="96" t="s">
        <v>231</v>
      </c>
      <c r="O5" s="96" t="s">
        <v>232</v>
      </c>
      <c r="P5" s="96" t="s">
        <v>233</v>
      </c>
      <c r="Q5" s="96" t="s">
        <v>234</v>
      </c>
      <c r="R5" s="96" t="s">
        <v>235</v>
      </c>
      <c r="S5" s="96" t="s">
        <v>236</v>
      </c>
      <c r="U5" s="61" t="s">
        <v>182</v>
      </c>
    </row>
    <row r="7" spans="1:27" x14ac:dyDescent="0.25">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338</v>
      </c>
    </row>
    <row r="11" spans="1:27" x14ac:dyDescent="0.25">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339</v>
      </c>
      <c r="G15" s="28" t="s">
        <v>204</v>
      </c>
      <c r="I15" t="s">
        <v>191</v>
      </c>
      <c r="J15" s="97"/>
      <c r="K15" s="295">
        <v>2.4713742436156094E-2</v>
      </c>
      <c r="L15" s="295">
        <v>4.5013478235986115E-2</v>
      </c>
      <c r="M15" s="97"/>
      <c r="N15" s="295">
        <v>7.9017642685410783E-2</v>
      </c>
      <c r="O15" s="97"/>
      <c r="P15" s="77"/>
      <c r="Q15" s="295">
        <v>0.34000000000000008</v>
      </c>
      <c r="R15" s="66"/>
      <c r="S15" s="66"/>
      <c r="U15" s="63" t="s">
        <v>340</v>
      </c>
    </row>
    <row r="17" spans="3:27" x14ac:dyDescent="0.25">
      <c r="E17" s="28" t="s">
        <v>341</v>
      </c>
      <c r="G17" s="28" t="s">
        <v>204</v>
      </c>
      <c r="H17" s="28"/>
      <c r="I17" s="98"/>
      <c r="J17" s="97"/>
      <c r="K17" s="66"/>
      <c r="L17" s="66"/>
      <c r="M17" s="66"/>
      <c r="N17" s="66"/>
      <c r="O17" s="66"/>
      <c r="P17" s="295">
        <v>7.5044342711319545E-2</v>
      </c>
      <c r="Q17" s="66"/>
      <c r="R17" s="66"/>
      <c r="S17" s="66"/>
    </row>
    <row r="19" spans="3:27" x14ac:dyDescent="0.25">
      <c r="E19" s="28" t="s">
        <v>342</v>
      </c>
      <c r="G19" s="28" t="s">
        <v>343</v>
      </c>
      <c r="I19" t="s">
        <v>191</v>
      </c>
      <c r="J19" s="79"/>
      <c r="K19" s="289">
        <v>1</v>
      </c>
      <c r="L19" s="289">
        <v>1.0029999999999999</v>
      </c>
      <c r="M19" s="289">
        <v>1.006</v>
      </c>
      <c r="N19" s="289">
        <v>1.014</v>
      </c>
      <c r="O19" s="289">
        <v>1.02</v>
      </c>
      <c r="P19" s="79"/>
      <c r="Q19" s="289">
        <v>1.036</v>
      </c>
      <c r="R19" s="289">
        <v>1.0469999999999999</v>
      </c>
      <c r="S19" s="289">
        <v>1.0780000000000001</v>
      </c>
      <c r="U19" s="63" t="s">
        <v>344</v>
      </c>
    </row>
    <row r="20" spans="3:27" x14ac:dyDescent="0.25">
      <c r="J20" s="92"/>
      <c r="K20" s="92"/>
      <c r="L20" s="92"/>
      <c r="M20" s="92"/>
      <c r="N20" s="92"/>
      <c r="O20" s="92"/>
      <c r="P20" s="92"/>
      <c r="Q20" s="92"/>
      <c r="R20" s="92"/>
      <c r="S20" s="92"/>
    </row>
    <row r="21" spans="3:27" x14ac:dyDescent="0.25">
      <c r="E21" s="28" t="s">
        <v>345</v>
      </c>
      <c r="G21" s="28" t="s">
        <v>346</v>
      </c>
      <c r="I21" t="s">
        <v>191</v>
      </c>
      <c r="J21" s="79"/>
      <c r="K21" s="289">
        <v>0.20492776100044385</v>
      </c>
      <c r="L21" s="289">
        <v>0.20492776100044385</v>
      </c>
      <c r="M21" s="289">
        <v>0.20492776100044385</v>
      </c>
      <c r="N21" s="289">
        <v>0.20492776100044385</v>
      </c>
      <c r="O21" s="289">
        <v>0.20492776100044385</v>
      </c>
      <c r="P21" s="289">
        <v>0.20492776100044385</v>
      </c>
      <c r="Q21" s="289">
        <v>0.20492776100044385</v>
      </c>
      <c r="R21" s="289">
        <v>0.20492776100044385</v>
      </c>
      <c r="S21" s="289">
        <v>0.20492776100044385</v>
      </c>
      <c r="U21" s="63" t="s">
        <v>347</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191</v>
      </c>
      <c r="U24" t="s">
        <v>348</v>
      </c>
    </row>
    <row r="25" spans="3:27" x14ac:dyDescent="0.25">
      <c r="C25" s="32"/>
      <c r="E25" s="32" t="s">
        <v>349</v>
      </c>
    </row>
    <row r="26" spans="3:27" x14ac:dyDescent="0.25">
      <c r="F26" s="64" t="s">
        <v>223</v>
      </c>
      <c r="G26" s="64" t="s">
        <v>204</v>
      </c>
      <c r="H26" s="23"/>
      <c r="I26" s="23"/>
      <c r="J26" s="65"/>
      <c r="K26" s="65"/>
      <c r="L26" s="292">
        <v>0</v>
      </c>
      <c r="M26" s="292">
        <v>0</v>
      </c>
      <c r="N26" s="292">
        <v>0</v>
      </c>
      <c r="O26" s="292">
        <v>0</v>
      </c>
      <c r="P26" s="292">
        <v>0</v>
      </c>
      <c r="Q26" s="292">
        <v>0.47913351897273304</v>
      </c>
      <c r="R26" s="292">
        <v>0.70892384564689981</v>
      </c>
      <c r="S26" s="292">
        <v>0.93871417232106646</v>
      </c>
    </row>
    <row r="27" spans="3:27" x14ac:dyDescent="0.25">
      <c r="F27" s="28" t="s">
        <v>222</v>
      </c>
      <c r="G27" s="28" t="s">
        <v>204</v>
      </c>
      <c r="J27" s="66"/>
      <c r="K27" s="66"/>
      <c r="L27" s="287">
        <v>0</v>
      </c>
      <c r="M27" s="287">
        <v>0</v>
      </c>
      <c r="N27" s="287">
        <v>0</v>
      </c>
      <c r="O27" s="287">
        <v>0</v>
      </c>
      <c r="P27" s="287">
        <v>0</v>
      </c>
      <c r="Q27" s="287">
        <v>0.47913351897273304</v>
      </c>
      <c r="R27" s="287">
        <v>0.70892384564689981</v>
      </c>
      <c r="S27" s="70"/>
    </row>
    <row r="28" spans="3:27" x14ac:dyDescent="0.25">
      <c r="F28" s="28" t="s">
        <v>221</v>
      </c>
      <c r="G28" s="28" t="s">
        <v>204</v>
      </c>
      <c r="J28" s="66"/>
      <c r="K28" s="66"/>
      <c r="L28" s="287">
        <v>0</v>
      </c>
      <c r="M28" s="287">
        <v>0</v>
      </c>
      <c r="N28" s="287">
        <v>6.5420049562801799E-2</v>
      </c>
      <c r="O28" s="287">
        <v>0.35162962287700078</v>
      </c>
      <c r="P28" s="287">
        <v>0.35162962287700078</v>
      </c>
      <c r="Q28" s="287">
        <v>0.63783919619119978</v>
      </c>
      <c r="R28" s="70"/>
      <c r="S28" s="70"/>
    </row>
    <row r="29" spans="3:27" x14ac:dyDescent="0.25">
      <c r="F29" s="67" t="s">
        <v>220</v>
      </c>
      <c r="G29" s="67" t="s">
        <v>204</v>
      </c>
      <c r="H29" s="37"/>
      <c r="I29" s="37"/>
      <c r="J29" s="68"/>
      <c r="K29" s="68"/>
      <c r="L29" s="294">
        <v>0</v>
      </c>
      <c r="M29" s="294">
        <v>0</v>
      </c>
      <c r="N29" s="294">
        <v>6.5420049562801799E-2</v>
      </c>
      <c r="O29" s="294">
        <v>0.35162962287700078</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350</v>
      </c>
      <c r="G33" s="28" t="s">
        <v>336</v>
      </c>
      <c r="I33" t="s">
        <v>191</v>
      </c>
      <c r="J33" s="79"/>
      <c r="K33" s="79"/>
      <c r="L33" s="289">
        <v>56512948.068421364</v>
      </c>
      <c r="M33" s="289">
        <v>29527488.045204874</v>
      </c>
      <c r="N33" s="289">
        <v>36477213.59385708</v>
      </c>
      <c r="O33" s="289">
        <v>58681418.184886076</v>
      </c>
      <c r="P33" s="289">
        <v>4941386.7035329845</v>
      </c>
      <c r="Q33" s="289">
        <v>135191940.65808666</v>
      </c>
      <c r="R33" s="289">
        <v>61884400.357973963</v>
      </c>
      <c r="S33" s="289">
        <v>123348394.69804354</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351</v>
      </c>
    </row>
    <row r="38" spans="2:27" x14ac:dyDescent="0.25">
      <c r="C38" s="29"/>
    </row>
    <row r="39" spans="2:27" x14ac:dyDescent="0.25">
      <c r="D39" s="32"/>
      <c r="E39" s="32" t="s">
        <v>352</v>
      </c>
      <c r="I39" t="s">
        <v>191</v>
      </c>
      <c r="U39" t="s">
        <v>353</v>
      </c>
    </row>
    <row r="40" spans="2:27" x14ac:dyDescent="0.25">
      <c r="F40" s="23" t="s">
        <v>354</v>
      </c>
      <c r="G40" s="78" t="s">
        <v>204</v>
      </c>
      <c r="H40" s="23"/>
      <c r="I40" s="23"/>
      <c r="J40" s="65"/>
      <c r="K40" s="292">
        <v>0.88925081433224751</v>
      </c>
      <c r="L40" s="292">
        <v>0.77342304201310019</v>
      </c>
      <c r="M40" s="292">
        <v>0.77342304201310019</v>
      </c>
      <c r="N40" s="292">
        <v>0.64991237301101812</v>
      </c>
      <c r="O40" s="292">
        <v>0.64991237301101812</v>
      </c>
      <c r="P40" s="292">
        <v>0.77342304201310019</v>
      </c>
      <c r="Q40" s="292">
        <v>0.64991237301101812</v>
      </c>
      <c r="R40" s="292">
        <v>0.64991237301101812</v>
      </c>
      <c r="S40" s="292">
        <v>0.64991237301101812</v>
      </c>
    </row>
    <row r="41" spans="2:27" x14ac:dyDescent="0.25">
      <c r="F41" t="s">
        <v>355</v>
      </c>
      <c r="G41" s="72" t="s">
        <v>204</v>
      </c>
      <c r="J41" s="66"/>
      <c r="K41" s="287">
        <v>0.11074918566775245</v>
      </c>
      <c r="L41" s="287">
        <v>0.21193915344884084</v>
      </c>
      <c r="M41" s="287">
        <v>0.21193915344884084</v>
      </c>
      <c r="N41" s="287">
        <v>0.30891882546720989</v>
      </c>
      <c r="O41" s="287">
        <v>0.30891882546720989</v>
      </c>
      <c r="P41" s="287">
        <v>0.21193915344884084</v>
      </c>
      <c r="Q41" s="287">
        <v>0.30891882546720989</v>
      </c>
      <c r="R41" s="287">
        <v>0.30891882546720989</v>
      </c>
      <c r="S41" s="287">
        <v>0.30891882546720989</v>
      </c>
    </row>
    <row r="42" spans="2:27" x14ac:dyDescent="0.25">
      <c r="F42" s="37" t="s">
        <v>314</v>
      </c>
      <c r="G42" s="80" t="s">
        <v>204</v>
      </c>
      <c r="H42" s="37"/>
      <c r="I42" s="37"/>
      <c r="J42" s="68"/>
      <c r="K42" s="294">
        <v>0</v>
      </c>
      <c r="L42" s="294">
        <v>1.4637804538059027E-2</v>
      </c>
      <c r="M42" s="294">
        <v>1.4637804538059027E-2</v>
      </c>
      <c r="N42" s="294">
        <v>4.1168801521771874E-2</v>
      </c>
      <c r="O42" s="294">
        <v>4.1168801521771874E-2</v>
      </c>
      <c r="P42" s="294">
        <v>1.4637804538059027E-2</v>
      </c>
      <c r="Q42" s="294">
        <v>4.1168801521771874E-2</v>
      </c>
      <c r="R42" s="294">
        <v>4.1168801521771874E-2</v>
      </c>
      <c r="S42" s="294">
        <v>4.1168801521771874E-2</v>
      </c>
    </row>
    <row r="43" spans="2:27" x14ac:dyDescent="0.25">
      <c r="F43" s="37" t="s">
        <v>356</v>
      </c>
      <c r="G43" s="80" t="s">
        <v>204</v>
      </c>
      <c r="H43" s="37"/>
      <c r="I43" s="37"/>
      <c r="J43" s="68"/>
      <c r="K43" s="294">
        <v>0.77284281790892262</v>
      </c>
      <c r="L43" s="294">
        <v>0.74424444907551823</v>
      </c>
      <c r="M43" s="294">
        <v>0.74424444907551823</v>
      </c>
      <c r="N43" s="294">
        <v>0.6301860563682623</v>
      </c>
      <c r="O43" s="294">
        <v>0.6301860563682623</v>
      </c>
      <c r="P43" s="294">
        <v>0.74424444907551823</v>
      </c>
      <c r="Q43" s="294">
        <v>0.6301860563682623</v>
      </c>
      <c r="R43" s="294">
        <v>0.6301860563682623</v>
      </c>
      <c r="S43" s="294">
        <v>0.6301860563682623</v>
      </c>
    </row>
    <row r="45" spans="2:27" x14ac:dyDescent="0.25">
      <c r="B45" s="30" t="s">
        <v>281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282</v>
      </c>
      <c r="G47" s="6" t="s">
        <v>57</v>
      </c>
      <c r="H47" s="24">
        <f t="array" ref="H47">SUM(IF(ISERROR(H15:AA44), 1))</f>
        <v>0</v>
      </c>
    </row>
    <row r="49" spans="2:27" x14ac:dyDescent="0.25">
      <c r="E49" t="s">
        <v>357</v>
      </c>
      <c r="G49" s="6" t="s">
        <v>57</v>
      </c>
      <c r="H49" s="24">
        <f>IF(K19 = 1, 0, 1)</f>
        <v>0</v>
      </c>
    </row>
    <row r="51" spans="2:27" x14ac:dyDescent="0.25">
      <c r="E51" s="32" t="s">
        <v>358</v>
      </c>
    </row>
    <row r="52" spans="2:27" x14ac:dyDescent="0.25">
      <c r="E52" s="29" t="s">
        <v>359</v>
      </c>
    </row>
    <row r="53" spans="2:27" x14ac:dyDescent="0.25">
      <c r="F53" s="23" t="s">
        <v>360</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229</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290</v>
      </c>
      <c r="G56" s="6" t="s">
        <v>57</v>
      </c>
      <c r="H56" s="26">
        <f>SUM(H47:H54)</f>
        <v>0</v>
      </c>
    </row>
    <row r="58" spans="2:27" x14ac:dyDescent="0.25">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tabSelected="1" zoomScale="80" zoomScaleNormal="80" workbookViewId="0">
      <pane ySplit="5" topLeftCell="A12" activePane="bottomLeft" state="frozen"/>
      <selection activeCell="N50" sqref="N50"/>
      <selection pane="bottomLeft" activeCell="H80" sqref="H80"/>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WPD EMEB - [enter data version name]</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21" t="s">
        <v>147</v>
      </c>
      <c r="H5" s="96" t="s">
        <v>148</v>
      </c>
      <c r="J5" s="61" t="s">
        <v>182</v>
      </c>
    </row>
    <row r="6" spans="1:27" x14ac:dyDescent="0.25">
      <c r="G6" s="13"/>
    </row>
    <row r="7" spans="1:27" x14ac:dyDescent="0.25">
      <c r="B7" s="30" t="s">
        <v>12</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361</v>
      </c>
      <c r="G9" s="13"/>
    </row>
    <row r="10" spans="1:27" x14ac:dyDescent="0.25">
      <c r="G10" s="13"/>
    </row>
    <row r="11" spans="1:27" x14ac:dyDescent="0.25">
      <c r="B11" s="30" t="s">
        <v>62</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362</v>
      </c>
      <c r="E15" s="32"/>
      <c r="G15" s="13"/>
      <c r="I15" t="s">
        <v>191</v>
      </c>
      <c r="J15" t="s">
        <v>363</v>
      </c>
    </row>
    <row r="16" spans="1:27" x14ac:dyDescent="0.25">
      <c r="E16" s="64" t="s">
        <v>356</v>
      </c>
      <c r="F16" s="64"/>
      <c r="G16" s="85" t="s">
        <v>364</v>
      </c>
      <c r="H16" s="288">
        <v>255</v>
      </c>
    </row>
    <row r="17" spans="3:27" x14ac:dyDescent="0.25">
      <c r="E17" s="28" t="s">
        <v>365</v>
      </c>
      <c r="F17" s="28"/>
      <c r="G17" s="13" t="s">
        <v>364</v>
      </c>
      <c r="H17" s="289">
        <v>3268.5</v>
      </c>
    </row>
    <row r="18" spans="3:27" x14ac:dyDescent="0.25">
      <c r="E18" s="67" t="s">
        <v>314</v>
      </c>
      <c r="F18" s="67"/>
      <c r="G18" s="87" t="s">
        <v>364</v>
      </c>
      <c r="H18" s="291">
        <v>5236.5</v>
      </c>
    </row>
    <row r="19" spans="3:27" x14ac:dyDescent="0.25">
      <c r="G19" s="13"/>
      <c r="H19" s="92"/>
    </row>
    <row r="20" spans="3:27" x14ac:dyDescent="0.25">
      <c r="D20" s="32" t="s">
        <v>366</v>
      </c>
      <c r="E20" s="32"/>
      <c r="G20" s="13"/>
      <c r="H20" s="92"/>
      <c r="I20" t="s">
        <v>191</v>
      </c>
      <c r="J20" t="s">
        <v>363</v>
      </c>
    </row>
    <row r="21" spans="3:27" x14ac:dyDescent="0.25">
      <c r="E21" s="23" t="s">
        <v>354</v>
      </c>
      <c r="F21" s="23"/>
      <c r="G21" s="85" t="s">
        <v>364</v>
      </c>
      <c r="H21" s="288">
        <v>783</v>
      </c>
    </row>
    <row r="22" spans="3:27" x14ac:dyDescent="0.25">
      <c r="E22" t="s">
        <v>355</v>
      </c>
      <c r="G22" s="13" t="s">
        <v>364</v>
      </c>
      <c r="H22" s="289">
        <v>2740.5</v>
      </c>
    </row>
    <row r="23" spans="3:27" x14ac:dyDescent="0.25">
      <c r="E23" s="37" t="s">
        <v>314</v>
      </c>
      <c r="F23" s="37"/>
      <c r="G23" s="87" t="s">
        <v>364</v>
      </c>
      <c r="H23" s="291">
        <v>5236.5</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367</v>
      </c>
      <c r="E27" s="29"/>
      <c r="G27" s="13"/>
    </row>
    <row r="28" spans="3:27" x14ac:dyDescent="0.25">
      <c r="D28" s="29"/>
      <c r="E28" s="29"/>
      <c r="G28" s="13"/>
    </row>
    <row r="29" spans="3:27" x14ac:dyDescent="0.25">
      <c r="D29" s="32" t="s">
        <v>368</v>
      </c>
      <c r="E29" s="32"/>
      <c r="G29" s="13"/>
      <c r="I29" t="s">
        <v>191</v>
      </c>
      <c r="J29" t="s">
        <v>369</v>
      </c>
    </row>
    <row r="30" spans="3:27" x14ac:dyDescent="0.25">
      <c r="E30" s="64" t="s">
        <v>212</v>
      </c>
      <c r="F30" s="23"/>
      <c r="G30" s="78" t="s">
        <v>204</v>
      </c>
      <c r="H30" s="292">
        <v>0.30448390017089322</v>
      </c>
      <c r="J30" s="343">
        <v>-2.6672442032804611E-11</v>
      </c>
    </row>
    <row r="31" spans="3:27" x14ac:dyDescent="0.25">
      <c r="E31" s="28" t="s">
        <v>214</v>
      </c>
      <c r="G31" s="72" t="s">
        <v>204</v>
      </c>
      <c r="H31" s="287">
        <v>0.47123400364058998</v>
      </c>
      <c r="J31" s="343">
        <v>-4.749151072402924E-11</v>
      </c>
    </row>
    <row r="32" spans="3:27" x14ac:dyDescent="0.25">
      <c r="E32" s="28" t="s">
        <v>215</v>
      </c>
      <c r="G32" s="72" t="s">
        <v>204</v>
      </c>
      <c r="H32" s="287">
        <v>0.22825407639898521</v>
      </c>
      <c r="J32" s="343">
        <v>-3.8729797147141198E-11</v>
      </c>
    </row>
    <row r="33" spans="3:27" x14ac:dyDescent="0.25">
      <c r="E33" s="67" t="s">
        <v>216</v>
      </c>
      <c r="F33" s="37"/>
      <c r="G33" s="80" t="s">
        <v>204</v>
      </c>
      <c r="H33" s="294">
        <v>0.12559312203105261</v>
      </c>
      <c r="J33" s="343">
        <v>-2.6984969814236592E-11</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370</v>
      </c>
      <c r="E37" s="29"/>
      <c r="G37" s="13"/>
      <c r="H37" s="13"/>
      <c r="I37" t="s">
        <v>191</v>
      </c>
      <c r="J37" t="s">
        <v>371</v>
      </c>
      <c r="K37" s="13"/>
      <c r="L37" s="13"/>
      <c r="M37" s="13"/>
      <c r="N37" s="13"/>
      <c r="O37" s="13"/>
      <c r="P37" s="13"/>
      <c r="Q37" s="13"/>
      <c r="R37" s="13"/>
      <c r="S37" s="13"/>
    </row>
    <row r="38" spans="3:27" x14ac:dyDescent="0.25">
      <c r="D38" s="29" t="s">
        <v>372</v>
      </c>
      <c r="E38" s="29"/>
      <c r="G38" s="13"/>
      <c r="H38" s="13"/>
      <c r="I38" s="13"/>
      <c r="J38" s="100"/>
      <c r="K38" s="13"/>
      <c r="L38" s="13"/>
      <c r="M38" s="13"/>
      <c r="N38" s="13"/>
      <c r="O38" s="13"/>
      <c r="P38" s="13"/>
      <c r="Q38" s="13"/>
      <c r="R38" s="13"/>
      <c r="S38" s="13"/>
    </row>
    <row r="39" spans="3:27" x14ac:dyDescent="0.25">
      <c r="E39" s="32"/>
    </row>
    <row r="40" spans="3:27" x14ac:dyDescent="0.25">
      <c r="E40" t="s">
        <v>373</v>
      </c>
      <c r="G40" t="s">
        <v>336</v>
      </c>
      <c r="H40" s="289">
        <v>423300000</v>
      </c>
    </row>
    <row r="41" spans="3:27" x14ac:dyDescent="0.25">
      <c r="E41" t="s">
        <v>374</v>
      </c>
      <c r="G41" t="s">
        <v>336</v>
      </c>
      <c r="H41" s="289">
        <v>-19840866.879372355</v>
      </c>
    </row>
    <row r="42" spans="3:27" x14ac:dyDescent="0.25">
      <c r="E42" t="s">
        <v>375</v>
      </c>
      <c r="G42" t="s">
        <v>336</v>
      </c>
      <c r="H42" s="289">
        <v>848081.12200621585</v>
      </c>
    </row>
    <row r="43" spans="3:27" x14ac:dyDescent="0.25">
      <c r="E43" s="37" t="s">
        <v>376</v>
      </c>
      <c r="F43" s="37"/>
      <c r="G43" s="37" t="s">
        <v>343</v>
      </c>
      <c r="H43" s="291">
        <v>1.236</v>
      </c>
    </row>
    <row r="44" spans="3:27" x14ac:dyDescent="0.25">
      <c r="E44" t="s">
        <v>377</v>
      </c>
      <c r="G44" t="s">
        <v>336</v>
      </c>
      <c r="H44" s="101">
        <f>SUM(H40:H42)</f>
        <v>404307214.24263388</v>
      </c>
    </row>
    <row r="45" spans="3:27" x14ac:dyDescent="0.25">
      <c r="E45" t="s">
        <v>378</v>
      </c>
      <c r="G45" t="s">
        <v>336</v>
      </c>
      <c r="H45" s="101">
        <f>H44 * (H43 - 1)</f>
        <v>95416502.561261594</v>
      </c>
    </row>
    <row r="46" spans="3:27" x14ac:dyDescent="0.25">
      <c r="H46" s="92"/>
    </row>
    <row r="47" spans="3:27" x14ac:dyDescent="0.25">
      <c r="E47" t="s">
        <v>379</v>
      </c>
      <c r="G47" t="s">
        <v>336</v>
      </c>
      <c r="H47" s="289">
        <v>339083.02540632116</v>
      </c>
    </row>
    <row r="48" spans="3:27" x14ac:dyDescent="0.25">
      <c r="E48" t="s">
        <v>380</v>
      </c>
      <c r="G48" t="s">
        <v>336</v>
      </c>
      <c r="H48" s="289">
        <v>-19082685.755225684</v>
      </c>
    </row>
    <row r="49" spans="5:8" x14ac:dyDescent="0.25">
      <c r="E49" t="s">
        <v>381</v>
      </c>
      <c r="G49" t="s">
        <v>336</v>
      </c>
      <c r="H49" s="289">
        <v>-1713106.0101125287</v>
      </c>
    </row>
    <row r="50" spans="5:8" x14ac:dyDescent="0.25">
      <c r="E50" t="s">
        <v>382</v>
      </c>
      <c r="G50" t="s">
        <v>336</v>
      </c>
      <c r="H50" s="289">
        <v>1420009.8395169997</v>
      </c>
    </row>
    <row r="51" spans="5:8" x14ac:dyDescent="0.25">
      <c r="E51" t="s">
        <v>383</v>
      </c>
      <c r="G51" t="s">
        <v>336</v>
      </c>
      <c r="H51" s="289">
        <v>44667.634681832758</v>
      </c>
    </row>
    <row r="52" spans="5:8" x14ac:dyDescent="0.25">
      <c r="E52" t="s">
        <v>384</v>
      </c>
      <c r="G52" t="s">
        <v>336</v>
      </c>
      <c r="H52" s="289">
        <v>51842.215715214486</v>
      </c>
    </row>
    <row r="53" spans="5:8" x14ac:dyDescent="0.25">
      <c r="E53" s="37" t="s">
        <v>385</v>
      </c>
      <c r="F53" s="37"/>
      <c r="G53" s="37" t="s">
        <v>336</v>
      </c>
      <c r="H53" s="291"/>
    </row>
    <row r="54" spans="5:8" x14ac:dyDescent="0.25">
      <c r="E54" t="s">
        <v>386</v>
      </c>
      <c r="G54" t="s">
        <v>336</v>
      </c>
      <c r="H54" s="102">
        <f>SUM(H47:H53)</f>
        <v>-18940189.050017845</v>
      </c>
    </row>
    <row r="55" spans="5:8" x14ac:dyDescent="0.25">
      <c r="H55" s="92"/>
    </row>
    <row r="56" spans="5:8" x14ac:dyDescent="0.25">
      <c r="E56" t="s">
        <v>387</v>
      </c>
      <c r="G56" t="s">
        <v>336</v>
      </c>
      <c r="H56" s="289">
        <v>6423040.0785825355</v>
      </c>
    </row>
    <row r="57" spans="5:8" x14ac:dyDescent="0.25">
      <c r="E57" t="s">
        <v>388</v>
      </c>
      <c r="G57" t="s">
        <v>336</v>
      </c>
      <c r="H57" s="289">
        <v>20467501.86043822</v>
      </c>
    </row>
    <row r="58" spans="5:8" x14ac:dyDescent="0.25">
      <c r="E58" t="s">
        <v>389</v>
      </c>
      <c r="G58" t="s">
        <v>336</v>
      </c>
      <c r="H58" s="289">
        <v>0</v>
      </c>
    </row>
    <row r="59" spans="5:8" x14ac:dyDescent="0.25">
      <c r="E59" t="s">
        <v>390</v>
      </c>
      <c r="G59" t="s">
        <v>336</v>
      </c>
      <c r="H59" s="289">
        <v>1807412.9400919587</v>
      </c>
    </row>
    <row r="60" spans="5:8" x14ac:dyDescent="0.25">
      <c r="E60" t="s">
        <v>391</v>
      </c>
      <c r="G60" t="s">
        <v>336</v>
      </c>
      <c r="H60" s="289">
        <v>0</v>
      </c>
    </row>
    <row r="61" spans="5:8" x14ac:dyDescent="0.25">
      <c r="E61" t="s">
        <v>392</v>
      </c>
      <c r="G61" t="s">
        <v>336</v>
      </c>
      <c r="H61" s="289">
        <v>1856267.0010000002</v>
      </c>
    </row>
    <row r="62" spans="5:8" x14ac:dyDescent="0.25">
      <c r="E62" t="s">
        <v>393</v>
      </c>
      <c r="G62" t="s">
        <v>336</v>
      </c>
      <c r="H62" s="289">
        <v>0</v>
      </c>
    </row>
    <row r="63" spans="5:8" x14ac:dyDescent="0.25">
      <c r="E63" t="s">
        <v>394</v>
      </c>
      <c r="G63" t="s">
        <v>336</v>
      </c>
      <c r="H63" s="289">
        <v>222569.77469756259</v>
      </c>
    </row>
    <row r="64" spans="5:8" x14ac:dyDescent="0.25">
      <c r="E64" t="s">
        <v>395</v>
      </c>
      <c r="G64" t="s">
        <v>336</v>
      </c>
      <c r="H64" s="289">
        <v>0</v>
      </c>
    </row>
    <row r="65" spans="5:10" x14ac:dyDescent="0.25">
      <c r="E65" t="s">
        <v>396</v>
      </c>
      <c r="G65" t="s">
        <v>336</v>
      </c>
      <c r="H65" s="289">
        <v>0</v>
      </c>
    </row>
    <row r="66" spans="5:10" x14ac:dyDescent="0.25">
      <c r="E66" s="37" t="s">
        <v>397</v>
      </c>
      <c r="F66" s="37"/>
      <c r="G66" s="37" t="s">
        <v>336</v>
      </c>
      <c r="H66" s="291">
        <v>0</v>
      </c>
    </row>
    <row r="67" spans="5:10" x14ac:dyDescent="0.25">
      <c r="E67" t="s">
        <v>398</v>
      </c>
      <c r="G67" t="s">
        <v>336</v>
      </c>
      <c r="H67" s="101">
        <f>SUM(H56:H66)</f>
        <v>30776791.654810276</v>
      </c>
    </row>
    <row r="68" spans="5:10" x14ac:dyDescent="0.25">
      <c r="H68" s="92"/>
    </row>
    <row r="69" spans="5:10" x14ac:dyDescent="0.25">
      <c r="E69" s="37" t="s">
        <v>399</v>
      </c>
      <c r="F69" s="37"/>
      <c r="G69" s="37" t="s">
        <v>336</v>
      </c>
      <c r="H69" s="291">
        <v>-4954238.0054815914</v>
      </c>
    </row>
    <row r="70" spans="5:10" x14ac:dyDescent="0.25">
      <c r="E70" t="s">
        <v>400</v>
      </c>
      <c r="G70" t="s">
        <v>336</v>
      </c>
      <c r="H70" s="101">
        <f>H69 + H67 + H54 + H45 + H44</f>
        <v>506606081.40320635</v>
      </c>
    </row>
    <row r="71" spans="5:10" x14ac:dyDescent="0.25">
      <c r="H71" s="92"/>
    </row>
    <row r="72" spans="5:10" x14ac:dyDescent="0.25">
      <c r="E72" t="s">
        <v>401</v>
      </c>
      <c r="G72" t="s">
        <v>336</v>
      </c>
      <c r="H72" s="289"/>
    </row>
    <row r="73" spans="5:10" x14ac:dyDescent="0.25">
      <c r="E73" t="s">
        <v>402</v>
      </c>
      <c r="G73" t="s">
        <v>336</v>
      </c>
      <c r="H73" s="289"/>
    </row>
    <row r="74" spans="5:10" x14ac:dyDescent="0.25">
      <c r="E74" t="s">
        <v>403</v>
      </c>
      <c r="G74" t="s">
        <v>336</v>
      </c>
      <c r="H74" s="289"/>
    </row>
    <row r="75" spans="5:10" x14ac:dyDescent="0.25">
      <c r="E75" t="s">
        <v>404</v>
      </c>
      <c r="G75" t="s">
        <v>336</v>
      </c>
      <c r="H75" s="289"/>
    </row>
    <row r="76" spans="5:10" x14ac:dyDescent="0.25">
      <c r="E76" s="37" t="s">
        <v>405</v>
      </c>
      <c r="F76" s="37"/>
      <c r="G76" s="37" t="s">
        <v>336</v>
      </c>
      <c r="H76" s="291"/>
    </row>
    <row r="77" spans="5:10" x14ac:dyDescent="0.25">
      <c r="E77" s="37" t="s">
        <v>406</v>
      </c>
      <c r="F77" s="37"/>
      <c r="G77" s="37" t="s">
        <v>336</v>
      </c>
      <c r="H77" s="103">
        <f>SUM(H72:H76)</f>
        <v>0</v>
      </c>
    </row>
    <row r="78" spans="5:10" x14ac:dyDescent="0.25">
      <c r="E78" t="s">
        <v>407</v>
      </c>
      <c r="G78" t="s">
        <v>336</v>
      </c>
      <c r="H78" s="102">
        <f>H70+H77</f>
        <v>506606081.40320635</v>
      </c>
    </row>
    <row r="79" spans="5:10" x14ac:dyDescent="0.25">
      <c r="H79" s="92"/>
    </row>
    <row r="80" spans="5:10" x14ac:dyDescent="0.25">
      <c r="E80" t="s">
        <v>408</v>
      </c>
      <c r="G80" t="s">
        <v>336</v>
      </c>
      <c r="H80" s="289">
        <v>10997123.587337591</v>
      </c>
      <c r="J80" s="344">
        <v>0</v>
      </c>
    </row>
    <row r="81" spans="3:27" x14ac:dyDescent="0.25">
      <c r="E81" t="s">
        <v>409</v>
      </c>
      <c r="G81" t="s">
        <v>336</v>
      </c>
      <c r="H81" s="289"/>
    </row>
    <row r="82" spans="3:27" x14ac:dyDescent="0.25">
      <c r="E82" t="s">
        <v>410</v>
      </c>
      <c r="G82" t="s">
        <v>336</v>
      </c>
      <c r="H82" s="289"/>
    </row>
    <row r="83" spans="3:27" x14ac:dyDescent="0.25">
      <c r="E83" s="37" t="s">
        <v>411</v>
      </c>
      <c r="F83" s="37"/>
      <c r="G83" s="37" t="s">
        <v>336</v>
      </c>
      <c r="H83" s="291"/>
    </row>
    <row r="84" spans="3:27" x14ac:dyDescent="0.25">
      <c r="E84" t="s">
        <v>412</v>
      </c>
      <c r="G84" t="s">
        <v>336</v>
      </c>
      <c r="H84" s="101">
        <f>SUM(H80:H83)</f>
        <v>10997123.587337591</v>
      </c>
    </row>
    <row r="85" spans="3:27" x14ac:dyDescent="0.25">
      <c r="E85" s="23" t="s">
        <v>413</v>
      </c>
      <c r="F85" s="23"/>
      <c r="G85" s="23" t="s">
        <v>336</v>
      </c>
      <c r="H85" s="104">
        <f>H78-H84</f>
        <v>495608957.81586874</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414</v>
      </c>
      <c r="G89" t="s">
        <v>204</v>
      </c>
      <c r="H89" s="295">
        <v>3.73E-2</v>
      </c>
      <c r="I89" t="s">
        <v>191</v>
      </c>
      <c r="J89" s="3" t="s">
        <v>202</v>
      </c>
    </row>
    <row r="90" spans="3:27" x14ac:dyDescent="0.25">
      <c r="E90" s="28" t="s">
        <v>129</v>
      </c>
      <c r="G90" s="28" t="s">
        <v>415</v>
      </c>
      <c r="H90" s="278">
        <v>365</v>
      </c>
    </row>
    <row r="91" spans="3:27" x14ac:dyDescent="0.25">
      <c r="E91" t="s">
        <v>416</v>
      </c>
      <c r="G91" t="s">
        <v>184</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417</v>
      </c>
      <c r="G95" t="s">
        <v>418</v>
      </c>
      <c r="H95" s="289">
        <v>12903738.284178527</v>
      </c>
      <c r="I95" t="s">
        <v>191</v>
      </c>
      <c r="J95" t="s">
        <v>419</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420</v>
      </c>
      <c r="F99" s="32"/>
      <c r="H99" s="92"/>
      <c r="I99" t="s">
        <v>191</v>
      </c>
      <c r="J99" t="s">
        <v>207</v>
      </c>
    </row>
    <row r="100" spans="2:27" x14ac:dyDescent="0.25">
      <c r="F100" s="64" t="s">
        <v>421</v>
      </c>
      <c r="G100" s="23" t="s">
        <v>418</v>
      </c>
      <c r="H100" s="288">
        <v>43916287.543416791</v>
      </c>
    </row>
    <row r="101" spans="2:27" x14ac:dyDescent="0.25">
      <c r="F101" s="28" t="s">
        <v>422</v>
      </c>
      <c r="G101" t="s">
        <v>418</v>
      </c>
      <c r="H101" s="289">
        <v>129435808.03593904</v>
      </c>
      <c r="R101" s="91"/>
      <c r="S101" s="91"/>
    </row>
    <row r="102" spans="2:27" x14ac:dyDescent="0.25">
      <c r="F102" s="67" t="s">
        <v>423</v>
      </c>
      <c r="G102" s="37" t="s">
        <v>418</v>
      </c>
      <c r="H102" s="291">
        <v>33739616.911991909</v>
      </c>
      <c r="R102" s="91"/>
      <c r="S102" s="91"/>
    </row>
    <row r="104" spans="2:27" x14ac:dyDescent="0.25">
      <c r="B104" s="30" t="s">
        <v>281</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282</v>
      </c>
      <c r="G106" s="6" t="s">
        <v>57</v>
      </c>
      <c r="H106" s="24">
        <f t="array" ref="H106">SUM(IF(ISERROR(H6:H103), 1))</f>
        <v>0</v>
      </c>
    </row>
    <row r="108" spans="2:27" x14ac:dyDescent="0.25">
      <c r="E108" s="32" t="s">
        <v>424</v>
      </c>
    </row>
    <row r="109" spans="2:27" x14ac:dyDescent="0.25">
      <c r="F109" s="23" t="s">
        <v>425</v>
      </c>
      <c r="G109" s="73" t="s">
        <v>57</v>
      </c>
      <c r="H109" s="74">
        <f>IF(SUM(H16:H18) = hours_in_year, 0, 1)</f>
        <v>0</v>
      </c>
    </row>
    <row r="110" spans="2:27" x14ac:dyDescent="0.25">
      <c r="F110" s="37" t="s">
        <v>426</v>
      </c>
      <c r="G110" s="50" t="s">
        <v>57</v>
      </c>
      <c r="H110" s="75">
        <f>IF(SUM(H21:H23) = hours_in_year, 0, 1)</f>
        <v>0</v>
      </c>
    </row>
    <row r="112" spans="2:27" x14ac:dyDescent="0.25">
      <c r="E112" t="s">
        <v>290</v>
      </c>
      <c r="G112" s="6" t="s">
        <v>57</v>
      </c>
      <c r="H112" s="26">
        <f>SUM(H106,H109:H110)</f>
        <v>0</v>
      </c>
    </row>
    <row r="114" spans="2:27" x14ac:dyDescent="0.25">
      <c r="B114" s="30" t="s">
        <v>108</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f11e38d-df47-44a9-bb81-9cb5331e96c9"/>
    <ds:schemaRef ds:uri="http://schemas.microsoft.com/office/2006/documentManagement/types"/>
    <ds:schemaRef ds:uri="http://www.w3.org/XML/1998/namespace"/>
    <ds:schemaRef ds:uri="http://purl.org/dc/dcmitype/"/>
    <ds:schemaRef ds:uri="c7312139-f4c2-453d-a4c8-c631b6303d87"/>
    <ds:schemaRef ds:uri="830862f3-40c2-43d5-9778-1909aaa95bc7"/>
  </ds:schemaRefs>
</ds:datastoreItem>
</file>

<file path=customXml/itemProps3.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62021B-6C1D-4876-B027-26EF8EAE7D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subject/>
  <cp:keywords/>
  <dc:description/>
  <cp:lastModifiedBy>Wornell, Dave I.</cp:lastModifiedBy>
  <cp:revision/>
  <dcterms:created xsi:type="dcterms:W3CDTF">2017-07-12T09:37:31Z</dcterms:created>
  <dcterms:modified xsi:type="dcterms:W3CDTF">2018-12-13T16:28:38Z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