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workbookProtection lockStructure="1"/>
  <bookViews>
    <workbookView xWindow="0" yWindow="0" windowWidth="19440" windowHeight="13320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MEAV!$B$2:$B$147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_xlnm.Print_Area" localSheetId="5">'DNO inputs'!$A$1:$M$391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8" l="1"/>
  <c r="H13" i="33" l="1"/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1" i="15"/>
  <c r="G129" i="15"/>
  <c r="G128" i="15"/>
  <c r="G127" i="15"/>
  <c r="G126" i="15"/>
  <c r="G125" i="15"/>
  <c r="G122" i="15"/>
  <c r="G114" i="15"/>
  <c r="E114" i="15"/>
  <c r="G110" i="15"/>
  <c r="F110" i="15"/>
  <c r="G109" i="15"/>
  <c r="F109" i="15"/>
  <c r="G108" i="15"/>
  <c r="F108" i="15"/>
  <c r="G107" i="15"/>
  <c r="F107" i="15"/>
  <c r="G106" i="15"/>
  <c r="F106" i="15"/>
  <c r="E105" i="15"/>
  <c r="G86" i="15"/>
  <c r="G84" i="15"/>
  <c r="G83" i="15"/>
  <c r="G82" i="15"/>
  <c r="G81" i="15"/>
  <c r="G58" i="15"/>
  <c r="G56" i="15"/>
  <c r="G103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V24" i="15" s="1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BF24" i="15" s="1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AO118" i="21" s="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CL24" i="15" l="1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6" i="15" s="1"/>
  <c r="H52" i="15"/>
  <c r="H83" i="15"/>
  <c r="H56" i="15"/>
  <c r="H103" i="15" s="1"/>
  <c r="H82" i="15"/>
  <c r="H54" i="15"/>
  <c r="H127" i="15" s="1"/>
  <c r="H55" i="15"/>
  <c r="H128" i="15" s="1"/>
  <c r="H25" i="15"/>
  <c r="H81" i="15"/>
  <c r="H84" i="15"/>
  <c r="H119" i="21"/>
  <c r="J40" i="20"/>
  <c r="H41" i="20" l="1"/>
  <c r="H42" i="20" s="1"/>
  <c r="M44" i="20" s="1"/>
  <c r="M35" i="22" s="1"/>
  <c r="J44" i="20"/>
  <c r="H86" i="15"/>
  <c r="H87" i="15" s="1"/>
  <c r="H58" i="15"/>
  <c r="H125" i="15"/>
  <c r="H59" i="15"/>
  <c r="N118" i="22"/>
  <c r="N120" i="22" s="1"/>
  <c r="L44" i="20" l="1"/>
  <c r="L35" i="22" s="1"/>
  <c r="N44" i="20"/>
  <c r="N35" i="22" s="1"/>
  <c r="K44" i="20"/>
  <c r="K35" i="22" s="1"/>
  <c r="H91" i="15"/>
  <c r="H164" i="22" s="1"/>
  <c r="H90" i="15"/>
  <c r="H93" i="15"/>
  <c r="H166" i="22" s="1"/>
  <c r="H92" i="15"/>
  <c r="H165" i="22" s="1"/>
  <c r="H136" i="22"/>
  <c r="H61" i="15"/>
  <c r="H60" i="15"/>
  <c r="J35" i="22"/>
  <c r="H45" i="20" l="1"/>
  <c r="H163" i="22"/>
  <c r="H95" i="15"/>
  <c r="H66" i="15"/>
  <c r="H76" i="21" s="1"/>
  <c r="H67" i="15"/>
  <c r="H77" i="21" s="1"/>
  <c r="H68" i="15"/>
  <c r="H78" i="21" s="1"/>
  <c r="H65" i="15"/>
  <c r="H64" i="15"/>
  <c r="H74" i="21" l="1"/>
  <c r="H70" i="15"/>
  <c r="H73" i="15"/>
  <c r="H75" i="21"/>
  <c r="H74" i="15"/>
  <c r="H76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s="1"/>
  <c r="H68" i="38" l="1"/>
  <c r="K33" i="22" s="1"/>
  <c r="H69" i="38"/>
  <c r="L33" i="22" s="1"/>
  <c r="H71" i="38"/>
  <c r="N33" i="22" s="1"/>
  <c r="H70" i="38"/>
  <c r="M33" i="22" s="1"/>
  <c r="H67" i="38"/>
  <c r="K77" i="22" l="1"/>
  <c r="K37" i="22"/>
  <c r="K69" i="22" s="1"/>
  <c r="M77" i="22"/>
  <c r="M37" i="22"/>
  <c r="M69" i="22" s="1"/>
  <c r="N77" i="22"/>
  <c r="N37" i="22"/>
  <c r="N69" i="22" s="1"/>
  <c r="J33" i="22"/>
  <c r="H73" i="38"/>
  <c r="L77" i="22"/>
  <c r="L37" i="22"/>
  <c r="L69" i="22" s="1"/>
  <c r="M83" i="22" l="1"/>
  <c r="M129" i="22" s="1"/>
  <c r="N83" i="22"/>
  <c r="N129" i="22" s="1"/>
  <c r="K83" i="22"/>
  <c r="K129" i="22" s="1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07" i="15"/>
  <c r="H106" i="15"/>
  <c r="H110" i="15"/>
  <c r="H109" i="15"/>
  <c r="H112" i="15" l="1"/>
  <c r="H114" i="15" l="1"/>
  <c r="H116" i="15" s="1"/>
  <c r="H118" i="15" s="1"/>
  <c r="H49" i="20" l="1"/>
  <c r="H122" i="15"/>
  <c r="H129" i="15" s="1"/>
  <c r="H131" i="15" s="1"/>
  <c r="H132" i="15" s="1"/>
  <c r="H135" i="15" l="1"/>
  <c r="H139" i="15"/>
  <c r="H85" i="21" s="1"/>
  <c r="H137" i="15"/>
  <c r="H83" i="21" s="1"/>
  <c r="H138" i="15"/>
  <c r="H84" i="21" s="1"/>
  <c r="H136" i="15"/>
  <c r="H82" i="21" s="1"/>
  <c r="N55" i="20"/>
  <c r="N58" i="20" s="1"/>
  <c r="H59" i="20" s="1"/>
  <c r="H60" i="20" s="1"/>
  <c r="N56" i="20"/>
  <c r="W100" i="21" l="1"/>
  <c r="W139" i="21" s="1"/>
  <c r="L100" i="21"/>
  <c r="L139" i="21" s="1"/>
  <c r="AG100" i="21"/>
  <c r="AG139" i="21" s="1"/>
  <c r="AD100" i="21"/>
  <c r="AD139" i="21" s="1"/>
  <c r="O100" i="21"/>
  <c r="O139" i="21" s="1"/>
  <c r="AJ100" i="21"/>
  <c r="AJ139" i="21" s="1"/>
  <c r="AQ100" i="21"/>
  <c r="AQ139" i="21" s="1"/>
  <c r="AB100" i="21"/>
  <c r="AB139" i="21" s="1"/>
  <c r="Y100" i="21"/>
  <c r="Y139" i="21" s="1"/>
  <c r="P100" i="21"/>
  <c r="P139" i="21" s="1"/>
  <c r="AH100" i="21"/>
  <c r="AH139" i="21" s="1"/>
  <c r="AM100" i="21"/>
  <c r="AM139" i="21" s="1"/>
  <c r="S100" i="21"/>
  <c r="S139" i="21" s="1"/>
  <c r="AO100" i="21"/>
  <c r="AO139" i="21" s="1"/>
  <c r="AI100" i="21"/>
  <c r="AI139" i="21" s="1"/>
  <c r="Z100" i="21"/>
  <c r="Z139" i="21" s="1"/>
  <c r="AK100" i="21"/>
  <c r="AK139" i="21" s="1"/>
  <c r="N100" i="21"/>
  <c r="N139" i="21" s="1"/>
  <c r="AL100" i="21"/>
  <c r="AL139" i="21" s="1"/>
  <c r="K100" i="21"/>
  <c r="K139" i="21" s="1"/>
  <c r="R100" i="21"/>
  <c r="R139" i="21" s="1"/>
  <c r="AF100" i="21"/>
  <c r="AF139" i="21" s="1"/>
  <c r="AC100" i="21"/>
  <c r="AC139" i="21" s="1"/>
  <c r="AP100" i="21"/>
  <c r="AP139" i="21" s="1"/>
  <c r="AA100" i="21"/>
  <c r="AA139" i="21" s="1"/>
  <c r="V100" i="21"/>
  <c r="V139" i="21" s="1"/>
  <c r="X100" i="21"/>
  <c r="X139" i="21" s="1"/>
  <c r="AN100" i="21"/>
  <c r="AN139" i="21" s="1"/>
  <c r="U100" i="21"/>
  <c r="U139" i="21" s="1"/>
  <c r="M100" i="21"/>
  <c r="M139" i="21" s="1"/>
  <c r="J100" i="21"/>
  <c r="J139" i="21" s="1"/>
  <c r="T100" i="21"/>
  <c r="T139" i="21" s="1"/>
  <c r="AE100" i="21"/>
  <c r="AE139" i="21" s="1"/>
  <c r="Q100" i="21"/>
  <c r="Q139" i="21" s="1"/>
  <c r="J62" i="20"/>
  <c r="L62" i="20"/>
  <c r="L45" i="22" s="1"/>
  <c r="M62" i="20"/>
  <c r="M45" i="22" s="1"/>
  <c r="K62" i="20"/>
  <c r="K45" i="22" s="1"/>
  <c r="N62" i="20"/>
  <c r="N45" i="22" s="1"/>
  <c r="AG99" i="21"/>
  <c r="AG138" i="21" s="1"/>
  <c r="AG30" i="38" s="1"/>
  <c r="V99" i="21"/>
  <c r="V138" i="21" s="1"/>
  <c r="V30" i="38" s="1"/>
  <c r="AB99" i="21"/>
  <c r="AB138" i="21" s="1"/>
  <c r="AB30" i="38" s="1"/>
  <c r="Q99" i="21"/>
  <c r="Q138" i="21" s="1"/>
  <c r="Q30" i="38" s="1"/>
  <c r="AQ99" i="21"/>
  <c r="AQ138" i="21" s="1"/>
  <c r="AQ30" i="38" s="1"/>
  <c r="AP99" i="21"/>
  <c r="AP138" i="21" s="1"/>
  <c r="AP30" i="38" s="1"/>
  <c r="W99" i="21"/>
  <c r="W138" i="21" s="1"/>
  <c r="W30" i="38" s="1"/>
  <c r="AH99" i="21"/>
  <c r="AH138" i="21" s="1"/>
  <c r="AH30" i="38" s="1"/>
  <c r="AE99" i="21"/>
  <c r="AE138" i="21" s="1"/>
  <c r="AE30" i="38" s="1"/>
  <c r="Y99" i="21"/>
  <c r="Y138" i="21" s="1"/>
  <c r="Y30" i="38" s="1"/>
  <c r="AJ99" i="21"/>
  <c r="AJ138" i="21" s="1"/>
  <c r="AJ30" i="38" s="1"/>
  <c r="L99" i="21"/>
  <c r="L138" i="21" s="1"/>
  <c r="L30" i="38" s="1"/>
  <c r="S99" i="21"/>
  <c r="S138" i="21" s="1"/>
  <c r="S30" i="38" s="1"/>
  <c r="P99" i="21"/>
  <c r="P138" i="21" s="1"/>
  <c r="P30" i="38" s="1"/>
  <c r="AA99" i="21"/>
  <c r="AA138" i="21" s="1"/>
  <c r="AA30" i="38" s="1"/>
  <c r="AC99" i="21"/>
  <c r="AC138" i="21" s="1"/>
  <c r="AC30" i="38" s="1"/>
  <c r="AO99" i="21"/>
  <c r="AO138" i="21" s="1"/>
  <c r="AO30" i="38" s="1"/>
  <c r="AD99" i="21"/>
  <c r="AD138" i="21" s="1"/>
  <c r="AD30" i="38" s="1"/>
  <c r="AI99" i="21"/>
  <c r="AI138" i="21" s="1"/>
  <c r="AI30" i="38" s="1"/>
  <c r="X99" i="21"/>
  <c r="X138" i="21" s="1"/>
  <c r="X30" i="38" s="1"/>
  <c r="K99" i="21"/>
  <c r="K138" i="21" s="1"/>
  <c r="K30" i="38" s="1"/>
  <c r="AM99" i="21"/>
  <c r="AM138" i="21" s="1"/>
  <c r="AM30" i="38" s="1"/>
  <c r="M99" i="21"/>
  <c r="M138" i="21" s="1"/>
  <c r="M30" i="38" s="1"/>
  <c r="N99" i="21"/>
  <c r="N138" i="21" s="1"/>
  <c r="N30" i="38" s="1"/>
  <c r="Z99" i="21"/>
  <c r="Z138" i="21" s="1"/>
  <c r="Z30" i="38" s="1"/>
  <c r="U99" i="21"/>
  <c r="U138" i="21" s="1"/>
  <c r="U30" i="38" s="1"/>
  <c r="R99" i="21"/>
  <c r="R138" i="21" s="1"/>
  <c r="R30" i="38" s="1"/>
  <c r="AK99" i="21"/>
  <c r="AK138" i="21" s="1"/>
  <c r="AK30" i="38" s="1"/>
  <c r="J99" i="21"/>
  <c r="J138" i="21" s="1"/>
  <c r="J30" i="38" s="1"/>
  <c r="O99" i="21"/>
  <c r="O138" i="21" s="1"/>
  <c r="O30" i="38" s="1"/>
  <c r="AL99" i="21"/>
  <c r="AL138" i="21" s="1"/>
  <c r="AL30" i="38" s="1"/>
  <c r="T99" i="21"/>
  <c r="T138" i="21" s="1"/>
  <c r="T30" i="38" s="1"/>
  <c r="AF99" i="21"/>
  <c r="AF138" i="21" s="1"/>
  <c r="AF30" i="38" s="1"/>
  <c r="AN99" i="21"/>
  <c r="AN138" i="21" s="1"/>
  <c r="AN30" i="38" s="1"/>
  <c r="AQ101" i="21"/>
  <c r="AQ140" i="21" s="1"/>
  <c r="AQ32" i="38" s="1"/>
  <c r="T101" i="21"/>
  <c r="T140" i="21" s="1"/>
  <c r="T32" i="38" s="1"/>
  <c r="AE101" i="21"/>
  <c r="AE140" i="21" s="1"/>
  <c r="AE32" i="38" s="1"/>
  <c r="Z101" i="21"/>
  <c r="Z140" i="21" s="1"/>
  <c r="Z32" i="38" s="1"/>
  <c r="P101" i="21"/>
  <c r="P140" i="21" s="1"/>
  <c r="P32" i="38" s="1"/>
  <c r="V101" i="21"/>
  <c r="V140" i="21" s="1"/>
  <c r="V32" i="38" s="1"/>
  <c r="AO101" i="21"/>
  <c r="AO140" i="21" s="1"/>
  <c r="AO32" i="38" s="1"/>
  <c r="O101" i="21"/>
  <c r="O140" i="21" s="1"/>
  <c r="O32" i="38" s="1"/>
  <c r="L101" i="21"/>
  <c r="L140" i="21" s="1"/>
  <c r="L32" i="38" s="1"/>
  <c r="AJ101" i="21"/>
  <c r="AJ140" i="21" s="1"/>
  <c r="AJ32" i="38" s="1"/>
  <c r="AN101" i="21"/>
  <c r="AN140" i="21" s="1"/>
  <c r="AN32" i="38" s="1"/>
  <c r="AF101" i="21"/>
  <c r="AF140" i="21" s="1"/>
  <c r="AF32" i="38" s="1"/>
  <c r="U101" i="21"/>
  <c r="U140" i="21" s="1"/>
  <c r="U32" i="38" s="1"/>
  <c r="K101" i="21"/>
  <c r="K140" i="21" s="1"/>
  <c r="K32" i="38" s="1"/>
  <c r="AG101" i="21"/>
  <c r="AG140" i="21" s="1"/>
  <c r="AG32" i="38" s="1"/>
  <c r="M101" i="21"/>
  <c r="M140" i="21" s="1"/>
  <c r="M32" i="38" s="1"/>
  <c r="AK101" i="21"/>
  <c r="AK140" i="21" s="1"/>
  <c r="AK32" i="38" s="1"/>
  <c r="AL101" i="21"/>
  <c r="AL140" i="21" s="1"/>
  <c r="AL32" i="38" s="1"/>
  <c r="N101" i="21"/>
  <c r="N140" i="21" s="1"/>
  <c r="N32" i="38" s="1"/>
  <c r="J101" i="21"/>
  <c r="J140" i="21" s="1"/>
  <c r="J32" i="38" s="1"/>
  <c r="AA101" i="21"/>
  <c r="AA140" i="21" s="1"/>
  <c r="AA32" i="38" s="1"/>
  <c r="AP101" i="21"/>
  <c r="AP140" i="21" s="1"/>
  <c r="AP32" i="38" s="1"/>
  <c r="X101" i="21"/>
  <c r="X140" i="21" s="1"/>
  <c r="X32" i="38" s="1"/>
  <c r="W101" i="21"/>
  <c r="W140" i="21" s="1"/>
  <c r="W32" i="38" s="1"/>
  <c r="AD101" i="21"/>
  <c r="AD140" i="21" s="1"/>
  <c r="AD32" i="38" s="1"/>
  <c r="AI101" i="21"/>
  <c r="AI140" i="21" s="1"/>
  <c r="AI32" i="38" s="1"/>
  <c r="Q101" i="21"/>
  <c r="Q140" i="21" s="1"/>
  <c r="Q32" i="38" s="1"/>
  <c r="S101" i="21"/>
  <c r="S140" i="21" s="1"/>
  <c r="S32" i="38" s="1"/>
  <c r="R101" i="21"/>
  <c r="R140" i="21" s="1"/>
  <c r="R32" i="38" s="1"/>
  <c r="AM101" i="21"/>
  <c r="AM140" i="21" s="1"/>
  <c r="AM32" i="38" s="1"/>
  <c r="AB101" i="21"/>
  <c r="AB140" i="21" s="1"/>
  <c r="AB32" i="38" s="1"/>
  <c r="AH101" i="21"/>
  <c r="AH140" i="21" s="1"/>
  <c r="AH32" i="38" s="1"/>
  <c r="Y101" i="21"/>
  <c r="Y140" i="21" s="1"/>
  <c r="Y32" i="38" s="1"/>
  <c r="AC101" i="21"/>
  <c r="AC140" i="21" s="1"/>
  <c r="AC32" i="38" s="1"/>
  <c r="Y98" i="21"/>
  <c r="Y137" i="21" s="1"/>
  <c r="V98" i="21"/>
  <c r="V137" i="21" s="1"/>
  <c r="K98" i="21"/>
  <c r="K137" i="21" s="1"/>
  <c r="P98" i="21"/>
  <c r="P137" i="21" s="1"/>
  <c r="W98" i="21"/>
  <c r="W137" i="21" s="1"/>
  <c r="AM98" i="21"/>
  <c r="AM137" i="21" s="1"/>
  <c r="N98" i="21"/>
  <c r="N137" i="21" s="1"/>
  <c r="Z98" i="21"/>
  <c r="Z137" i="21" s="1"/>
  <c r="AN98" i="21"/>
  <c r="AN137" i="21" s="1"/>
  <c r="X98" i="21"/>
  <c r="X137" i="21" s="1"/>
  <c r="AK98" i="21"/>
  <c r="AK137" i="21" s="1"/>
  <c r="AA98" i="21"/>
  <c r="AA137" i="21" s="1"/>
  <c r="AF98" i="21"/>
  <c r="AF137" i="21" s="1"/>
  <c r="J98" i="21"/>
  <c r="J137" i="21" s="1"/>
  <c r="T98" i="21"/>
  <c r="T137" i="21" s="1"/>
  <c r="AE98" i="21"/>
  <c r="AE137" i="21" s="1"/>
  <c r="O98" i="21"/>
  <c r="O137" i="21" s="1"/>
  <c r="U98" i="21"/>
  <c r="U137" i="21" s="1"/>
  <c r="AI98" i="21"/>
  <c r="AI137" i="21" s="1"/>
  <c r="AB98" i="21"/>
  <c r="AB137" i="21" s="1"/>
  <c r="S98" i="21"/>
  <c r="S137" i="21" s="1"/>
  <c r="R98" i="21"/>
  <c r="R137" i="21" s="1"/>
  <c r="AP98" i="21"/>
  <c r="AP137" i="21" s="1"/>
  <c r="L98" i="21"/>
  <c r="L137" i="21" s="1"/>
  <c r="AQ98" i="21"/>
  <c r="AQ137" i="21" s="1"/>
  <c r="AJ98" i="21"/>
  <c r="AJ137" i="21" s="1"/>
  <c r="AH98" i="21"/>
  <c r="AH137" i="21" s="1"/>
  <c r="M98" i="21"/>
  <c r="M137" i="21" s="1"/>
  <c r="AG98" i="21"/>
  <c r="AG137" i="21" s="1"/>
  <c r="AL98" i="21"/>
  <c r="AL137" i="21" s="1"/>
  <c r="Q98" i="21"/>
  <c r="Q137" i="21" s="1"/>
  <c r="AD98" i="21"/>
  <c r="AD137" i="21" s="1"/>
  <c r="AO98" i="21"/>
  <c r="AO137" i="21" s="1"/>
  <c r="AC98" i="21"/>
  <c r="AC137" i="21" s="1"/>
  <c r="H141" i="15"/>
  <c r="H145" i="15" s="1"/>
  <c r="H81" i="21"/>
  <c r="AH97" i="21" l="1"/>
  <c r="AH136" i="21" s="1"/>
  <c r="AA97" i="21"/>
  <c r="AA136" i="21" s="1"/>
  <c r="U97" i="21"/>
  <c r="U136" i="21" s="1"/>
  <c r="W97" i="21"/>
  <c r="W136" i="21" s="1"/>
  <c r="AN97" i="21"/>
  <c r="AN136" i="21" s="1"/>
  <c r="AL97" i="21"/>
  <c r="AL136" i="21" s="1"/>
  <c r="AI97" i="21"/>
  <c r="AI136" i="21" s="1"/>
  <c r="X97" i="21"/>
  <c r="X136" i="21" s="1"/>
  <c r="K97" i="21"/>
  <c r="K136" i="21" s="1"/>
  <c r="M97" i="21"/>
  <c r="M136" i="21" s="1"/>
  <c r="Z97" i="21"/>
  <c r="Z136" i="21" s="1"/>
  <c r="AF97" i="21"/>
  <c r="AF136" i="21" s="1"/>
  <c r="P97" i="21"/>
  <c r="P136" i="21" s="1"/>
  <c r="Q97" i="21"/>
  <c r="Q136" i="21" s="1"/>
  <c r="AK97" i="21"/>
  <c r="AK136" i="21" s="1"/>
  <c r="AC97" i="21"/>
  <c r="AC136" i="21" s="1"/>
  <c r="AO97" i="21"/>
  <c r="AO136" i="21" s="1"/>
  <c r="T97" i="21"/>
  <c r="T136" i="21" s="1"/>
  <c r="Y97" i="21"/>
  <c r="Y136" i="21" s="1"/>
  <c r="AP97" i="21"/>
  <c r="AP136" i="21" s="1"/>
  <c r="R97" i="21"/>
  <c r="R136" i="21" s="1"/>
  <c r="AB97" i="21"/>
  <c r="AB136" i="21" s="1"/>
  <c r="AE97" i="21"/>
  <c r="AE136" i="21" s="1"/>
  <c r="S97" i="21"/>
  <c r="S136" i="21" s="1"/>
  <c r="N97" i="21"/>
  <c r="N136" i="21" s="1"/>
  <c r="AD97" i="21"/>
  <c r="AD136" i="21" s="1"/>
  <c r="AG97" i="21"/>
  <c r="AG136" i="21" s="1"/>
  <c r="AQ97" i="21"/>
  <c r="AQ136" i="21" s="1"/>
  <c r="L97" i="21"/>
  <c r="L136" i="21" s="1"/>
  <c r="O97" i="21"/>
  <c r="O136" i="21" s="1"/>
  <c r="J97" i="21"/>
  <c r="J136" i="21" s="1"/>
  <c r="V97" i="21"/>
  <c r="V136" i="21" s="1"/>
  <c r="AM97" i="21"/>
  <c r="AM136" i="21" s="1"/>
  <c r="AJ97" i="21"/>
  <c r="AJ136" i="21" s="1"/>
  <c r="AD24" i="39"/>
  <c r="AD30" i="39" s="1"/>
  <c r="AD29" i="38"/>
  <c r="M24" i="39"/>
  <c r="M30" i="39" s="1"/>
  <c r="M29" i="38"/>
  <c r="L29" i="38"/>
  <c r="L24" i="39"/>
  <c r="L30" i="39" s="1"/>
  <c r="AB24" i="39"/>
  <c r="AB30" i="39" s="1"/>
  <c r="AB29" i="38"/>
  <c r="AE29" i="38"/>
  <c r="AE24" i="39"/>
  <c r="AE30" i="39" s="1"/>
  <c r="AA29" i="38"/>
  <c r="AA24" i="39"/>
  <c r="AA30" i="39" s="1"/>
  <c r="Z29" i="38"/>
  <c r="Z24" i="39"/>
  <c r="Z30" i="39" s="1"/>
  <c r="P29" i="38"/>
  <c r="P24" i="39"/>
  <c r="P30" i="39" s="1"/>
  <c r="H63" i="20"/>
  <c r="H67" i="20" s="1"/>
  <c r="J45" i="22"/>
  <c r="J22" i="39"/>
  <c r="J28" i="39" s="1"/>
  <c r="J31" i="38"/>
  <c r="X31" i="38"/>
  <c r="X22" i="39"/>
  <c r="X28" i="39" s="1"/>
  <c r="AC31" i="38"/>
  <c r="AC22" i="39"/>
  <c r="AC28" i="39" s="1"/>
  <c r="AL22" i="39"/>
  <c r="AL28" i="39" s="1"/>
  <c r="AL31" i="38"/>
  <c r="AI22" i="39"/>
  <c r="AI28" i="39" s="1"/>
  <c r="AI31" i="38"/>
  <c r="AH22" i="39"/>
  <c r="AH28" i="39" s="1"/>
  <c r="AH31" i="38"/>
  <c r="AQ22" i="39"/>
  <c r="AQ28" i="39" s="1"/>
  <c r="AQ31" i="38"/>
  <c r="AG31" i="38"/>
  <c r="AG22" i="39"/>
  <c r="AG28" i="39" s="1"/>
  <c r="A4" i="15"/>
  <c r="H34" i="33"/>
  <c r="Q24" i="39"/>
  <c r="Q30" i="39" s="1"/>
  <c r="Q29" i="38"/>
  <c r="AH29" i="38"/>
  <c r="AH24" i="39"/>
  <c r="AH30" i="39" s="1"/>
  <c r="AP24" i="39"/>
  <c r="AP30" i="39" s="1"/>
  <c r="AP29" i="38"/>
  <c r="AI24" i="39"/>
  <c r="AI30" i="39" s="1"/>
  <c r="AI29" i="38"/>
  <c r="T29" i="38"/>
  <c r="T24" i="39"/>
  <c r="T30" i="39" s="1"/>
  <c r="AK29" i="38"/>
  <c r="AK24" i="39"/>
  <c r="AK30" i="39" s="1"/>
  <c r="N24" i="39"/>
  <c r="N30" i="39" s="1"/>
  <c r="N29" i="38"/>
  <c r="K24" i="39"/>
  <c r="K30" i="39" s="1"/>
  <c r="K29" i="38"/>
  <c r="Q22" i="39"/>
  <c r="Q28" i="39" s="1"/>
  <c r="Q31" i="38"/>
  <c r="M22" i="39"/>
  <c r="M28" i="39" s="1"/>
  <c r="M31" i="38"/>
  <c r="V31" i="38"/>
  <c r="V22" i="39"/>
  <c r="V28" i="39" s="1"/>
  <c r="AF22" i="39"/>
  <c r="AF28" i="39" s="1"/>
  <c r="AF31" i="38"/>
  <c r="N31" i="38"/>
  <c r="N22" i="39"/>
  <c r="N28" i="39" s="1"/>
  <c r="AO31" i="38"/>
  <c r="AO22" i="39"/>
  <c r="AO28" i="39" s="1"/>
  <c r="P22" i="39"/>
  <c r="P28" i="39" s="1"/>
  <c r="P31" i="38"/>
  <c r="AJ22" i="39"/>
  <c r="AJ28" i="39" s="1"/>
  <c r="AJ31" i="38"/>
  <c r="L22" i="39"/>
  <c r="L28" i="39" s="1"/>
  <c r="L31" i="38"/>
  <c r="AC29" i="38"/>
  <c r="AC24" i="39"/>
  <c r="AC30" i="39" s="1"/>
  <c r="AL24" i="39"/>
  <c r="AL30" i="39" s="1"/>
  <c r="AL29" i="38"/>
  <c r="AJ24" i="39"/>
  <c r="AJ30" i="39" s="1"/>
  <c r="AJ29" i="38"/>
  <c r="R24" i="39"/>
  <c r="R30" i="39" s="1"/>
  <c r="R29" i="38"/>
  <c r="U29" i="38"/>
  <c r="U24" i="39"/>
  <c r="U30" i="39" s="1"/>
  <c r="J24" i="39"/>
  <c r="J30" i="39" s="1"/>
  <c r="J29" i="38"/>
  <c r="X29" i="38"/>
  <c r="X24" i="39"/>
  <c r="X30" i="39" s="1"/>
  <c r="AM24" i="39"/>
  <c r="AM30" i="39" s="1"/>
  <c r="AM29" i="38"/>
  <c r="V29" i="38"/>
  <c r="V24" i="39"/>
  <c r="V30" i="39" s="1"/>
  <c r="H57" i="38"/>
  <c r="AE31" i="38"/>
  <c r="AE22" i="39"/>
  <c r="AE28" i="39" s="1"/>
  <c r="U31" i="38"/>
  <c r="U22" i="39"/>
  <c r="U28" i="39" s="1"/>
  <c r="AA31" i="38"/>
  <c r="AA22" i="39"/>
  <c r="AA28" i="39" s="1"/>
  <c r="R31" i="38"/>
  <c r="R22" i="39"/>
  <c r="R28" i="39" s="1"/>
  <c r="AK22" i="39"/>
  <c r="AK28" i="39" s="1"/>
  <c r="AK31" i="38"/>
  <c r="S31" i="38"/>
  <c r="S22" i="39"/>
  <c r="S28" i="39" s="1"/>
  <c r="Y22" i="39"/>
  <c r="Y28" i="39" s="1"/>
  <c r="Y31" i="38"/>
  <c r="O31" i="38"/>
  <c r="O22" i="39"/>
  <c r="O28" i="39" s="1"/>
  <c r="W31" i="38"/>
  <c r="W22" i="39"/>
  <c r="W28" i="39" s="1"/>
  <c r="AO24" i="39"/>
  <c r="AO30" i="39" s="1"/>
  <c r="AO29" i="38"/>
  <c r="AG29" i="38"/>
  <c r="AG24" i="39"/>
  <c r="AG30" i="39" s="1"/>
  <c r="AQ29" i="38"/>
  <c r="AQ24" i="39"/>
  <c r="AQ30" i="39" s="1"/>
  <c r="S24" i="39"/>
  <c r="S30" i="39" s="1"/>
  <c r="S29" i="38"/>
  <c r="O24" i="39"/>
  <c r="O30" i="39" s="1"/>
  <c r="O29" i="38"/>
  <c r="AF24" i="39"/>
  <c r="AF30" i="39" s="1"/>
  <c r="AF29" i="38"/>
  <c r="AN29" i="38"/>
  <c r="AN24" i="39"/>
  <c r="AN30" i="39" s="1"/>
  <c r="W29" i="38"/>
  <c r="W24" i="39"/>
  <c r="W30" i="39" s="1"/>
  <c r="Y24" i="39"/>
  <c r="Y30" i="39" s="1"/>
  <c r="Y29" i="38"/>
  <c r="H55" i="38"/>
  <c r="T31" i="38"/>
  <c r="T22" i="39"/>
  <c r="T28" i="39" s="1"/>
  <c r="AN31" i="38"/>
  <c r="AN22" i="39"/>
  <c r="AN28" i="39" s="1"/>
  <c r="AP22" i="39"/>
  <c r="AP28" i="39" s="1"/>
  <c r="AP31" i="38"/>
  <c r="K31" i="38"/>
  <c r="K22" i="39"/>
  <c r="K28" i="39" s="1"/>
  <c r="Z22" i="39"/>
  <c r="Z28" i="39" s="1"/>
  <c r="Z31" i="38"/>
  <c r="AM31" i="38"/>
  <c r="AM22" i="39"/>
  <c r="AM28" i="39" s="1"/>
  <c r="AB31" i="38"/>
  <c r="AB22" i="39"/>
  <c r="AB28" i="39" s="1"/>
  <c r="AD31" i="38"/>
  <c r="AD22" i="39"/>
  <c r="AD28" i="39" s="1"/>
  <c r="H54" i="38" l="1"/>
  <c r="V28" i="38"/>
  <c r="V23" i="39"/>
  <c r="V29" i="39" s="1"/>
  <c r="AQ28" i="38"/>
  <c r="AQ23" i="39"/>
  <c r="AQ29" i="39" s="1"/>
  <c r="S23" i="39"/>
  <c r="S29" i="39" s="1"/>
  <c r="S28" i="38"/>
  <c r="AP28" i="38"/>
  <c r="AP23" i="39"/>
  <c r="AP29" i="39" s="1"/>
  <c r="AC23" i="39"/>
  <c r="AC29" i="39" s="1"/>
  <c r="AC28" i="38"/>
  <c r="AF28" i="38"/>
  <c r="AF23" i="39"/>
  <c r="AF29" i="39" s="1"/>
  <c r="X23" i="39"/>
  <c r="X29" i="39" s="1"/>
  <c r="X28" i="38"/>
  <c r="W23" i="39"/>
  <c r="W29" i="39" s="1"/>
  <c r="W28" i="38"/>
  <c r="H38" i="39"/>
  <c r="H46" i="39"/>
  <c r="H37" i="33"/>
  <c r="A4" i="20"/>
  <c r="H143" i="21"/>
  <c r="J28" i="38"/>
  <c r="J23" i="39"/>
  <c r="J29" i="39" s="1"/>
  <c r="H142" i="21"/>
  <c r="H147" i="21" s="1"/>
  <c r="AG28" i="38"/>
  <c r="AG23" i="39"/>
  <c r="AG29" i="39" s="1"/>
  <c r="AE23" i="39"/>
  <c r="AE29" i="39" s="1"/>
  <c r="AE28" i="38"/>
  <c r="Y28" i="38"/>
  <c r="Y23" i="39"/>
  <c r="Y29" i="39" s="1"/>
  <c r="AK23" i="39"/>
  <c r="AK29" i="39" s="1"/>
  <c r="AK28" i="38"/>
  <c r="Z23" i="39"/>
  <c r="Z29" i="39" s="1"/>
  <c r="Z28" i="38"/>
  <c r="AI23" i="39"/>
  <c r="AI29" i="39" s="1"/>
  <c r="AI28" i="38"/>
  <c r="U23" i="39"/>
  <c r="U29" i="39" s="1"/>
  <c r="U28" i="38"/>
  <c r="H56" i="38"/>
  <c r="AJ23" i="39"/>
  <c r="AJ29" i="39" s="1"/>
  <c r="AJ28" i="38"/>
  <c r="O28" i="38"/>
  <c r="O23" i="39"/>
  <c r="O29" i="39" s="1"/>
  <c r="AD23" i="39"/>
  <c r="AD29" i="39" s="1"/>
  <c r="AD28" i="38"/>
  <c r="AB23" i="39"/>
  <c r="AB29" i="39" s="1"/>
  <c r="AB28" i="38"/>
  <c r="T28" i="38"/>
  <c r="T23" i="39"/>
  <c r="T29" i="39" s="1"/>
  <c r="Q28" i="38"/>
  <c r="Q23" i="39"/>
  <c r="Q29" i="39" s="1"/>
  <c r="M23" i="39"/>
  <c r="M29" i="39" s="1"/>
  <c r="M28" i="38"/>
  <c r="AL23" i="39"/>
  <c r="AL29" i="39" s="1"/>
  <c r="AL28" i="38"/>
  <c r="AA28" i="38"/>
  <c r="AA23" i="39"/>
  <c r="AA29" i="39" s="1"/>
  <c r="H44" i="39"/>
  <c r="H50" i="39" s="1"/>
  <c r="H57" i="39" s="1"/>
  <c r="H30" i="24" s="1"/>
  <c r="H36" i="39"/>
  <c r="AM28" i="38"/>
  <c r="AM23" i="39"/>
  <c r="AM29" i="39" s="1"/>
  <c r="L28" i="38"/>
  <c r="L23" i="39"/>
  <c r="L29" i="39" s="1"/>
  <c r="N28" i="38"/>
  <c r="N23" i="39"/>
  <c r="N29" i="39" s="1"/>
  <c r="R28" i="38"/>
  <c r="R23" i="39"/>
  <c r="R29" i="39" s="1"/>
  <c r="AO23" i="39"/>
  <c r="AO29" i="39" s="1"/>
  <c r="AO28" i="38"/>
  <c r="P28" i="38"/>
  <c r="P23" i="39"/>
  <c r="P29" i="39" s="1"/>
  <c r="K28" i="38"/>
  <c r="K23" i="39"/>
  <c r="K29" i="39" s="1"/>
  <c r="AN23" i="39"/>
  <c r="AN29" i="39" s="1"/>
  <c r="AN28" i="38"/>
  <c r="AH23" i="39"/>
  <c r="AH29" i="39" s="1"/>
  <c r="AH28" i="38"/>
  <c r="H45" i="39" l="1"/>
  <c r="H51" i="39" s="1"/>
  <c r="H37" i="39"/>
  <c r="H53" i="38"/>
  <c r="H59" i="38" s="1"/>
  <c r="A4" i="21"/>
  <c r="H35" i="33"/>
  <c r="H62" i="38" l="1"/>
  <c r="H60" i="38"/>
  <c r="H53" i="39"/>
  <c r="H62" i="39" s="1"/>
  <c r="H58" i="39"/>
  <c r="H31" i="24" s="1"/>
  <c r="H39" i="33" l="1"/>
  <c r="A4" i="39"/>
  <c r="H80" i="38"/>
  <c r="N43" i="22" s="1"/>
  <c r="H76" i="38"/>
  <c r="H77" i="38"/>
  <c r="K43" i="22" s="1"/>
  <c r="H78" i="38"/>
  <c r="L43" i="22" s="1"/>
  <c r="H79" i="38"/>
  <c r="M43" i="22" s="1"/>
  <c r="K78" i="22" l="1"/>
  <c r="K47" i="22"/>
  <c r="K70" i="22" s="1"/>
  <c r="J43" i="22"/>
  <c r="H82" i="38"/>
  <c r="H86" i="38" s="1"/>
  <c r="M47" i="22"/>
  <c r="M70" i="22" s="1"/>
  <c r="M84" i="22" s="1"/>
  <c r="M130" i="22" s="1"/>
  <c r="M78" i="22"/>
  <c r="N78" i="22"/>
  <c r="N47" i="22"/>
  <c r="N70" i="22" s="1"/>
  <c r="N84" i="22" s="1"/>
  <c r="N130" i="22" s="1"/>
  <c r="L78" i="22"/>
  <c r="L47" i="22"/>
  <c r="L70" i="22" s="1"/>
  <c r="H36" i="33" l="1"/>
  <c r="A4" i="38"/>
  <c r="J78" i="22"/>
  <c r="J47" i="22"/>
  <c r="L84" i="22"/>
  <c r="L130" i="22" s="1"/>
  <c r="K84" i="22"/>
  <c r="K130" i="22" s="1"/>
  <c r="H49" i="22" l="1"/>
  <c r="J70" i="22"/>
  <c r="J84" i="22" s="1"/>
  <c r="J130" i="22" s="1"/>
  <c r="H134" i="22" s="1"/>
  <c r="J146" i="22" s="1"/>
  <c r="H18" i="24" s="1"/>
  <c r="L146" i="22"/>
  <c r="H20" i="24" s="1"/>
  <c r="N146" i="22"/>
  <c r="K146" i="22" l="1"/>
  <c r="H19" i="24" s="1"/>
  <c r="H36" i="24" s="1"/>
  <c r="H20" i="23" s="1"/>
  <c r="H140" i="22"/>
  <c r="H150" i="22" s="1"/>
  <c r="M146" i="22"/>
  <c r="H21" i="24" s="1"/>
  <c r="H39" i="24" s="1"/>
  <c r="H23" i="23" s="1"/>
  <c r="H23" i="24"/>
  <c r="H43" i="24" s="1"/>
  <c r="H38" i="24"/>
  <c r="H22" i="23" s="1"/>
  <c r="H37" i="24"/>
  <c r="H21" i="23" s="1"/>
  <c r="H154" i="22" l="1"/>
  <c r="H188" i="22" s="1"/>
  <c r="A4" i="24"/>
  <c r="H41" i="33"/>
  <c r="A4" i="22"/>
  <c r="H38" i="33"/>
  <c r="H42" i="33" l="1"/>
  <c r="A4" i="33" s="1"/>
</calcChain>
</file>

<file path=xl/sharedStrings.xml><?xml version="1.0" encoding="utf-8"?>
<sst xmlns="http://schemas.openxmlformats.org/spreadsheetml/2006/main" count="2906" uniqueCount="764">
  <si>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</si>
  <si>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</si>
  <si>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</si>
  <si>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</si>
  <si>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</si>
  <si>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</si>
  <si>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</si>
  <si>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</si>
  <si>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</si>
  <si>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</si>
  <si>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</si>
  <si>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</si>
  <si>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</si>
  <si>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</si>
  <si>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</si>
  <si>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</si>
  <si>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</si>
  <si>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</si>
  <si>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</si>
  <si>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</si>
  <si>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</si>
  <si>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</si>
  <si>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</si>
  <si>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</si>
  <si>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</si>
  <si>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</si>
  <si>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</si>
  <si>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</si>
  <si>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</si>
  <si>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</si>
  <si>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</si>
  <si>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</si>
  <si>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</si>
  <si>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</si>
  <si>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</si>
  <si>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</si>
  <si>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</si>
  <si>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</si>
  <si>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</si>
  <si>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</si>
  <si>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</si>
  <si>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</si>
  <si>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</si>
  <si>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</si>
  <si>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</si>
  <si>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</si>
  <si>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</si>
  <si>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</si>
  <si>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</si>
  <si>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</si>
  <si>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</si>
  <si>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</si>
  <si>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</si>
  <si>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</si>
  <si>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</si>
  <si>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</si>
  <si>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</si>
  <si>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</si>
  <si>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</si>
  <si>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</si>
  <si>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</si>
  <si>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</si>
  <si>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</si>
  <si>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</si>
  <si>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</si>
  <si>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</si>
  <si>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</si>
  <si>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</si>
  <si>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</si>
  <si>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</si>
  <si>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</si>
  <si>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</si>
  <si>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</si>
  <si>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</si>
  <si>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</si>
  <si>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</si>
  <si>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</si>
  <si>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</si>
  <si>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</si>
  <si>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</si>
  <si>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</si>
  <si>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</si>
  <si>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</si>
  <si>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</si>
  <si>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</si>
  <si>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</si>
  <si>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</si>
  <si>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</si>
  <si>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</si>
  <si>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</si>
  <si>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</si>
  <si>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</si>
  <si>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</si>
  <si>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</si>
  <si>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</si>
  <si>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</si>
  <si>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</si>
  <si>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</si>
  <si>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</si>
  <si>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</si>
  <si>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</si>
  <si>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</si>
  <si>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</si>
  <si>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</si>
  <si>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</si>
  <si>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</si>
  <si>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</si>
  <si>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</si>
  <si>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</si>
  <si>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</si>
  <si>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</si>
  <si>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</si>
  <si>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</si>
  <si>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</si>
  <si>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</si>
  <si>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</si>
  <si>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</si>
  <si>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</si>
  <si>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</si>
  <si>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</si>
  <si>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</si>
  <si>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</si>
  <si>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</si>
  <si>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</si>
  <si>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</si>
  <si>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</si>
  <si>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</si>
  <si>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</si>
  <si>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</si>
  <si>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</si>
  <si>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</si>
  <si>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</si>
  <si>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</si>
  <si>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</si>
  <si>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</si>
  <si>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</si>
  <si>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</si>
  <si>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</si>
  <si>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</si>
  <si>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</si>
  <si>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</si>
  <si>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</si>
  <si>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</si>
  <si>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</si>
  <si>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</si>
  <si>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</si>
  <si>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</si>
  <si>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</si>
  <si>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</si>
  <si>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</si>
  <si>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</si>
  <si>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</si>
  <si>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</si>
  <si>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</si>
  <si>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</si>
  <si>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</si>
  <si>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</si>
  <si>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</si>
  <si>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</si>
  <si>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</si>
  <si>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</si>
  <si>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</si>
  <si>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</si>
  <si>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</si>
  <si>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</si>
  <si>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</si>
  <si>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</si>
  <si>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</si>
  <si>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</si>
  <si>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</si>
  <si>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</si>
  <si>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</si>
  <si>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</si>
  <si>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</si>
  <si>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</si>
  <si>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</si>
  <si>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</si>
  <si>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</si>
  <si>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</si>
  <si>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</si>
  <si>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</si>
  <si>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</si>
  <si>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</si>
  <si>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</si>
  <si>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</si>
  <si>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</si>
  <si>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</si>
  <si>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</si>
  <si>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</si>
  <si>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</si>
  <si>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</si>
  <si>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</si>
  <si>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</si>
  <si>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</si>
  <si>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</si>
  <si>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</si>
  <si>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</si>
  <si>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</si>
  <si>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</si>
  <si>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</si>
  <si>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</si>
  <si>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</si>
  <si>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</si>
  <si>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</si>
  <si>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</si>
  <si>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</si>
  <si>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</si>
  <si>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</si>
  <si>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</si>
  <si>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</si>
  <si>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</si>
  <si>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</si>
  <si>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</si>
  <si>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</si>
  <si>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</si>
  <si>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</si>
  <si>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</si>
  <si>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</si>
  <si>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</si>
  <si>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</si>
  <si>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</si>
  <si>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</si>
  <si>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</si>
  <si>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</si>
  <si>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</si>
  <si>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</si>
  <si>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</si>
  <si>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</si>
  <si>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</si>
  <si>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</si>
  <si>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</si>
  <si>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</si>
  <si>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</si>
  <si>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</si>
  <si>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</si>
  <si>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</si>
  <si>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</si>
  <si>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</si>
  <si>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</si>
  <si>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</si>
  <si>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</si>
  <si>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</si>
  <si>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</si>
  <si>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</si>
  <si>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</si>
  <si>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</si>
  <si>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</si>
  <si>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</si>
  <si>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</si>
  <si>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</si>
  <si>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</si>
  <si>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</si>
  <si>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</si>
  <si>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</si>
  <si>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</si>
  <si>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</si>
  <si>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</si>
  <si>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</si>
  <si>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</si>
  <si>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</si>
  <si>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</si>
  <si>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</si>
  <si>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</si>
  <si>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</si>
  <si>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</si>
  <si>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</si>
  <si>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</si>
  <si>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</si>
  <si>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</si>
  <si>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</si>
  <si>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</si>
  <si>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</si>
  <si>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</si>
  <si>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</si>
  <si>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</si>
  <si>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</si>
  <si>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</si>
  <si>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</si>
  <si>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</si>
  <si>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</si>
  <si>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</si>
  <si>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</si>
  <si>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</si>
  <si>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</si>
  <si>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</si>
  <si>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</si>
  <si>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</si>
  <si>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</si>
  <si>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</si>
  <si>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</si>
  <si>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</si>
  <si>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</si>
  <si>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</si>
  <si>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</si>
  <si>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</si>
  <si>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</si>
  <si>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</si>
  <si>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</si>
  <si>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</si>
  <si>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</si>
  <si>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</si>
  <si>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</si>
  <si>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</si>
  <si>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</si>
  <si>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</si>
  <si>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</si>
  <si>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</si>
  <si>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</si>
  <si>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</si>
  <si>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</si>
  <si>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</si>
  <si>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</si>
  <si>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</si>
  <si>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</si>
  <si>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</si>
  <si>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</si>
  <si>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</si>
  <si>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</si>
  <si>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</si>
  <si>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</si>
  <si>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</si>
  <si>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</si>
  <si>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</si>
  <si>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</si>
  <si>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</si>
  <si>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</si>
  <si>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</si>
  <si>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</si>
  <si>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</si>
  <si>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</si>
  <si>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</si>
  <si>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</si>
  <si>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</si>
  <si>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</si>
  <si>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</si>
  <si>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</si>
  <si>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</si>
  <si>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</si>
  <si>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</si>
  <si>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</si>
  <si>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</si>
  <si>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</si>
  <si>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</si>
  <si>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</si>
  <si>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</si>
  <si>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</si>
  <si>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</si>
  <si>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</si>
  <si>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</si>
  <si>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</si>
  <si>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</si>
  <si>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</si>
  <si>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</si>
  <si>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</si>
  <si>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</si>
  <si>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</si>
  <si>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</si>
  <si>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</si>
  <si>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</si>
  <si>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</si>
  <si>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</si>
  <si>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</si>
  <si>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</si>
  <si>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</si>
  <si>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</si>
  <si>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</si>
  <si>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</si>
  <si>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</si>
  <si>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</si>
  <si>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</si>
  <si>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</si>
  <si>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</si>
  <si>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</si>
  <si>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</si>
  <si>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</si>
  <si>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</si>
  <si>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</si>
  <si>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</si>
  <si>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</si>
  <si>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</si>
  <si>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</si>
  <si>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</si>
  <si>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</si>
  <si>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</si>
  <si>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</si>
  <si>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</si>
  <si>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</si>
  <si>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</si>
  <si>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</si>
  <si>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</si>
  <si>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</si>
  <si>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</si>
  <si>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</si>
  <si>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</si>
  <si>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</si>
  <si>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</si>
  <si>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</si>
  <si>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</si>
  <si>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</si>
  <si>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</si>
  <si>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</si>
  <si>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</si>
  <si>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</si>
  <si>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</si>
  <si>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</si>
  <si>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</si>
  <si>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</si>
  <si>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Expensed and capitalised proportions and used to allocated components of allowed revenue to network levels.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</si>
  <si>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</si>
  <si>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</si>
  <si>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</si>
  <si>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</si>
  <si>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</si>
  <si>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</si>
  <si>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</si>
  <si>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</si>
  <si>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</si>
  <si>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</si>
  <si>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</si>
  <si>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</si>
  <si>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</si>
  <si>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</si>
  <si>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</si>
  <si>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</si>
  <si>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</si>
  <si>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</si>
  <si>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</si>
  <si>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</si>
  <si>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</si>
  <si>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</si>
  <si>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</si>
  <si>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</si>
  <si>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</si>
  <si>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</si>
  <si>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</si>
  <si>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</si>
  <si>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</si>
  <si>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</si>
  <si>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</si>
  <si>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</si>
  <si>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</si>
  <si>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</si>
  <si>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</si>
  <si>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</si>
  <si>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</si>
  <si>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</si>
  <si>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</si>
  <si>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</si>
  <si>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</si>
  <si>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</si>
  <si>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</si>
  <si>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</si>
  <si>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</si>
  <si>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</si>
  <si>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</si>
  <si>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</si>
  <si>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</si>
  <si>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</si>
  <si>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</si>
  <si>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</si>
  <si>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</si>
  <si>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</si>
  <si>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</si>
  <si>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</si>
  <si>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</si>
  <si>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</si>
  <si>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</si>
  <si>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</si>
  <si>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</si>
  <si>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</si>
  <si>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</si>
  <si>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</si>
  <si>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</si>
  <si>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</si>
  <si>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</si>
  <si>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</si>
  <si>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</si>
  <si>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</si>
  <si>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</si>
  <si>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</si>
  <si>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</si>
  <si>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</si>
  <si>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</si>
  <si>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</si>
  <si>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</si>
  <si>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</si>
  <si>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</si>
  <si>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</si>
  <si>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</si>
  <si>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</si>
  <si>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</si>
  <si>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</si>
  <si>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</si>
  <si>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</si>
  <si>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</si>
  <si>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</si>
  <si>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</si>
  <si>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</si>
  <si>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</si>
  <si>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</si>
  <si>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</si>
  <si>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</si>
  <si>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</si>
  <si>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</si>
  <si>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</si>
  <si>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</si>
  <si>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</si>
  <si>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</si>
  <si>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</si>
  <si>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</si>
  <si>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</si>
  <si>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</si>
  <si>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</si>
  <si>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</si>
  <si>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</si>
  <si>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</si>
  <si>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</si>
  <si>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</si>
  <si>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</si>
  <si>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</si>
  <si>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</si>
  <si>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</si>
  <si>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</si>
  <si>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</si>
  <si>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</si>
  <si>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</si>
  <si>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</si>
  <si>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</si>
  <si>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</si>
  <si>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</si>
  <si>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</si>
  <si>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</si>
  <si>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</si>
  <si>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</si>
  <si>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</si>
  <si>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</si>
  <si>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</si>
  <si>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</si>
  <si>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</si>
  <si>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</si>
  <si>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</si>
  <si>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</si>
  <si>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</si>
  <si>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</si>
  <si>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</si>
  <si>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</si>
  <si>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</si>
  <si>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</si>
  <si>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</si>
  <si>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</si>
  <si>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</si>
  <si>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</si>
  <si>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</si>
  <si>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</si>
  <si>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</si>
  <si>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</si>
  <si>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</si>
  <si>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</si>
  <si>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</si>
  <si>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</si>
  <si>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</si>
  <si>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</si>
  <si>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</si>
  <si>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</si>
  <si>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</si>
  <si>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data version name]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</si>
  <si>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</si>
  <si>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</si>
  <si>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</si>
  <si>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</si>
  <si>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</si>
  <si>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</si>
  <si>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</si>
  <si>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</si>
  <si>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</si>
  <si>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</si>
  <si>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</si>
  <si>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</si>
  <si>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</si>
  <si>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</si>
  <si>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</si>
  <si>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</si>
  <si>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</si>
  <si>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</si>
  <si>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</si>
  <si>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</si>
  <si>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</si>
  <si>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</si>
  <si>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</si>
  <si>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</si>
  <si>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</si>
  <si>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</si>
  <si>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</si>
  <si>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</si>
  <si>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</si>
  <si>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</si>
  <si>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</si>
  <si>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</si>
  <si>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</si>
  <si>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</si>
  <si>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</si>
  <si>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</si>
  <si>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</si>
  <si>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</si>
  <si>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</si>
  <si>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</si>
  <si>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</si>
  <si>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</si>
  <si>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</si>
  <si>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</si>
  <si>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</si>
  <si>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</si>
  <si>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</si>
  <si>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</si>
  <si>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</si>
  <si>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</si>
  <si>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</si>
  <si>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</si>
  <si>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</si>
  <si>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</si>
  <si>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</si>
  <si>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</si>
  <si>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</si>
  <si>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</si>
  <si>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</si>
  <si>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</si>
  <si>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</si>
  <si>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</si>
  <si>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</si>
  <si>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</si>
  <si>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</si>
  <si>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</si>
  <si>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</si>
  <si>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</si>
  <si>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</si>
  <si>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</si>
  <si>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</si>
  <si>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</si>
  <si>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</si>
  <si>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</si>
  <si>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</si>
  <si>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</si>
  <si>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</si>
  <si>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</si>
  <si>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</si>
  <si>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</si>
  <si>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</si>
  <si>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</si>
  <si>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</si>
  <si>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</si>
  <si>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</si>
  <si>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</si>
  <si>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</si>
  <si>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</si>
  <si>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</si>
  <si>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</si>
  <si>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</si>
  <si>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</si>
  <si>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</si>
  <si>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</si>
  <si>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</si>
  <si>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</si>
  <si>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</si>
  <si>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</si>
  <si>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</si>
  <si>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</si>
  <si>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</si>
  <si>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</si>
  <si>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</si>
  <si>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</si>
  <si>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</si>
  <si>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</si>
  <si>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</si>
  <si>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</si>
  <si>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</si>
  <si>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</si>
  <si>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</si>
  <si>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</si>
  <si>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</si>
  <si>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</si>
  <si>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</si>
  <si>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</si>
  <si>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</si>
  <si>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</si>
  <si>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</si>
  <si>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</si>
  <si>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</si>
  <si>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</si>
  <si>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</si>
  <si>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</si>
  <si>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</si>
  <si>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</si>
  <si>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</si>
  <si>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</si>
  <si>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</si>
  <si>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</si>
  <si>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</si>
  <si>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</si>
  <si>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</si>
  <si>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</si>
  <si>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</si>
  <si>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</si>
  <si>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</si>
  <si>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</si>
  <si>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</si>
  <si>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</si>
  <si>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</si>
  <si>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</si>
  <si>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</si>
  <si>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</si>
  <si>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</si>
  <si>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</si>
  <si>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</si>
  <si>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</si>
  <si>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</si>
  <si>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</si>
  <si>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</si>
  <si>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</si>
  <si>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</si>
  <si>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</si>
  <si>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</si>
  <si>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</si>
  <si>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</si>
  <si>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</si>
  <si>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</si>
  <si>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</si>
  <si>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</si>
  <si>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</si>
  <si>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</si>
  <si>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</si>
  <si>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</si>
  <si>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</si>
  <si>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</si>
  <si>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</si>
  <si>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</si>
  <si>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</si>
  <si>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</si>
  <si>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</si>
  <si>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</si>
  <si>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</si>
  <si>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</si>
  <si>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</si>
  <si>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</si>
  <si>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</si>
  <si>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</si>
  <si>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</si>
  <si>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</si>
  <si>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</si>
  <si>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</si>
  <si>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</si>
  <si>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</si>
  <si>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</si>
  <si>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</si>
  <si>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2020/21</t>
  </si>
  <si>
    <t>Paragraph 6 &amp; Paragraph 11A</t>
  </si>
  <si>
    <t>Release for 2020/21 charge setting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</si>
  <si>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</si>
  <si>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</si>
  <si>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</si>
  <si>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</si>
  <si>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</si>
  <si>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</si>
  <si>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</si>
  <si>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WPD 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</si>
</sst>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27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=""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=""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=""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=""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=""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=""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=""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=""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=""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=""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=""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=""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=""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=""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=""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=""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2" sqref="D22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6" t="s">
        <v>755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43389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3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01 April 2020 DCUSA Charging Methodologies Pre-Release (released 09/10/2018)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762</v>
      </c>
      <c r="E16" s="42"/>
    </row>
    <row r="17" spans="1:5" x14ac:dyDescent="0.25">
      <c r="A17" s="42"/>
      <c r="B17" s="43"/>
      <c r="C17" s="42"/>
      <c r="D17" s="48" t="s">
        <v>728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3" t="s">
        <v>753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3" t="s">
        <v>763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18" t="s">
        <v>565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566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512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479</v>
      </c>
      <c r="E34" s="42"/>
    </row>
    <row r="35" spans="1:5" x14ac:dyDescent="0.25">
      <c r="A35" s="42"/>
      <c r="B35" s="57" t="s">
        <v>265</v>
      </c>
      <c r="C35" s="53"/>
      <c r="D35" s="53" t="s">
        <v>480</v>
      </c>
      <c r="E35" s="42"/>
    </row>
    <row r="36" spans="1:5" x14ac:dyDescent="0.25">
      <c r="A36" s="42"/>
      <c r="B36" s="58" t="s">
        <v>265</v>
      </c>
      <c r="C36" s="53"/>
      <c r="D36" s="54" t="s">
        <v>495</v>
      </c>
      <c r="E36" s="42"/>
    </row>
    <row r="37" spans="1:5" x14ac:dyDescent="0.25">
      <c r="A37" s="42"/>
      <c r="B37" s="59" t="s">
        <v>478</v>
      </c>
      <c r="C37" s="53"/>
      <c r="D37" s="54" t="s">
        <v>481</v>
      </c>
      <c r="E37" s="42"/>
    </row>
    <row r="38" spans="1:5" ht="15" customHeight="1" x14ac:dyDescent="0.25">
      <c r="A38" s="42"/>
      <c r="B38" s="60" t="s">
        <v>478</v>
      </c>
      <c r="C38" s="53"/>
      <c r="D38" s="53" t="s">
        <v>482</v>
      </c>
      <c r="E38" s="42"/>
    </row>
    <row r="39" spans="1:5" ht="15" customHeight="1" x14ac:dyDescent="0.25">
      <c r="A39" s="42"/>
      <c r="B39" s="50" t="s">
        <v>478</v>
      </c>
      <c r="C39" s="53"/>
      <c r="D39" s="53" t="s">
        <v>483</v>
      </c>
      <c r="E39" s="42"/>
    </row>
    <row r="40" spans="1:5" ht="15" customHeight="1" x14ac:dyDescent="0.25">
      <c r="A40" s="42"/>
      <c r="B40" s="61" t="s">
        <v>478</v>
      </c>
      <c r="C40" s="53"/>
      <c r="D40" s="53" t="s">
        <v>508</v>
      </c>
      <c r="E40" s="42"/>
    </row>
    <row r="41" spans="1:5" ht="15" customHeight="1" x14ac:dyDescent="0.25">
      <c r="A41" s="42"/>
      <c r="B41" s="62" t="s">
        <v>478</v>
      </c>
      <c r="C41" s="53"/>
      <c r="D41" s="53" t="s">
        <v>509</v>
      </c>
      <c r="E41" s="42"/>
    </row>
    <row r="42" spans="1:5" ht="15" customHeight="1" x14ac:dyDescent="0.25">
      <c r="A42" s="42"/>
      <c r="B42" s="63" t="s">
        <v>478</v>
      </c>
      <c r="C42" s="53"/>
      <c r="D42" s="53" t="s">
        <v>510</v>
      </c>
      <c r="E42" s="42"/>
    </row>
    <row r="43" spans="1:5" ht="15" customHeight="1" x14ac:dyDescent="0.25">
      <c r="A43" s="42"/>
      <c r="B43" s="64" t="s">
        <v>507</v>
      </c>
      <c r="C43" s="53"/>
      <c r="D43" s="53" t="s">
        <v>511</v>
      </c>
      <c r="E43" s="42"/>
    </row>
    <row r="44" spans="1:5" ht="15" customHeight="1" x14ac:dyDescent="0.25">
      <c r="A44" s="42"/>
      <c r="B44" s="65" t="s">
        <v>507</v>
      </c>
      <c r="C44" s="53"/>
      <c r="D44" s="54" t="s">
        <v>490</v>
      </c>
      <c r="E44" s="42"/>
    </row>
    <row r="45" spans="1:5" ht="15" customHeight="1" x14ac:dyDescent="0.25">
      <c r="A45" s="42"/>
      <c r="B45" s="66" t="s">
        <v>507</v>
      </c>
      <c r="C45" s="53"/>
      <c r="D45" s="54" t="s">
        <v>491</v>
      </c>
      <c r="E45" s="42"/>
    </row>
    <row r="46" spans="1:5" ht="15" customHeight="1" x14ac:dyDescent="0.25">
      <c r="A46" s="42"/>
      <c r="B46" s="67" t="s">
        <v>507</v>
      </c>
      <c r="C46" s="68"/>
      <c r="D46" s="69" t="s">
        <v>492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442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444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720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166879895.26277938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50467924.447354972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195577295.74351519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187024482.49234807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349083944.99724865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649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0.20864462848279788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0.79135537151720214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572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415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0.20864462848279788</v>
      </c>
      <c r="K34" s="180">
        <f>H$31</f>
        <v>0.79135537151720214</v>
      </c>
      <c r="L34" s="181"/>
      <c r="M34" s="181"/>
      <c r="N34" s="181"/>
      <c r="O34" s="74"/>
      <c r="P34" s="115" t="s">
        <v>572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34818593.748350829</v>
      </c>
      <c r="K40" s="130">
        <f>SUMPRODUCT($H21:$H25, K34:K38)</f>
        <v>132061301.51442856</v>
      </c>
      <c r="L40" s="130">
        <f>SUMPRODUCT($H21:$H25, L34:L38)</f>
        <v>50467924.447354972</v>
      </c>
      <c r="M40" s="130">
        <f>SUMPRODUCT($H21:$H25, M34:M38)</f>
        <v>195577295.74351519</v>
      </c>
      <c r="N40" s="130">
        <f>SUMPRODUCT($H21:$H25, N34:N38)</f>
        <v>536108427.48959672</v>
      </c>
      <c r="O40" s="74"/>
      <c r="P40" s="115" t="s">
        <v>578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949033542.94324625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578</v>
      </c>
      <c r="Q41" s="42"/>
    </row>
    <row r="42" spans="1:17" x14ac:dyDescent="0.25">
      <c r="A42" s="73"/>
      <c r="B42" s="73"/>
      <c r="C42" s="73"/>
      <c r="D42" s="73"/>
      <c r="E42" s="115" t="s">
        <v>488</v>
      </c>
      <c r="F42" s="73"/>
      <c r="G42" s="115" t="s">
        <v>471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3.668847535184859E-2</v>
      </c>
      <c r="K44" s="154">
        <f>IF($H42, K40 / $H41, 0)</f>
        <v>0.1391534603770333</v>
      </c>
      <c r="L44" s="154">
        <f>IF($H42, L40 / $H41, 0)</f>
        <v>5.3178230445720967E-2</v>
      </c>
      <c r="M44" s="154">
        <f>IF($H42, M40 / $H41, 0)</f>
        <v>0.20608048808998844</v>
      </c>
      <c r="N44" s="154">
        <f>IF($H42, N40 / $H41, 0)</f>
        <v>0.56489934573540868</v>
      </c>
      <c r="O44" s="74"/>
      <c r="P44" s="115" t="s">
        <v>578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650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MEAV!E118</f>
        <v>EHV reduction rate</v>
      </c>
      <c r="F49" s="73"/>
      <c r="G49" s="115" t="str">
        <f>MEAV!G118</f>
        <v>%</v>
      </c>
      <c r="H49" s="166">
        <f>MEAV!H118</f>
        <v>0.91780271322031681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416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3">
        <f>J34</f>
        <v>0.20864462848279788</v>
      </c>
      <c r="K52" s="213">
        <f>K34</f>
        <v>0.79135537151720214</v>
      </c>
      <c r="L52" s="181"/>
      <c r="M52" s="181"/>
      <c r="N52" s="181"/>
      <c r="O52" s="74"/>
      <c r="P52" s="115" t="s">
        <v>572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4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4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0.91780271322031681</v>
      </c>
      <c r="O55" s="74"/>
      <c r="P55" s="115" t="s">
        <v>579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7"/>
      <c r="K56" s="207"/>
      <c r="L56" s="207"/>
      <c r="M56" s="207"/>
      <c r="N56" s="150">
        <f>H$49</f>
        <v>0.91780271322031681</v>
      </c>
      <c r="O56" s="74"/>
      <c r="P56" s="115" t="s">
        <v>579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34818593.748350829</v>
      </c>
      <c r="K58" s="130">
        <f>SUMPRODUCT($H21:$H25, K52:K56)</f>
        <v>132061301.51442856</v>
      </c>
      <c r="L58" s="130">
        <f>SUMPRODUCT($H21:$H25, L52:L56)</f>
        <v>50467924.447354972</v>
      </c>
      <c r="M58" s="130">
        <f>SUMPRODUCT($H21:$H25, M52:M56)</f>
        <v>195577295.74351519</v>
      </c>
      <c r="N58" s="130">
        <f>SUMPRODUCT($H21:$H25, N52:N56)</f>
        <v>492041769.3302294</v>
      </c>
      <c r="O58" s="74"/>
      <c r="P58" s="115" t="s">
        <v>578</v>
      </c>
      <c r="Q58" s="42"/>
    </row>
    <row r="59" spans="1:17" x14ac:dyDescent="0.25">
      <c r="A59" s="115"/>
      <c r="B59" s="73"/>
      <c r="C59" s="73"/>
      <c r="D59" s="73"/>
      <c r="E59" s="115" t="s">
        <v>489</v>
      </c>
      <c r="F59" s="73"/>
      <c r="G59" s="115" t="str">
        <f>G$21</f>
        <v>£</v>
      </c>
      <c r="H59" s="130">
        <f>SUM(J58:N58)</f>
        <v>904966884.78387892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578</v>
      </c>
      <c r="Q59" s="42"/>
    </row>
    <row r="60" spans="1:17" x14ac:dyDescent="0.25">
      <c r="A60" s="73"/>
      <c r="B60" s="73"/>
      <c r="C60" s="73"/>
      <c r="D60" s="73"/>
      <c r="E60" s="115" t="s">
        <v>488</v>
      </c>
      <c r="F60" s="73"/>
      <c r="G60" s="115" t="s">
        <v>471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3.8474992106110141E-2</v>
      </c>
      <c r="K62" s="154">
        <f>IF($H60, K58 / $H59, 0)</f>
        <v>0.14592942983318885</v>
      </c>
      <c r="L62" s="154">
        <f>IF($H60, L58 / $H59, 0)</f>
        <v>5.5767702991040988E-2</v>
      </c>
      <c r="M62" s="154">
        <f>IF($H60, M58 / $H59, 0)</f>
        <v>0.216115417074319</v>
      </c>
      <c r="N62" s="154">
        <f>IF($H60, N58 / $H59, 0)</f>
        <v>0.54371245799534107</v>
      </c>
      <c r="O62" s="74"/>
      <c r="P62" s="115" t="s">
        <v>578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735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407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651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419826929.15108359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413099999.99999994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378263000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1211189929.1510835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580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530</v>
      </c>
      <c r="F25" s="73"/>
      <c r="G25" s="115" t="s">
        <v>471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0.31230692304808255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580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0.68769307695191739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580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652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Expensed!E66</f>
        <v>Expensed proportions, by network level (EDCM)</v>
      </c>
      <c r="F33" s="73"/>
      <c r="G33" s="115" t="str">
        <f>Expensed!G67</f>
        <v>%</v>
      </c>
      <c r="H33" s="135"/>
      <c r="I33" s="135"/>
      <c r="J33" s="166">
        <f>Expensed!H67</f>
        <v>0.25347920402425222</v>
      </c>
      <c r="K33" s="166">
        <f>Expensed!H68</f>
        <v>0.22042950929298452</v>
      </c>
      <c r="L33" s="166">
        <f>Expensed!H69</f>
        <v>8.7625571030098715E-2</v>
      </c>
      <c r="M33" s="166">
        <f>Expensed!H70</f>
        <v>0.19400400567676671</v>
      </c>
      <c r="N33" s="166">
        <f>Expensed!H71</f>
        <v>0.24446170997589772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3.668847535184859E-2</v>
      </c>
      <c r="K35" s="166">
        <f>Capitalised!K44</f>
        <v>0.1391534603770333</v>
      </c>
      <c r="L35" s="166">
        <f>Capitalised!L44</f>
        <v>5.3178230445720967E-2</v>
      </c>
      <c r="M35" s="166">
        <f>Capitalised!M44</f>
        <v>0.20608048808998844</v>
      </c>
      <c r="N35" s="166">
        <f>Capitalised!N44</f>
        <v>0.56489934573540868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0.10439372076887869</v>
      </c>
      <c r="K37" s="135">
        <f>($H$27 * K33) + ($H$29 * K35)</f>
        <v>0.16453653313147948</v>
      </c>
      <c r="L37" s="135">
        <f>($H$27 * L33) + ($H$29 * L35)</f>
        <v>6.3936373390817314E-2</v>
      </c>
      <c r="M37" s="135">
        <f>($H$27 * M33) + ($H$29 * M35)</f>
        <v>0.20230891902627088</v>
      </c>
      <c r="N37" s="135">
        <f>($H$27 * N33) + ($H$29 * N35)</f>
        <v>0.46482445368255354</v>
      </c>
      <c r="O37" s="74"/>
      <c r="P37" s="115" t="s">
        <v>580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653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Expensed!E75</f>
        <v>Expensed proportions, by network level (CDCM)</v>
      </c>
      <c r="F43" s="73"/>
      <c r="G43" s="115" t="str">
        <f>Expensed!G76</f>
        <v>%</v>
      </c>
      <c r="H43" s="135"/>
      <c r="I43" s="135"/>
      <c r="J43" s="166">
        <f>Expensed!H76</f>
        <v>0.25687725502358683</v>
      </c>
      <c r="K43" s="166">
        <f>Expensed!H77</f>
        <v>0.22368091560196274</v>
      </c>
      <c r="L43" s="166">
        <f>Expensed!H78</f>
        <v>8.8140612970732682E-2</v>
      </c>
      <c r="M43" s="166">
        <f>Expensed!H79</f>
        <v>0.19592017163185399</v>
      </c>
      <c r="N43" s="166">
        <f>Expensed!H80</f>
        <v>0.23538104477186383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3.8474992106110141E-2</v>
      </c>
      <c r="K45" s="166">
        <f>Capitalised!K62</f>
        <v>0.14592942983318885</v>
      </c>
      <c r="L45" s="166">
        <f>Capitalised!L62</f>
        <v>5.5767702991040988E-2</v>
      </c>
      <c r="M45" s="166">
        <f>Capitalised!M62</f>
        <v>0.216115417074319</v>
      </c>
      <c r="N45" s="166">
        <f>Capitalised!N62</f>
        <v>0.54371245799534107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0.10668353082460563</v>
      </c>
      <c r="K47" s="135">
        <f>($H$27 * K43) + ($H$29 * K45)</f>
        <v>0.17021175711605141</v>
      </c>
      <c r="L47" s="135">
        <f>($H$27 * L43) + ($H$29 * L45)</f>
        <v>6.5877986896911073E-2</v>
      </c>
      <c r="M47" s="135">
        <f>($H$27 * M43) + ($H$29 * M45)</f>
        <v>0.20980830210998194</v>
      </c>
      <c r="N47" s="135">
        <f>($H$27 * N43) + ($H$29 * N45)</f>
        <v>0.44741842305245005</v>
      </c>
      <c r="O47" s="74"/>
      <c r="P47" s="115" t="s">
        <v>580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505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506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654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285365694.00000006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7172595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439</v>
      </c>
      <c r="H62" s="152">
        <f>'DNO inputs'!H274</f>
        <v>8000000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439</v>
      </c>
      <c r="H64" s="130">
        <f>H60 + H62</f>
        <v>15172595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608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408</v>
      </c>
      <c r="F66" s="73"/>
      <c r="G66" s="115" t="s">
        <v>439</v>
      </c>
      <c r="H66" s="130">
        <f>H58 - H64</f>
        <v>270193099.00000006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573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409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581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439</v>
      </c>
      <c r="H69" s="145"/>
      <c r="I69" s="145"/>
      <c r="J69" s="158">
        <f>$H66 * J37</f>
        <v>28206462.930684004</v>
      </c>
      <c r="K69" s="158">
        <f>$H66 * K37</f>
        <v>44456635.785510622</v>
      </c>
      <c r="L69" s="158">
        <f>$H66 * L37</f>
        <v>17275166.865286071</v>
      </c>
      <c r="M69" s="158">
        <f>$H66 * M37</f>
        <v>54662473.787048206</v>
      </c>
      <c r="N69" s="158">
        <f>$H66 * N37</f>
        <v>125592359.63147113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439</v>
      </c>
      <c r="H70" s="146"/>
      <c r="I70" s="147"/>
      <c r="J70" s="147">
        <f>$H66 * J47</f>
        <v>28825153.805762228</v>
      </c>
      <c r="K70" s="147">
        <f>$H66 * K47</f>
        <v>45990042.141421244</v>
      </c>
      <c r="L70" s="147">
        <f>$H66 * L47</f>
        <v>17799777.435557801</v>
      </c>
      <c r="M70" s="147">
        <f>$H66 * M47</f>
        <v>56688755.343024269</v>
      </c>
      <c r="N70" s="147">
        <f>$H66 * N47</f>
        <v>120889370.27423455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655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10309999.999999998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582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439</v>
      </c>
      <c r="H77" s="145"/>
      <c r="I77" s="145"/>
      <c r="J77" s="158">
        <f>$H74 * J33</f>
        <v>2613370.5934900399</v>
      </c>
      <c r="K77" s="158">
        <f>$H74 * K33</f>
        <v>2272628.24081067</v>
      </c>
      <c r="L77" s="158">
        <f>$H74 * L33</f>
        <v>903419.63732031756</v>
      </c>
      <c r="M77" s="158">
        <f>$H74 * M33</f>
        <v>2000181.2985274643</v>
      </c>
      <c r="N77" s="158">
        <f>$H74 * N33</f>
        <v>2520400.2298515053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439</v>
      </c>
      <c r="H78" s="146"/>
      <c r="I78" s="147"/>
      <c r="J78" s="147">
        <f>$H74 * J43</f>
        <v>2648404.4992931797</v>
      </c>
      <c r="K78" s="147">
        <f>$H74 * K43</f>
        <v>2306150.2398562352</v>
      </c>
      <c r="L78" s="147">
        <f>$H74 * L43</f>
        <v>908729.71972825378</v>
      </c>
      <c r="M78" s="147">
        <f>$H74 * M43</f>
        <v>2019936.9695244143</v>
      </c>
      <c r="N78" s="147">
        <f>$H74 * N43</f>
        <v>2426778.5715979156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656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582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439</v>
      </c>
      <c r="H83" s="145"/>
      <c r="I83" s="145"/>
      <c r="J83" s="145">
        <f t="shared" ref="J83:N84" si="0">J69 + J77</f>
        <v>30819833.524174042</v>
      </c>
      <c r="K83" s="145">
        <f t="shared" si="0"/>
        <v>46729264.026321292</v>
      </c>
      <c r="L83" s="145">
        <f t="shared" si="0"/>
        <v>18178586.502606388</v>
      </c>
      <c r="M83" s="145">
        <f t="shared" si="0"/>
        <v>56662655.08557567</v>
      </c>
      <c r="N83" s="145">
        <f t="shared" si="0"/>
        <v>128112759.86132263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439</v>
      </c>
      <c r="H84" s="146"/>
      <c r="I84" s="147"/>
      <c r="J84" s="147">
        <f t="shared" si="0"/>
        <v>31473558.305055406</v>
      </c>
      <c r="K84" s="147">
        <f t="shared" si="0"/>
        <v>48296192.381277479</v>
      </c>
      <c r="L84" s="147">
        <f t="shared" si="0"/>
        <v>18708507.155286055</v>
      </c>
      <c r="M84" s="147">
        <f t="shared" si="0"/>
        <v>58708692.312548682</v>
      </c>
      <c r="N84" s="147">
        <f t="shared" si="0"/>
        <v>123316148.84583247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721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657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616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9051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17084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21763.5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569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1381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531</v>
      </c>
      <c r="F106" s="73"/>
      <c r="G106" s="115" t="s">
        <v>471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542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0.95524854717103413</v>
      </c>
      <c r="O114" s="74"/>
      <c r="P114" s="115" t="s">
        <v>569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543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0.97016569811402276</v>
      </c>
      <c r="N115" s="190">
        <f>IF($H$106, ($H$102 + $H110 * $H$104) / ($H$102 + $H$104), N$116)</f>
        <v>0.97016569811402276</v>
      </c>
      <c r="O115" s="74"/>
      <c r="P115" s="115" t="s">
        <v>569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544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569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17084</v>
      </c>
      <c r="K118" s="130">
        <f>SUMPRODUCT($H93:$H95, K114:K116)</f>
        <v>17084</v>
      </c>
      <c r="L118" s="130">
        <f>SUMPRODUCT($H93:$H95, L114:L116)</f>
        <v>17084</v>
      </c>
      <c r="M118" s="130">
        <f>SUMPRODUCT($H93:$H95, M114:M116)</f>
        <v>25864.96973363002</v>
      </c>
      <c r="N118" s="130">
        <f>SUMPRODUCT($H93:$H95, N114:N116)</f>
        <v>26453.402838687376</v>
      </c>
      <c r="O118" s="74"/>
      <c r="P118" s="115" t="s">
        <v>583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472</v>
      </c>
      <c r="F120" s="73"/>
      <c r="G120" s="115" t="s">
        <v>471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456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658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411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584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473</v>
      </c>
      <c r="H129" s="145"/>
      <c r="I129" s="145"/>
      <c r="J129" s="145">
        <f t="shared" ref="J129:N130" si="1">IF(J$120, J83 / J$118, 0)</f>
        <v>1804.017415369588</v>
      </c>
      <c r="K129" s="145">
        <f t="shared" si="1"/>
        <v>2735.264810718877</v>
      </c>
      <c r="L129" s="145">
        <f t="shared" si="1"/>
        <v>1064.0708559240452</v>
      </c>
      <c r="M129" s="145">
        <f t="shared" si="1"/>
        <v>2190.7102799313175</v>
      </c>
      <c r="N129" s="145">
        <f t="shared" si="1"/>
        <v>4842.9595482499226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473</v>
      </c>
      <c r="H130" s="146"/>
      <c r="I130" s="147"/>
      <c r="J130" s="147">
        <f t="shared" si="1"/>
        <v>1842.2827385305202</v>
      </c>
      <c r="K130" s="147">
        <f t="shared" si="1"/>
        <v>2826.9838668507073</v>
      </c>
      <c r="L130" s="147">
        <f t="shared" si="1"/>
        <v>1095.0893909673412</v>
      </c>
      <c r="M130" s="147">
        <f t="shared" si="1"/>
        <v>2269.8148467660785</v>
      </c>
      <c r="N130" s="147">
        <f t="shared" si="1"/>
        <v>4661.63652358123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474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585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473</v>
      </c>
      <c r="H133" s="145">
        <f>SUM(J129:N129)</f>
        <v>12637.022910193751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473</v>
      </c>
      <c r="H134" s="146">
        <f>SUM(J130:N130)</f>
        <v>12695.807366695877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5"/>
      <c r="G136" s="115" t="s">
        <v>473</v>
      </c>
      <c r="H136" s="130">
        <f>IF(N120, H64 / N118, 0)</f>
        <v>573.55929188098617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584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532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471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471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659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410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585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0.13655850951718579</v>
      </c>
      <c r="K145" s="180">
        <f t="shared" si="2"/>
        <v>0.20705104202669439</v>
      </c>
      <c r="L145" s="180">
        <f t="shared" si="2"/>
        <v>8.0546855516854643E-2</v>
      </c>
      <c r="M145" s="180">
        <f t="shared" si="2"/>
        <v>0.16582995710720941</v>
      </c>
      <c r="N145" s="180">
        <f t="shared" si="2"/>
        <v>0.36659698067578961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0.13883727731193049</v>
      </c>
      <c r="K146" s="192">
        <f t="shared" si="2"/>
        <v>0.2130458777415305</v>
      </c>
      <c r="L146" s="192">
        <f t="shared" si="2"/>
        <v>8.2527630680814215E-2</v>
      </c>
      <c r="M146" s="192">
        <f t="shared" si="2"/>
        <v>0.17105675840971266</v>
      </c>
      <c r="N146" s="193">
        <f t="shared" si="2"/>
        <v>0.35130814028475943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412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4.3416655156266165E-2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568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4.3224315571252767E-2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44</v>
      </c>
      <c r="H153" s="195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44</v>
      </c>
      <c r="H154" s="199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660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200"/>
      <c r="G158" s="115" t="s">
        <v>44</v>
      </c>
      <c r="H158" s="154">
        <f>H149</f>
        <v>4.3416655156266165E-2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568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661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MEAV!E89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MEAV!F90</f>
        <v>EHV/HV</v>
      </c>
      <c r="G163" s="113" t="str">
        <f>MEAV!G90</f>
        <v>%</v>
      </c>
      <c r="H163" s="172">
        <f>MEAV!H90</f>
        <v>0.19857147804650016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MEAV!F91</f>
        <v>EHV</v>
      </c>
      <c r="G164" s="115" t="str">
        <f>MEAV!G91</f>
        <v>%</v>
      </c>
      <c r="H164" s="166">
        <f>MEAV!H91</f>
        <v>5.3964108331783299E-2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MEAV!F92</f>
        <v>132kV/EHV</v>
      </c>
      <c r="G165" s="115" t="str">
        <f>MEAV!G92</f>
        <v>%</v>
      </c>
      <c r="H165" s="166">
        <f>MEAV!H92</f>
        <v>0.10347644062409317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MEAV!F93</f>
        <v>132kV</v>
      </c>
      <c r="G166" s="117" t="str">
        <f>MEAV!G93</f>
        <v>%</v>
      </c>
      <c r="H166" s="173">
        <f>MEAV!H93</f>
        <v>0.64398797299762334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0.34360955154388018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10">
        <f>L145</f>
        <v>8.0546855516854643E-2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0.16582995710720941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7.2795704300175804E-2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574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1.9783079179292978E-2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574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3.7934150703870177E-2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574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0.23608404649245066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574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0.23608404649245066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3.7934150703870177E-2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1.9783079179292978E-2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7.2795704300175804E-2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0.16582995710720941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8.0546855516854643E-2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0.34360955154388018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1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498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736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454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10180000</v>
      </c>
      <c r="K21" s="156">
        <f>Expenditure!K133</f>
        <v>35472210.487194926</v>
      </c>
      <c r="L21" s="156">
        <f>Expenditure!L133</f>
        <v>863139.78799552319</v>
      </c>
      <c r="M21" s="156">
        <f>Expenditure!M133</f>
        <v>2623947.7688073181</v>
      </c>
      <c r="N21" s="156">
        <f>Expenditure!N133</f>
        <v>3350477.2222617008</v>
      </c>
      <c r="O21" s="156">
        <f>Expenditure!O133</f>
        <v>-972253.4377083861</v>
      </c>
      <c r="P21" s="156">
        <f>Expenditure!P133</f>
        <v>292035.89190497209</v>
      </c>
      <c r="Q21" s="156">
        <f>Expenditure!Q133</f>
        <v>2119443.7911061868</v>
      </c>
      <c r="R21" s="156">
        <f>Expenditure!R133</f>
        <v>1581511.2920997129</v>
      </c>
      <c r="S21" s="156">
        <f>Expenditure!S133</f>
        <v>8816156.0100786686</v>
      </c>
      <c r="T21" s="156">
        <f>Expenditure!T133</f>
        <v>1504998.5827917978</v>
      </c>
      <c r="U21" s="156">
        <f>Expenditure!U133</f>
        <v>694633.14381404966</v>
      </c>
      <c r="V21" s="156">
        <f>Expenditure!V133</f>
        <v>542518.02238827199</v>
      </c>
      <c r="W21" s="156">
        <f>Expenditure!W133</f>
        <v>513723.48010537733</v>
      </c>
      <c r="X21" s="156">
        <f>Expenditure!X133</f>
        <v>2050228.7382603094</v>
      </c>
      <c r="Y21" s="156">
        <f>Expenditure!Y133</f>
        <v>0</v>
      </c>
      <c r="Z21" s="156">
        <f>Expenditure!Z133</f>
        <v>0</v>
      </c>
      <c r="AA21" s="156">
        <f>Expenditure!AA133</f>
        <v>517325.09844822384</v>
      </c>
      <c r="AB21" s="156">
        <f>Expenditure!AB133</f>
        <v>739244.22963049496</v>
      </c>
      <c r="AC21" s="156">
        <f>Expenditure!AC133</f>
        <v>2932789.2145560593</v>
      </c>
      <c r="AD21" s="156">
        <f>Expenditure!AD133</f>
        <v>579178.1539660549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2">
        <f>Expenditure!J139</f>
        <v>5609437.7182151098</v>
      </c>
      <c r="K22" s="202">
        <f>Expenditure!K139</f>
        <v>26397970.840449542</v>
      </c>
      <c r="L22" s="202">
        <f>Expenditure!L139</f>
        <v>310759.55523588188</v>
      </c>
      <c r="M22" s="202">
        <f>Expenditure!M139</f>
        <v>5246413.1937279776</v>
      </c>
      <c r="N22" s="202">
        <f>Expenditure!N139</f>
        <v>668938.10903444269</v>
      </c>
      <c r="O22" s="202">
        <f>Expenditure!O139</f>
        <v>4737130.9593879897</v>
      </c>
      <c r="P22" s="202">
        <f>Expenditure!P139</f>
        <v>105142.81133078053</v>
      </c>
      <c r="Q22" s="202">
        <f>Expenditure!Q139</f>
        <v>763071.5430245304</v>
      </c>
      <c r="R22" s="202">
        <f>Expenditure!R139</f>
        <v>569397.62547011767</v>
      </c>
      <c r="S22" s="202">
        <f>Expenditure!S139</f>
        <v>3174114.7363217184</v>
      </c>
      <c r="T22" s="202">
        <f>Expenditure!T139</f>
        <v>541850.45889859658</v>
      </c>
      <c r="U22" s="202">
        <f>Expenditure!U139</f>
        <v>250091.45659367528</v>
      </c>
      <c r="V22" s="202">
        <f>Expenditure!V139</f>
        <v>195324.86126766761</v>
      </c>
      <c r="W22" s="202">
        <f>Expenditure!W139</f>
        <v>184957.85087432966</v>
      </c>
      <c r="X22" s="202">
        <f>Expenditure!X139</f>
        <v>738151.77992571192</v>
      </c>
      <c r="Y22" s="202">
        <f>Expenditure!Y139</f>
        <v>0</v>
      </c>
      <c r="Z22" s="202">
        <f>Expenditure!Z139</f>
        <v>0</v>
      </c>
      <c r="AA22" s="202">
        <f>Expenditure!AA139</f>
        <v>186254.55545210329</v>
      </c>
      <c r="AB22" s="202">
        <f>Expenditure!AB139</f>
        <v>266152.95831068361</v>
      </c>
      <c r="AC22" s="202">
        <f>Expenditure!AC139</f>
        <v>1055903.4406611777</v>
      </c>
      <c r="AD22" s="202">
        <f>Expenditure!AD139</f>
        <v>208523.75018745384</v>
      </c>
      <c r="AE22" s="202">
        <f>Expenditure!AE139</f>
        <v>0</v>
      </c>
      <c r="AF22" s="202">
        <f>Expenditure!AF139</f>
        <v>0</v>
      </c>
      <c r="AG22" s="202">
        <f>Expenditure!AG139</f>
        <v>0</v>
      </c>
      <c r="AH22" s="202">
        <f>Expenditure!AH139</f>
        <v>0</v>
      </c>
      <c r="AI22" s="202">
        <f>Expenditure!AI139</f>
        <v>0</v>
      </c>
      <c r="AJ22" s="202">
        <f>Expenditure!AJ139</f>
        <v>0</v>
      </c>
      <c r="AK22" s="202">
        <f>Expenditure!AK139</f>
        <v>0</v>
      </c>
      <c r="AL22" s="202">
        <f>Expenditure!AL139</f>
        <v>0</v>
      </c>
      <c r="AM22" s="202">
        <f>Expenditure!AM139</f>
        <v>0</v>
      </c>
      <c r="AN22" s="202">
        <f>Expenditure!AN139</f>
        <v>0</v>
      </c>
      <c r="AO22" s="202">
        <f>Expenditure!AO139</f>
        <v>0</v>
      </c>
      <c r="AP22" s="202">
        <f>Expenditure!AP139</f>
        <v>0</v>
      </c>
      <c r="AQ22" s="202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9133584.1817398928</v>
      </c>
      <c r="L23" s="152">
        <f>Expenditure!L136</f>
        <v>551088.39316264493</v>
      </c>
      <c r="M23" s="152">
        <f>Expenditure!M136</f>
        <v>7746528.5798433591</v>
      </c>
      <c r="N23" s="152">
        <f>Expenditure!N136</f>
        <v>1201698.5192856165</v>
      </c>
      <c r="O23" s="152">
        <f>Expenditure!O136</f>
        <v>618275.42988116562</v>
      </c>
      <c r="P23" s="152">
        <f>Expenditure!P136</f>
        <v>186455.99780480246</v>
      </c>
      <c r="Q23" s="152">
        <f>Expenditure!Q136</f>
        <v>1353200.1299021463</v>
      </c>
      <c r="R23" s="152">
        <f>Expenditure!R136</f>
        <v>1009746.658482542</v>
      </c>
      <c r="S23" s="152">
        <f>Expenditure!S136</f>
        <v>5628846.3549436657</v>
      </c>
      <c r="T23" s="152">
        <f>Expenditure!T136</f>
        <v>960895.63039247994</v>
      </c>
      <c r="U23" s="152">
        <f>Expenditure!U136</f>
        <v>443502.04727671132</v>
      </c>
      <c r="V23" s="152">
        <f>Expenditure!V136</f>
        <v>346381.18805071159</v>
      </c>
      <c r="W23" s="152">
        <f>Expenditure!W136</f>
        <v>327996.75222788221</v>
      </c>
      <c r="X23" s="152">
        <f>Expenditure!X136</f>
        <v>1309008.432582662</v>
      </c>
      <c r="Y23" s="152">
        <f>Expenditure!Y136</f>
        <v>0</v>
      </c>
      <c r="Z23" s="152">
        <f>Expenditure!Z136</f>
        <v>0</v>
      </c>
      <c r="AA23" s="152">
        <f>Expenditure!AA136</f>
        <v>330296.27554142766</v>
      </c>
      <c r="AB23" s="152">
        <f>Expenditure!AB136</f>
        <v>471984.86308678868</v>
      </c>
      <c r="AC23" s="152">
        <f>Expenditure!AC136</f>
        <v>1872496.342090555</v>
      </c>
      <c r="AD23" s="152">
        <f>Expenditure!AD136</f>
        <v>369787.56241244631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3833598.9292598576</v>
      </c>
      <c r="K24" s="162">
        <f>Expenditure!K137</f>
        <v>8739419.5195739027</v>
      </c>
      <c r="L24" s="162">
        <f>Expenditure!L137</f>
        <v>527305.88172000414</v>
      </c>
      <c r="M24" s="162">
        <f>Expenditure!M137</f>
        <v>7412223.0367097463</v>
      </c>
      <c r="N24" s="162">
        <f>Expenditure!N137</f>
        <v>1149838.5833114616</v>
      </c>
      <c r="O24" s="162">
        <f>Expenditure!O137</f>
        <v>591593.42628920684</v>
      </c>
      <c r="P24" s="162">
        <f>Expenditure!P137</f>
        <v>178409.39047944552</v>
      </c>
      <c r="Q24" s="162">
        <f>Expenditure!Q137</f>
        <v>1294802.0616922744</v>
      </c>
      <c r="R24" s="162">
        <f>Expenditure!R137</f>
        <v>966170.50671183702</v>
      </c>
      <c r="S24" s="162">
        <f>Expenditure!S137</f>
        <v>5385930.5096705351</v>
      </c>
      <c r="T24" s="162">
        <f>Expenditure!T137</f>
        <v>919427.67060867045</v>
      </c>
      <c r="U24" s="162">
        <f>Expenditure!U137</f>
        <v>424362.4815644644</v>
      </c>
      <c r="V24" s="162">
        <f>Expenditure!V137</f>
        <v>331432.92444992054</v>
      </c>
      <c r="W24" s="162">
        <f>Expenditure!W137</f>
        <v>313841.87869073189</v>
      </c>
      <c r="X24" s="162">
        <f>Expenditure!X137</f>
        <v>1252517.4804728748</v>
      </c>
      <c r="Y24" s="162">
        <f>Expenditure!Y137</f>
        <v>0</v>
      </c>
      <c r="Z24" s="162">
        <f>Expenditure!Z137</f>
        <v>0</v>
      </c>
      <c r="AA24" s="162">
        <f>Expenditure!AA137</f>
        <v>316042.16485794011</v>
      </c>
      <c r="AB24" s="162">
        <f>Expenditure!AB137</f>
        <v>451616.10637482879</v>
      </c>
      <c r="AC24" s="162">
        <f>Expenditure!AC137</f>
        <v>1791687.7708439298</v>
      </c>
      <c r="AD24" s="162">
        <f>Expenditure!AD137</f>
        <v>353829.18433093821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586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439</v>
      </c>
      <c r="H27" s="145"/>
      <c r="I27" s="145"/>
      <c r="J27" s="145">
        <f t="shared" ref="J27:AQ27" si="0">MAX(J21, 0)</f>
        <v>10180000</v>
      </c>
      <c r="K27" s="145">
        <f t="shared" si="0"/>
        <v>35472210.487194926</v>
      </c>
      <c r="L27" s="145">
        <f t="shared" si="0"/>
        <v>863139.78799552319</v>
      </c>
      <c r="M27" s="145">
        <f t="shared" si="0"/>
        <v>2623947.7688073181</v>
      </c>
      <c r="N27" s="145">
        <f t="shared" si="0"/>
        <v>3350477.2222617008</v>
      </c>
      <c r="O27" s="145">
        <f t="shared" si="0"/>
        <v>0</v>
      </c>
      <c r="P27" s="145">
        <f t="shared" si="0"/>
        <v>292035.89190497209</v>
      </c>
      <c r="Q27" s="145">
        <f t="shared" si="0"/>
        <v>2119443.7911061868</v>
      </c>
      <c r="R27" s="145">
        <f t="shared" si="0"/>
        <v>1581511.2920997129</v>
      </c>
      <c r="S27" s="145">
        <f t="shared" si="0"/>
        <v>8816156.0100786686</v>
      </c>
      <c r="T27" s="145">
        <f t="shared" si="0"/>
        <v>1504998.5827917978</v>
      </c>
      <c r="U27" s="145">
        <f t="shared" si="0"/>
        <v>694633.14381404966</v>
      </c>
      <c r="V27" s="145">
        <f t="shared" si="0"/>
        <v>542518.02238827199</v>
      </c>
      <c r="W27" s="145">
        <f t="shared" si="0"/>
        <v>513723.48010537733</v>
      </c>
      <c r="X27" s="145">
        <f t="shared" si="0"/>
        <v>2050228.7382603094</v>
      </c>
      <c r="Y27" s="145">
        <f t="shared" si="0"/>
        <v>0</v>
      </c>
      <c r="Z27" s="145">
        <f t="shared" si="0"/>
        <v>0</v>
      </c>
      <c r="AA27" s="145">
        <f t="shared" si="0"/>
        <v>517325.09844822384</v>
      </c>
      <c r="AB27" s="145">
        <f t="shared" si="0"/>
        <v>739244.22963049496</v>
      </c>
      <c r="AC27" s="145">
        <f t="shared" si="0"/>
        <v>2932789.2145560593</v>
      </c>
      <c r="AD27" s="145">
        <f t="shared" si="0"/>
        <v>579178.1539660549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439</v>
      </c>
      <c r="H28" s="130"/>
      <c r="I28" s="130"/>
      <c r="J28" s="130">
        <f t="shared" ref="J28:AQ28" si="2">MAX(J22, 0)</f>
        <v>5609437.7182151098</v>
      </c>
      <c r="K28" s="130">
        <f t="shared" si="2"/>
        <v>26397970.840449542</v>
      </c>
      <c r="L28" s="130">
        <f t="shared" si="2"/>
        <v>310759.55523588188</v>
      </c>
      <c r="M28" s="130">
        <f t="shared" si="2"/>
        <v>5246413.1937279776</v>
      </c>
      <c r="N28" s="130">
        <f t="shared" si="2"/>
        <v>668938.10903444269</v>
      </c>
      <c r="O28" s="130">
        <f t="shared" si="2"/>
        <v>4737130.9593879897</v>
      </c>
      <c r="P28" s="130">
        <f t="shared" si="2"/>
        <v>105142.81133078053</v>
      </c>
      <c r="Q28" s="130">
        <f t="shared" si="2"/>
        <v>763071.5430245304</v>
      </c>
      <c r="R28" s="130">
        <f t="shared" si="2"/>
        <v>569397.62547011767</v>
      </c>
      <c r="S28" s="130">
        <f t="shared" si="2"/>
        <v>3174114.7363217184</v>
      </c>
      <c r="T28" s="130">
        <f t="shared" si="2"/>
        <v>541850.45889859658</v>
      </c>
      <c r="U28" s="130">
        <f t="shared" si="2"/>
        <v>250091.45659367528</v>
      </c>
      <c r="V28" s="130">
        <f t="shared" si="2"/>
        <v>195324.86126766761</v>
      </c>
      <c r="W28" s="130">
        <f t="shared" si="2"/>
        <v>184957.85087432966</v>
      </c>
      <c r="X28" s="130">
        <f t="shared" si="2"/>
        <v>738151.77992571192</v>
      </c>
      <c r="Y28" s="130">
        <f t="shared" si="2"/>
        <v>0</v>
      </c>
      <c r="Z28" s="130">
        <f t="shared" si="2"/>
        <v>0</v>
      </c>
      <c r="AA28" s="130">
        <f t="shared" si="2"/>
        <v>186254.55545210329</v>
      </c>
      <c r="AB28" s="130">
        <f t="shared" si="2"/>
        <v>266152.95831068361</v>
      </c>
      <c r="AC28" s="130">
        <f t="shared" si="2"/>
        <v>1055903.4406611777</v>
      </c>
      <c r="AD28" s="130">
        <f t="shared" si="2"/>
        <v>208523.75018745384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439</v>
      </c>
      <c r="H29" s="130"/>
      <c r="I29" s="130"/>
      <c r="J29" s="130">
        <f t="shared" ref="J29:AQ29" si="4">MAX(J23, 0)</f>
        <v>0</v>
      </c>
      <c r="K29" s="130">
        <f t="shared" si="4"/>
        <v>9133584.1817398928</v>
      </c>
      <c r="L29" s="130">
        <f t="shared" si="4"/>
        <v>551088.39316264493</v>
      </c>
      <c r="M29" s="130">
        <f t="shared" si="4"/>
        <v>7746528.5798433591</v>
      </c>
      <c r="N29" s="130">
        <f t="shared" si="4"/>
        <v>1201698.5192856165</v>
      </c>
      <c r="O29" s="130">
        <f t="shared" si="4"/>
        <v>618275.42988116562</v>
      </c>
      <c r="P29" s="130">
        <f t="shared" si="4"/>
        <v>186455.99780480246</v>
      </c>
      <c r="Q29" s="130">
        <f t="shared" si="4"/>
        <v>1353200.1299021463</v>
      </c>
      <c r="R29" s="130">
        <f t="shared" si="4"/>
        <v>1009746.658482542</v>
      </c>
      <c r="S29" s="130">
        <f t="shared" si="4"/>
        <v>5628846.3549436657</v>
      </c>
      <c r="T29" s="130">
        <f t="shared" si="4"/>
        <v>960895.63039247994</v>
      </c>
      <c r="U29" s="130">
        <f t="shared" si="4"/>
        <v>443502.04727671132</v>
      </c>
      <c r="V29" s="130">
        <f t="shared" si="4"/>
        <v>346381.18805071159</v>
      </c>
      <c r="W29" s="130">
        <f t="shared" si="4"/>
        <v>327996.75222788221</v>
      </c>
      <c r="X29" s="130">
        <f t="shared" si="4"/>
        <v>1309008.432582662</v>
      </c>
      <c r="Y29" s="130">
        <f t="shared" si="4"/>
        <v>0</v>
      </c>
      <c r="Z29" s="130">
        <f t="shared" si="4"/>
        <v>0</v>
      </c>
      <c r="AA29" s="130">
        <f t="shared" si="4"/>
        <v>330296.27554142766</v>
      </c>
      <c r="AB29" s="130">
        <f t="shared" si="4"/>
        <v>471984.86308678868</v>
      </c>
      <c r="AC29" s="130">
        <f t="shared" si="4"/>
        <v>1872496.342090555</v>
      </c>
      <c r="AD29" s="130">
        <f t="shared" si="4"/>
        <v>369787.56241244631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439</v>
      </c>
      <c r="H30" s="146"/>
      <c r="I30" s="147"/>
      <c r="J30" s="147">
        <f t="shared" ref="J30:AQ30" si="6">MAX(J24, 0)</f>
        <v>3833598.9292598576</v>
      </c>
      <c r="K30" s="147">
        <f t="shared" si="6"/>
        <v>8739419.5195739027</v>
      </c>
      <c r="L30" s="147">
        <f t="shared" si="6"/>
        <v>527305.88172000414</v>
      </c>
      <c r="M30" s="147">
        <f t="shared" si="6"/>
        <v>7412223.0367097463</v>
      </c>
      <c r="N30" s="147">
        <f t="shared" si="6"/>
        <v>1149838.5833114616</v>
      </c>
      <c r="O30" s="147">
        <f t="shared" si="6"/>
        <v>591593.42628920684</v>
      </c>
      <c r="P30" s="147">
        <f t="shared" si="6"/>
        <v>178409.39047944552</v>
      </c>
      <c r="Q30" s="147">
        <f t="shared" si="6"/>
        <v>1294802.0616922744</v>
      </c>
      <c r="R30" s="147">
        <f t="shared" si="6"/>
        <v>966170.50671183702</v>
      </c>
      <c r="S30" s="147">
        <f t="shared" si="6"/>
        <v>5385930.5096705351</v>
      </c>
      <c r="T30" s="147">
        <f t="shared" si="6"/>
        <v>919427.67060867045</v>
      </c>
      <c r="U30" s="147">
        <f t="shared" si="6"/>
        <v>424362.4815644644</v>
      </c>
      <c r="V30" s="147">
        <f t="shared" si="6"/>
        <v>331432.92444992054</v>
      </c>
      <c r="W30" s="147">
        <f t="shared" si="6"/>
        <v>313841.87869073189</v>
      </c>
      <c r="X30" s="147">
        <f t="shared" si="6"/>
        <v>1252517.4804728748</v>
      </c>
      <c r="Y30" s="147">
        <f t="shared" si="6"/>
        <v>0</v>
      </c>
      <c r="Z30" s="147">
        <f t="shared" si="6"/>
        <v>0</v>
      </c>
      <c r="AA30" s="147">
        <f t="shared" si="6"/>
        <v>316042.16485794011</v>
      </c>
      <c r="AB30" s="147">
        <f t="shared" si="6"/>
        <v>451616.10637482879</v>
      </c>
      <c r="AC30" s="147">
        <f t="shared" si="6"/>
        <v>1791687.7708439298</v>
      </c>
      <c r="AD30" s="147">
        <f t="shared" si="6"/>
        <v>353829.18433093821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663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439</v>
      </c>
      <c r="H35" s="145">
        <f>SUM(J27:AQ27)</f>
        <v>75373560.915409639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587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439</v>
      </c>
      <c r="H36" s="130">
        <f>SUM(J28:AQ28)</f>
        <v>51209588.204369493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588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439</v>
      </c>
      <c r="H37" s="130">
        <f>SUM(J29:AQ29)</f>
        <v>35311866.828707509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589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439</v>
      </c>
      <c r="H38" s="146">
        <f>SUM(J30:AQ30)</f>
        <v>36234049.507612579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589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3">
        <f>'Fixed inputs'!H140</f>
        <v>1</v>
      </c>
      <c r="K40" s="203">
        <f>'Fixed inputs'!H141</f>
        <v>1</v>
      </c>
      <c r="L40" s="203">
        <f>'Fixed inputs'!H142</f>
        <v>1</v>
      </c>
      <c r="M40" s="203">
        <f>'Fixed inputs'!H143</f>
        <v>1</v>
      </c>
      <c r="N40" s="203">
        <f>'Fixed inputs'!H144</f>
        <v>1</v>
      </c>
      <c r="O40" s="203">
        <f>'Fixed inputs'!H145</f>
        <v>1</v>
      </c>
      <c r="P40" s="203">
        <f>'Fixed inputs'!H146</f>
        <v>0</v>
      </c>
      <c r="Q40" s="203">
        <f>'Fixed inputs'!H147</f>
        <v>0</v>
      </c>
      <c r="R40" s="203">
        <f>'Fixed inputs'!H148</f>
        <v>0</v>
      </c>
      <c r="S40" s="203">
        <f>'Fixed inputs'!H149</f>
        <v>0</v>
      </c>
      <c r="T40" s="203">
        <f>'Fixed inputs'!H150</f>
        <v>0</v>
      </c>
      <c r="U40" s="203">
        <f>'Fixed inputs'!H151</f>
        <v>0</v>
      </c>
      <c r="V40" s="203">
        <f>'Fixed inputs'!H152</f>
        <v>0</v>
      </c>
      <c r="W40" s="203">
        <f>'Fixed inputs'!H153</f>
        <v>0</v>
      </c>
      <c r="X40" s="203">
        <f>'Fixed inputs'!H154</f>
        <v>0</v>
      </c>
      <c r="Y40" s="203">
        <f>'Fixed inputs'!H155</f>
        <v>0</v>
      </c>
      <c r="Z40" s="203">
        <f>'Fixed inputs'!H156</f>
        <v>0</v>
      </c>
      <c r="AA40" s="203">
        <f>'Fixed inputs'!H157</f>
        <v>0</v>
      </c>
      <c r="AB40" s="203">
        <f>'Fixed inputs'!H158</f>
        <v>0</v>
      </c>
      <c r="AC40" s="203">
        <f>'Fixed inputs'!H159</f>
        <v>0</v>
      </c>
      <c r="AD40" s="203">
        <f>'Fixed inputs'!H160</f>
        <v>0</v>
      </c>
      <c r="AE40" s="203">
        <f>'Fixed inputs'!H161</f>
        <v>1</v>
      </c>
      <c r="AF40" s="203">
        <f>'Fixed inputs'!H162</f>
        <v>1</v>
      </c>
      <c r="AG40" s="203">
        <f>'Fixed inputs'!H163</f>
        <v>1</v>
      </c>
      <c r="AH40" s="203">
        <f>'Fixed inputs'!H164</f>
        <v>1</v>
      </c>
      <c r="AI40" s="203">
        <f>'Fixed inputs'!H165</f>
        <v>1</v>
      </c>
      <c r="AJ40" s="203">
        <f>'Fixed inputs'!H166</f>
        <v>1</v>
      </c>
      <c r="AK40" s="203">
        <f>'Fixed inputs'!H167</f>
        <v>1</v>
      </c>
      <c r="AL40" s="203">
        <f>'Fixed inputs'!H168</f>
        <v>1</v>
      </c>
      <c r="AM40" s="203">
        <f>'Fixed inputs'!H169</f>
        <v>1</v>
      </c>
      <c r="AN40" s="203">
        <f>'Fixed inputs'!H170</f>
        <v>1</v>
      </c>
      <c r="AO40" s="203">
        <f>'Fixed inputs'!H171</f>
        <v>1</v>
      </c>
      <c r="AP40" s="203">
        <f>'Fixed inputs'!H172</f>
        <v>0</v>
      </c>
      <c r="AQ40" s="203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439</v>
      </c>
      <c r="H43" s="145">
        <f>SUMPRODUCT(J27:AQ27, J$40:AQ$40)</f>
        <v>52489775.266259462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587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439</v>
      </c>
      <c r="H44" s="130">
        <f>SUMPRODUCT(J28:AQ28, J$40:AQ$40)</f>
        <v>42970650.376050942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588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439</v>
      </c>
      <c r="H45" s="130">
        <f>SUMPRODUCT(J29:AQ29, J$40:AQ$40)</f>
        <v>19251175.103912681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589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439</v>
      </c>
      <c r="H46" s="146">
        <f>SUMPRODUCT(J30:AQ30, J$40:AQ$40)</f>
        <v>22253979.37686418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589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475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471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471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476</v>
      </c>
      <c r="G51" s="117" t="s">
        <v>471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477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0.69639505721598816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587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0.83911337471728475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588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4">
        <f>IF(H51, (H45 + H46) / (H37 + H38), 0)</f>
        <v>0.58011912637572693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589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446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673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0.23608404649245066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3.7934150703870177E-2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1.9783079179292978E-2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7.2795704300175804E-2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0.16582995710720941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8.0546855516854643E-2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0.34360955154388018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448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449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664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450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451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5">
        <f>'Fixed inputs'!J396</f>
        <v>1</v>
      </c>
      <c r="K38" s="205">
        <f>'Fixed inputs'!K396</f>
        <v>1</v>
      </c>
      <c r="L38" s="205">
        <f>'Fixed inputs'!L396</f>
        <v>1</v>
      </c>
      <c r="M38" s="205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3">
        <f>'Fixed inputs'!J397</f>
        <v>1</v>
      </c>
      <c r="K39" s="203">
        <f>'Fixed inputs'!K397</f>
        <v>1</v>
      </c>
      <c r="L39" s="203">
        <f>'Fixed inputs'!L397</f>
        <v>1</v>
      </c>
      <c r="M39" s="203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3">
        <f>'Fixed inputs'!J398</f>
        <v>1</v>
      </c>
      <c r="K40" s="203">
        <f>'Fixed inputs'!K398</f>
        <v>1</v>
      </c>
      <c r="L40" s="203">
        <f>'Fixed inputs'!L398</f>
        <v>1</v>
      </c>
      <c r="M40" s="203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3">
        <f>'Fixed inputs'!J399</f>
        <v>1</v>
      </c>
      <c r="K41" s="203">
        <f>'Fixed inputs'!K399</f>
        <v>1</v>
      </c>
      <c r="L41" s="203">
        <f>'Fixed inputs'!L399</f>
        <v>1</v>
      </c>
      <c r="M41" s="203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3">
        <f>'Fixed inputs'!J400</f>
        <v>1</v>
      </c>
      <c r="K42" s="203">
        <f>'Fixed inputs'!K400</f>
        <v>1</v>
      </c>
      <c r="L42" s="203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3">
        <f>'Fixed inputs'!J401</f>
        <v>1</v>
      </c>
      <c r="K43" s="203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6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0.95658334484373375</v>
      </c>
      <c r="K46" s="177">
        <f>SUMPRODUCT($H19:$H25, K38:K44)</f>
        <v>0.61297379329985358</v>
      </c>
      <c r="L46" s="177">
        <f>SUMPRODUCT($H19:$H25, L38:L44)</f>
        <v>0.53242693778299899</v>
      </c>
      <c r="M46" s="177">
        <f>SUMPRODUCT($H19:$H25, M38:M44)</f>
        <v>0.36659698067578961</v>
      </c>
      <c r="N46" s="74"/>
      <c r="O46" s="115" t="s">
        <v>568</v>
      </c>
      <c r="P46" s="42"/>
    </row>
    <row r="47" spans="1:16" x14ac:dyDescent="0.25">
      <c r="A47" s="73"/>
      <c r="B47" s="73"/>
      <c r="C47" s="73"/>
      <c r="D47" s="73"/>
      <c r="E47" s="115" t="s">
        <v>533</v>
      </c>
      <c r="F47" s="73"/>
      <c r="G47" s="115" t="s">
        <v>471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499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665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452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453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568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0.95658334484373375</v>
      </c>
      <c r="K56" s="180">
        <f>SUMPRODUCT($H19:$H$25, K38:K$44)</f>
        <v>0.61297379329985358</v>
      </c>
      <c r="L56" s="180">
        <f>SUMPRODUCT($H19:$H$25, L38:L$44)</f>
        <v>0.53242693778299899</v>
      </c>
      <c r="M56" s="180">
        <f>SUMPRODUCT($H19:$H$25, M38:M$44)</f>
        <v>0.36659698067578961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0.72049929835128323</v>
      </c>
      <c r="K57" s="177">
        <f>SUMPRODUCT($H20:$H$25, K39:K$44)</f>
        <v>0.376889746807403</v>
      </c>
      <c r="L57" s="177">
        <f>SUMPRODUCT($H20:$H$25, L39:L$44)</f>
        <v>0.29634289129054836</v>
      </c>
      <c r="M57" s="177">
        <f>SUMPRODUCT($H20:$H$25, M39:M$44)</f>
        <v>0.13051293418333895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0.68256514764741305</v>
      </c>
      <c r="K58" s="177">
        <f>SUMPRODUCT($H21:$H$25, K40:K$44)</f>
        <v>0.33895559610353282</v>
      </c>
      <c r="L58" s="177">
        <f>SUMPRODUCT($H21:$H$25, L40:L$44)</f>
        <v>0.25840874058667818</v>
      </c>
      <c r="M58" s="177">
        <f>SUMPRODUCT($H21:$H$25, M40:M$44)</f>
        <v>9.2578783479468782E-2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0.66278206846812004</v>
      </c>
      <c r="K59" s="177">
        <f>SUMPRODUCT($H22:$H$25, K41:K$44)</f>
        <v>0.31917251692423987</v>
      </c>
      <c r="L59" s="177">
        <f>SUMPRODUCT($H22:$H$25, L41:L$44)</f>
        <v>0.23862566140738523</v>
      </c>
      <c r="M59" s="177">
        <f>SUMPRODUCT($H22:$H$25, M41:M$44)</f>
        <v>7.2795704300175804E-2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0.58998636416794425</v>
      </c>
      <c r="K60" s="193">
        <f>SUMPRODUCT($H23:$H$25, K42:K$44)</f>
        <v>0.24637681262406405</v>
      </c>
      <c r="L60" s="193">
        <f>SUMPRODUCT($H23:$H$25, L42:L$44)</f>
        <v>0.16582995710720941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666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523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524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0.69639505721598816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522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7.1676283427558468E-2</v>
      </c>
      <c r="I74" s="131" t="s">
        <v>314</v>
      </c>
      <c r="J74" s="135"/>
      <c r="K74" s="135"/>
      <c r="L74" s="135"/>
      <c r="M74" s="135"/>
      <c r="N74" s="74"/>
      <c r="O74" s="115" t="s">
        <v>568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6.0062406223208211E-3</v>
      </c>
      <c r="I76" s="131" t="s">
        <v>314</v>
      </c>
      <c r="J76" s="135"/>
      <c r="K76" s="135"/>
      <c r="L76" s="135"/>
      <c r="M76" s="135"/>
      <c r="N76" s="74"/>
      <c r="O76" s="115" t="s">
        <v>568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7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667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414</v>
      </c>
      <c r="F83" s="73"/>
      <c r="G83" s="115" t="str">
        <f>'Rev allocation'!G149</f>
        <v>%</v>
      </c>
      <c r="H83" s="166">
        <f>'Rev allocation'!H158</f>
        <v>4.3416655156266165E-2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535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668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568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0.95658334484373386</v>
      </c>
      <c r="K94" s="180">
        <f t="shared" si="0"/>
        <v>0.93385544342032178</v>
      </c>
      <c r="L94" s="180">
        <f t="shared" si="0"/>
        <v>0.92460338937756426</v>
      </c>
      <c r="M94" s="180">
        <f t="shared" si="0"/>
        <v>0.89410924085937016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0.79217558177884184</v>
      </c>
      <c r="K95" s="177">
        <f t="shared" si="0"/>
        <v>0.6833829335725754</v>
      </c>
      <c r="L95" s="177">
        <f t="shared" si="0"/>
        <v>0.63909571840442836</v>
      </c>
      <c r="M95" s="177">
        <f t="shared" si="0"/>
        <v>0.4931280326825897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0.68256514764741316</v>
      </c>
      <c r="K96" s="177">
        <f t="shared" si="0"/>
        <v>0.51639324871466696</v>
      </c>
      <c r="L96" s="177">
        <f t="shared" si="0"/>
        <v>0.44874813882653175</v>
      </c>
      <c r="M96" s="177">
        <f t="shared" si="0"/>
        <v>0.22579440142666293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0.66878830909044096</v>
      </c>
      <c r="K97" s="177">
        <f t="shared" si="0"/>
        <v>0.49540446286414719</v>
      </c>
      <c r="L97" s="177">
        <f t="shared" si="0"/>
        <v>0.42482351983988759</v>
      </c>
      <c r="M97" s="177">
        <f t="shared" si="0"/>
        <v>0.19219347366967671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0.58998636416794437</v>
      </c>
      <c r="K98" s="193">
        <f t="shared" si="0"/>
        <v>0.37535100214142519</v>
      </c>
      <c r="L98" s="193">
        <f t="shared" si="0"/>
        <v>0.28797742849020408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669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568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0.95658334484373386</v>
      </c>
      <c r="K105" s="153">
        <f t="shared" si="1"/>
        <v>0.93385544342032178</v>
      </c>
      <c r="L105" s="153">
        <f t="shared" si="1"/>
        <v>0.92460338937756426</v>
      </c>
      <c r="M105" s="153">
        <f t="shared" si="1"/>
        <v>0.89410924085937016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0.79217558177884184</v>
      </c>
      <c r="K106" s="154">
        <f t="shared" si="1"/>
        <v>0.6833829335725754</v>
      </c>
      <c r="L106" s="154">
        <f t="shared" si="1"/>
        <v>0.63909571840442836</v>
      </c>
      <c r="M106" s="154">
        <f t="shared" si="1"/>
        <v>0.4931280326825897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0.68256514764741316</v>
      </c>
      <c r="K107" s="154">
        <f t="shared" si="1"/>
        <v>0.51639324871466696</v>
      </c>
      <c r="L107" s="154">
        <f t="shared" si="1"/>
        <v>0.44874813882653175</v>
      </c>
      <c r="M107" s="154">
        <f t="shared" si="1"/>
        <v>0.22579440142666293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0.66878830909044096</v>
      </c>
      <c r="K108" s="154">
        <f t="shared" si="1"/>
        <v>0.49540446286414719</v>
      </c>
      <c r="L108" s="154">
        <f t="shared" si="1"/>
        <v>0.42482351983988759</v>
      </c>
      <c r="M108" s="154">
        <f t="shared" si="1"/>
        <v>0.19219347366967671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0.58998636416794437</v>
      </c>
      <c r="K109" s="192">
        <f t="shared" si="1"/>
        <v>0.37535100214142519</v>
      </c>
      <c r="L109" s="192">
        <f t="shared" si="1"/>
        <v>0.28797742849020408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738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687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8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723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8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1" t="str">
        <f>'Rev allocation'!J5</f>
        <v>LV services</v>
      </c>
      <c r="G18" s="113" t="str">
        <f>'Rev allocation'!G146</f>
        <v>%</v>
      </c>
      <c r="H18" s="172">
        <f>'Rev allocation'!J146</f>
        <v>0.13883727731193049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0.2130458777415305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8.2527630680814215E-2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0.17105675840971266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494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8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724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8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0.70746430741726707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0.12016695268137285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8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0.83911337471728475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0.58011912637572693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8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722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8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4">
        <f>H18 + (H19 * ( 1 - H28 * H31))</f>
        <v>0.33703148242278513</v>
      </c>
      <c r="I36" s="132" t="s">
        <v>314</v>
      </c>
      <c r="J36" s="115" t="s">
        <v>590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0.50392093753924461</v>
      </c>
      <c r="I37" s="132" t="s">
        <v>314</v>
      </c>
      <c r="J37" s="115" t="s">
        <v>591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9">
        <f>(H20 + H21 * (1 - H27 * H30)) / (1 - H19 - H18)</f>
        <v>0.23458390824315747</v>
      </c>
      <c r="I38" s="132" t="s">
        <v>314</v>
      </c>
      <c r="J38" s="115" t="s">
        <v>592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0.12289865162158518</v>
      </c>
      <c r="I39" s="132" t="s">
        <v>314</v>
      </c>
      <c r="J39" s="115" t="s">
        <v>593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413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676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688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636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727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0.33703148242278513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0.50392093753924461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0.23458390824315747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0.12289865162158518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637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609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708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545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0.95658334484373386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546</v>
      </c>
      <c r="G32" s="115" t="s">
        <v>44</v>
      </c>
      <c r="H32" s="116">
        <f>'EDCM discounts'!K105</f>
        <v>0.93385544342032178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547</v>
      </c>
      <c r="G33" s="115" t="s">
        <v>44</v>
      </c>
      <c r="H33" s="116">
        <f>'EDCM discounts'!L105</f>
        <v>0.92460338937756426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0.89410924085937016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548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2">
        <f>'EDCM discounts'!J106</f>
        <v>0.79217558177884184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546</v>
      </c>
      <c r="G38" s="115" t="s">
        <v>44</v>
      </c>
      <c r="H38" s="116">
        <f>'EDCM discounts'!K106</f>
        <v>0.6833829335725754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547</v>
      </c>
      <c r="G39" s="115" t="s">
        <v>44</v>
      </c>
      <c r="H39" s="116">
        <f>'EDCM discounts'!L106</f>
        <v>0.63909571840442836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0.4931280326825897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549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2">
        <f>'EDCM discounts'!J107</f>
        <v>0.68256514764741316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546</v>
      </c>
      <c r="G44" s="115" t="s">
        <v>44</v>
      </c>
      <c r="H44" s="116">
        <f>'EDCM discounts'!K107</f>
        <v>0.51639324871466696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547</v>
      </c>
      <c r="G45" s="115" t="s">
        <v>44</v>
      </c>
      <c r="H45" s="116">
        <f>'EDCM discounts'!L107</f>
        <v>0.44874813882653175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0.22579440142666293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550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0.66878830909044096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546</v>
      </c>
      <c r="G50" s="115" t="s">
        <v>44</v>
      </c>
      <c r="H50" s="116">
        <f>'EDCM discounts'!K108</f>
        <v>0.49540446286414719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547</v>
      </c>
      <c r="G51" s="115" t="s">
        <v>44</v>
      </c>
      <c r="H51" s="116">
        <f>'EDCM discounts'!L108</f>
        <v>0.42482351983988759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0.19219347366967671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551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0.58998636416794437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546</v>
      </c>
      <c r="G56" s="115" t="s">
        <v>44</v>
      </c>
      <c r="H56" s="116">
        <f>'EDCM discounts'!K109</f>
        <v>0.37535100214142519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547</v>
      </c>
      <c r="G57" s="115" t="s">
        <v>44</v>
      </c>
      <c r="H57" s="116">
        <f>'EDCM discounts'!L109</f>
        <v>0.28797742849020408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MIDE - [enter data version name]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43389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486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757</v>
      </c>
      <c r="G11" s="42"/>
      <c r="H11" s="80">
        <f>LOOKUP(2,1/(H20:H29&lt;&gt;""),H20:H29)</f>
        <v>3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614</v>
      </c>
      <c r="G13" s="42"/>
      <c r="H13" s="81" t="str">
        <f>LOOKUP(2,1/(I20:I29&lt;&gt;""),I20:I29)</f>
        <v>01 April 2020 DCUSA Charging Methodologies Pre-Release (released 09/10/2018)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615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759</v>
      </c>
      <c r="I19" s="85" t="s">
        <v>611</v>
      </c>
      <c r="J19" s="85" t="s">
        <v>612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729</v>
      </c>
      <c r="H20" s="22">
        <v>1</v>
      </c>
      <c r="I20" s="18" t="s">
        <v>431</v>
      </c>
      <c r="J20" s="18" t="s">
        <v>730</v>
      </c>
      <c r="K20" s="18" t="s">
        <v>567</v>
      </c>
      <c r="L20" s="18" t="s">
        <v>514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729</v>
      </c>
      <c r="H21" s="22">
        <v>2</v>
      </c>
      <c r="I21" s="18" t="s">
        <v>739</v>
      </c>
      <c r="J21" s="18" t="s">
        <v>730</v>
      </c>
      <c r="K21" s="18" t="s">
        <v>567</v>
      </c>
      <c r="L21" s="18" t="s">
        <v>740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3" t="s">
        <v>729</v>
      </c>
      <c r="H22" s="22">
        <v>3</v>
      </c>
      <c r="I22" s="223" t="s">
        <v>748</v>
      </c>
      <c r="J22" s="223" t="s">
        <v>730</v>
      </c>
      <c r="K22" s="223" t="s">
        <v>567</v>
      </c>
      <c r="L22" s="223" t="s">
        <v>761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756</v>
      </c>
      <c r="H23" s="22">
        <v>3</v>
      </c>
      <c r="I23" s="223" t="s">
        <v>758</v>
      </c>
      <c r="J23" s="223" t="s">
        <v>730</v>
      </c>
      <c r="K23" s="223" t="s">
        <v>567</v>
      </c>
      <c r="L23" s="223" t="s">
        <v>760</v>
      </c>
      <c r="M23" s="42"/>
    </row>
    <row r="24" spans="1:13" x14ac:dyDescent="0.25">
      <c r="A24" s="75"/>
      <c r="B24" s="75"/>
      <c r="C24" s="75"/>
      <c r="D24" s="75"/>
      <c r="E24" s="75"/>
      <c r="F24" s="18"/>
      <c r="G24" s="18"/>
      <c r="H24" s="22"/>
      <c r="I24" s="18"/>
      <c r="J24" s="18"/>
      <c r="K24" s="18"/>
      <c r="L24" s="18"/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MEAV!H145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Expensed!H86</f>
        <v>1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613</v>
      </c>
      <c r="G42" s="91" t="s">
        <v>231</v>
      </c>
      <c r="H42" s="92">
        <f>SUM(H34:H41)</f>
        <v>1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610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729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6" t="s">
        <v>756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disablePrompts="1"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MIDE - [enter data version name]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MIDE - [enter data version name]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677</v>
      </c>
    </row>
    <row r="8" spans="1:8" x14ac:dyDescent="0.25">
      <c r="C8" s="5" t="s">
        <v>678</v>
      </c>
    </row>
    <row r="10" spans="1:8" x14ac:dyDescent="0.25">
      <c r="B10" s="2" t="s">
        <v>670</v>
      </c>
      <c r="C10" s="2"/>
      <c r="D10" s="2"/>
      <c r="E10" s="2"/>
      <c r="F10" s="2"/>
      <c r="G10" s="2"/>
    </row>
    <row r="12" spans="1:8" x14ac:dyDescent="0.25">
      <c r="C12" s="5" t="s">
        <v>485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484</v>
      </c>
      <c r="G17" s="7" t="str">
        <f>'Version control'!$B$17</f>
        <v>Version log</v>
      </c>
    </row>
    <row r="18" spans="6:7" x14ac:dyDescent="0.25">
      <c r="F18" s="9" t="s">
        <v>484</v>
      </c>
      <c r="G18" s="7" t="str">
        <f>'Version control'!$B$31</f>
        <v>Model checks</v>
      </c>
    </row>
    <row r="19" spans="6:7" ht="15.75" thickBot="1" x14ac:dyDescent="0.3">
      <c r="F19" s="9" t="s">
        <v>484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484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484</v>
      </c>
      <c r="G24" s="7" t="str">
        <f>'DNO inputs'!$B$28</f>
        <v>Inputs from other charging models</v>
      </c>
    </row>
    <row r="25" spans="6:7" ht="15.75" thickBot="1" x14ac:dyDescent="0.3">
      <c r="F25" s="16" t="s">
        <v>484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484</v>
      </c>
      <c r="G27" s="7" t="str">
        <f>MEAV!$B$97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484</v>
      </c>
      <c r="G29" s="7" t="str">
        <f>Expenditure!$B$53</f>
        <v>Expenditure allocated based on MEAV</v>
      </c>
    </row>
    <row r="30" spans="6:7" x14ac:dyDescent="0.25">
      <c r="F30" s="13" t="s">
        <v>484</v>
      </c>
      <c r="G30" s="7" t="str">
        <f>Expenditure!$B$103</f>
        <v>Allocation to LV Services</v>
      </c>
    </row>
    <row r="31" spans="6:7" ht="15.75" thickBot="1" x14ac:dyDescent="0.3">
      <c r="F31" s="13" t="s">
        <v>484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484</v>
      </c>
      <c r="G35" s="7" t="str">
        <f>'Rev allocation'!$B$51</f>
        <v>Revenue by network level</v>
      </c>
    </row>
    <row r="36" spans="2:7" x14ac:dyDescent="0.25">
      <c r="F36" s="13" t="s">
        <v>484</v>
      </c>
      <c r="G36" s="7" t="str">
        <f>'Rev allocation'!$B$86</f>
        <v>Units flowing</v>
      </c>
    </row>
    <row r="37" spans="2:7" ht="15.75" thickBot="1" x14ac:dyDescent="0.3">
      <c r="F37" s="13" t="s">
        <v>484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484</v>
      </c>
      <c r="G40" s="7" t="str">
        <f>'EDCM discounts'!$B$27</f>
        <v>EDCM user discount components</v>
      </c>
    </row>
    <row r="41" spans="2:7" ht="15.75" thickBot="1" x14ac:dyDescent="0.3">
      <c r="F41" s="13" t="s">
        <v>484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513</v>
      </c>
      <c r="G43" s="7" t="str">
        <f>'Output to other models'!$B$11</f>
        <v>DCUSA text outputs</v>
      </c>
    </row>
    <row r="45" spans="2:7" x14ac:dyDescent="0.25">
      <c r="B45" s="2" t="s">
        <v>671</v>
      </c>
      <c r="C45" s="2"/>
      <c r="D45" s="2"/>
      <c r="E45" s="2"/>
      <c r="F45" s="2"/>
      <c r="G45" s="2"/>
    </row>
    <row r="47" spans="2:7" x14ac:dyDescent="0.25">
      <c r="C47" s="5" t="s">
        <v>679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484</v>
      </c>
      <c r="G51" s="7" t="str">
        <f>'Fixed inputs'!$C$23</f>
        <v>Input 401-B: EDCM discount cap</v>
      </c>
    </row>
    <row r="52" spans="6:7" x14ac:dyDescent="0.25">
      <c r="F52" s="16" t="s">
        <v>484</v>
      </c>
      <c r="G52" s="7" t="str">
        <f>'Fixed inputs'!$C$29</f>
        <v>Input 401-C: Network length splits for EDCM</v>
      </c>
    </row>
    <row r="53" spans="6:7" x14ac:dyDescent="0.25">
      <c r="F53" s="16" t="s">
        <v>484</v>
      </c>
      <c r="G53" s="7" t="str">
        <f>'Fixed inputs'!$C$37</f>
        <v>Input 401-D: Allocation rules allocation key</v>
      </c>
    </row>
    <row r="54" spans="6:7" x14ac:dyDescent="0.25">
      <c r="F54" s="16" t="s">
        <v>484</v>
      </c>
      <c r="G54" s="7" t="str">
        <f>'Fixed inputs'!$C$89</f>
        <v>Input 401-E: Allocation rules percentage capitalised</v>
      </c>
    </row>
    <row r="55" spans="6:7" x14ac:dyDescent="0.25">
      <c r="F55" s="16" t="s">
        <v>484</v>
      </c>
      <c r="G55" s="7" t="str">
        <f>'Fixed inputs'!$C$130</f>
        <v>Input 401-F: Allocation rules direct cost indicator</v>
      </c>
    </row>
    <row r="56" spans="6:7" x14ac:dyDescent="0.25">
      <c r="F56" s="16" t="s">
        <v>484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484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484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484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484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484</v>
      </c>
      <c r="G62" s="7" t="str">
        <f>'DNO inputs'!$C$21</f>
        <v>Input 402-B: HV split</v>
      </c>
    </row>
    <row r="63" spans="6:7" x14ac:dyDescent="0.25">
      <c r="F63" s="16" t="s">
        <v>484</v>
      </c>
      <c r="G63" s="7" t="str">
        <f>'DNO inputs'!$C$32</f>
        <v>Input 402-C: CDCM notional asset values</v>
      </c>
    </row>
    <row r="64" spans="6:7" x14ac:dyDescent="0.25">
      <c r="F64" s="16" t="s">
        <v>484</v>
      </c>
      <c r="G64" s="7" t="str">
        <f>'DNO inputs'!$C$44</f>
        <v>Input 402-D: EDCM notional asset value</v>
      </c>
    </row>
    <row r="65" spans="6:7" x14ac:dyDescent="0.25">
      <c r="F65" s="16" t="s">
        <v>484</v>
      </c>
      <c r="G65" s="7" t="str">
        <f>'DNO inputs'!$C$55</f>
        <v>Input 402-E: MEAV asset count</v>
      </c>
    </row>
    <row r="66" spans="6:7" x14ac:dyDescent="0.25">
      <c r="F66" s="16" t="s">
        <v>484</v>
      </c>
      <c r="G66" s="7" t="str">
        <f>'DNO inputs'!$C$147</f>
        <v>Input 402-F: MEAV per unit</v>
      </c>
    </row>
    <row r="67" spans="6:7" x14ac:dyDescent="0.25">
      <c r="F67" s="16" t="s">
        <v>484</v>
      </c>
      <c r="G67" s="7" t="str">
        <f>'DNO inputs'!$C$238</f>
        <v>Input 402-G: 2007/08 RRP expenditure, by cost category</v>
      </c>
    </row>
    <row r="68" spans="6:7" x14ac:dyDescent="0.25">
      <c r="F68" s="16" t="s">
        <v>484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484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484</v>
      </c>
      <c r="G70" s="7" t="str">
        <f>'DNO inputs'!$C$331</f>
        <v>Input 402-J: Net capex (2005/06 to 2014/15)</v>
      </c>
    </row>
    <row r="71" spans="6:7" x14ac:dyDescent="0.25">
      <c r="F71" s="16" t="s">
        <v>484</v>
      </c>
      <c r="G71" s="7" t="str">
        <f>'DNO inputs'!$C$343</f>
        <v>Input 402-K: LV services share of LV net capex</v>
      </c>
    </row>
    <row r="72" spans="6:7" x14ac:dyDescent="0.25">
      <c r="F72" s="16" t="s">
        <v>484</v>
      </c>
      <c r="G72" s="7" t="str">
        <f>'DNO inputs'!$C$350</f>
        <v>Input 402-L: Price control allowed revenue</v>
      </c>
    </row>
    <row r="73" spans="6:7" x14ac:dyDescent="0.25">
      <c r="F73" s="16" t="s">
        <v>484</v>
      </c>
      <c r="G73" s="7" t="str">
        <f>'DNO inputs'!$C$359</f>
        <v>Input 402-M: 2007/08 total allowed revenue</v>
      </c>
    </row>
    <row r="74" spans="6:7" x14ac:dyDescent="0.25">
      <c r="F74" s="16" t="s">
        <v>484</v>
      </c>
      <c r="G74" s="7" t="str">
        <f>'DNO inputs'!$C$365</f>
        <v>Input 402-N: 2007/08 net incentive revenue</v>
      </c>
    </row>
    <row r="75" spans="6:7" x14ac:dyDescent="0.25">
      <c r="F75" s="16" t="s">
        <v>484</v>
      </c>
      <c r="G75" s="7" t="str">
        <f>'DNO inputs'!$C$371</f>
        <v>Input 402-O: Additional DNO revenue</v>
      </c>
    </row>
    <row r="76" spans="6:7" x14ac:dyDescent="0.25">
      <c r="F76" s="16" t="s">
        <v>484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484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484</v>
      </c>
      <c r="G79" s="7" t="str">
        <f>MEAV!$C$27</f>
        <v>Section 401-B: Mapping of asset types to network levels</v>
      </c>
    </row>
    <row r="80" spans="6:7" x14ac:dyDescent="0.25">
      <c r="F80" s="13" t="s">
        <v>484</v>
      </c>
      <c r="G80" s="7" t="str">
        <f>MEAV!$C$49</f>
        <v>Section 401-C: MEAV shares, by asset type and network level</v>
      </c>
    </row>
    <row r="81" spans="6:7" x14ac:dyDescent="0.25">
      <c r="F81" s="13" t="s">
        <v>484</v>
      </c>
      <c r="G81" s="7" t="str">
        <f>MEAV!$C$78</f>
        <v>Section 401-D: MEAV shares from extended mapping, by asset type and network level</v>
      </c>
    </row>
    <row r="82" spans="6:7" x14ac:dyDescent="0.25">
      <c r="F82" s="13" t="s">
        <v>484</v>
      </c>
      <c r="G82" s="7" t="str">
        <f>MEAV!$C$101</f>
        <v>Section 401-E: EHV reduction ratio</v>
      </c>
    </row>
    <row r="83" spans="6:7" ht="15.75" thickBot="1" x14ac:dyDescent="0.3">
      <c r="F83" s="13" t="s">
        <v>484</v>
      </c>
      <c r="G83" s="7" t="str">
        <f>MEAV!$C$120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484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484</v>
      </c>
      <c r="G86" s="7" t="str">
        <f>Expenditure!$C$58</f>
        <v>Section 402-C: Expenditure for allocation based on MEAV</v>
      </c>
    </row>
    <row r="87" spans="6:7" x14ac:dyDescent="0.25">
      <c r="F87" s="13" t="s">
        <v>484</v>
      </c>
      <c r="G87" s="7" t="str">
        <f>Expenditure!$C$71</f>
        <v>Section 402-D: MEAV allocation shares</v>
      </c>
    </row>
    <row r="88" spans="6:7" x14ac:dyDescent="0.25">
      <c r="F88" s="13" t="s">
        <v>484</v>
      </c>
      <c r="G88" s="7" t="str">
        <f>Expenditure!$C$87</f>
        <v>Section 402-E: Expenditure allocated based on MEAV</v>
      </c>
    </row>
    <row r="89" spans="6:7" x14ac:dyDescent="0.25">
      <c r="F89" s="13" t="s">
        <v>484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484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484</v>
      </c>
      <c r="G92" s="7" t="str">
        <f>Expensed!$C$34</f>
        <v>Section 403-B: Share expensed</v>
      </c>
    </row>
    <row r="93" spans="6:7" x14ac:dyDescent="0.25">
      <c r="F93" s="13" t="s">
        <v>484</v>
      </c>
      <c r="G93" s="7" t="str">
        <f>Expensed!$C$40</f>
        <v>Section 403-C: Value expensed</v>
      </c>
    </row>
    <row r="94" spans="6:7" ht="15.75" thickBot="1" x14ac:dyDescent="0.3">
      <c r="F94" s="13" t="s">
        <v>484</v>
      </c>
      <c r="G94" s="7" t="str">
        <f>Expensed!$C$64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484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484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484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484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484</v>
      </c>
      <c r="G101" s="7" t="str">
        <f>'Rev allocation'!$C$56</f>
        <v>Section 405-D: Revenue to share</v>
      </c>
    </row>
    <row r="102" spans="6:7" x14ac:dyDescent="0.25">
      <c r="F102" s="13" t="s">
        <v>484</v>
      </c>
      <c r="G102" s="7" t="str">
        <f>'Rev allocation'!$C$72</f>
        <v>Section 405-E: Additional DNO revenue shares</v>
      </c>
    </row>
    <row r="103" spans="6:7" x14ac:dyDescent="0.25">
      <c r="F103" s="13" t="s">
        <v>484</v>
      </c>
      <c r="G103" s="7" t="str">
        <f>'Rev allocation'!$C$80</f>
        <v>Section 405-F: Revenue allocation</v>
      </c>
    </row>
    <row r="104" spans="6:7" x14ac:dyDescent="0.25">
      <c r="F104" s="13" t="s">
        <v>484</v>
      </c>
      <c r="G104" s="7" t="str">
        <f>'Rev allocation'!$C$90</f>
        <v>Section 405-G: Revenue allocation</v>
      </c>
    </row>
    <row r="105" spans="6:7" x14ac:dyDescent="0.25">
      <c r="F105" s="13" t="s">
        <v>484</v>
      </c>
      <c r="G105" s="7" t="str">
        <f>'Rev allocation'!$C$126</f>
        <v>Section 405-H: Revenue per unit</v>
      </c>
    </row>
    <row r="106" spans="6:7" x14ac:dyDescent="0.25">
      <c r="F106" s="13" t="s">
        <v>484</v>
      </c>
      <c r="G106" s="7" t="str">
        <f>'Rev allocation'!$C$142</f>
        <v>Section 405-I: Shares of revenue per unit</v>
      </c>
    </row>
    <row r="107" spans="6:7" x14ac:dyDescent="0.25">
      <c r="F107" s="13" t="s">
        <v>484</v>
      </c>
      <c r="G107" s="7" t="str">
        <f>'Rev allocation'!$C$156</f>
        <v>Section 405-J: U</v>
      </c>
    </row>
    <row r="108" spans="6:7" ht="15.75" thickBot="1" x14ac:dyDescent="0.3">
      <c r="F108" s="13" t="s">
        <v>484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484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484</v>
      </c>
      <c r="G112" s="7" t="str">
        <f>'EDCM discounts'!$C$32</f>
        <v>Section 407-B: S</v>
      </c>
    </row>
    <row r="113" spans="2:7" x14ac:dyDescent="0.25">
      <c r="F113" s="13" t="s">
        <v>484</v>
      </c>
      <c r="G113" s="7" t="str">
        <f>'EDCM discounts'!$C$50</f>
        <v>Section 407-C: P</v>
      </c>
    </row>
    <row r="114" spans="2:7" x14ac:dyDescent="0.25">
      <c r="F114" s="13" t="s">
        <v>484</v>
      </c>
      <c r="G114" s="7" t="str">
        <f>'EDCM discounts'!$C$62</f>
        <v>Section 407-D: P adder</v>
      </c>
    </row>
    <row r="115" spans="2:7" x14ac:dyDescent="0.25">
      <c r="F115" s="13" t="s">
        <v>484</v>
      </c>
      <c r="G115" s="7" t="str">
        <f>'EDCM discounts'!$C$79</f>
        <v>Section 407-E: U</v>
      </c>
    </row>
    <row r="116" spans="2:7" x14ac:dyDescent="0.25">
      <c r="F116" s="13" t="s">
        <v>484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484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484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484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513</v>
      </c>
      <c r="G121" s="7" t="str">
        <f>'Output to other models'!$C$15</f>
        <v>Output 401-A: PCDM user discount for CDCM</v>
      </c>
    </row>
    <row r="122" spans="2:7" x14ac:dyDescent="0.25">
      <c r="F122" s="11" t="s">
        <v>484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7" display="'MEAV'!$B$97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78" display="'MEAV'!$C$78"/>
    <hyperlink ref="F82" location="'MEAV'!A4" display="'"/>
    <hyperlink ref="G82" location="'MEAV'!$C$101" display="'MEAV'!$C$101"/>
    <hyperlink ref="F83" location="'MEAV'!A4" display="'"/>
    <hyperlink ref="G83" location="'MEAV'!$C$120" display="'MEAV'!$C$120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4" display="'Expensed'!$C$64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683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432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616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487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674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684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646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559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568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647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557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558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534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568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568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648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689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556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496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7" t="s">
        <v>184</v>
      </c>
      <c r="G46" s="217" t="s">
        <v>354</v>
      </c>
      <c r="H46" s="219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8" t="s">
        <v>195</v>
      </c>
      <c r="G47" s="117" t="s">
        <v>354</v>
      </c>
      <c r="H47" s="220" t="s">
        <v>741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7" t="s">
        <v>742</v>
      </c>
      <c r="F51" s="73"/>
      <c r="G51" s="115" t="s">
        <v>181</v>
      </c>
      <c r="H51" s="23" t="s">
        <v>741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417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7" t="s">
        <v>744</v>
      </c>
      <c r="G86" s="217" t="s">
        <v>354</v>
      </c>
      <c r="H86" s="26" t="s">
        <v>741</v>
      </c>
      <c r="I86" s="136" t="s">
        <v>314</v>
      </c>
      <c r="J86" s="134"/>
      <c r="K86" s="134"/>
      <c r="L86" s="134"/>
      <c r="M86" s="134"/>
      <c r="N86" s="74"/>
      <c r="O86" s="73" t="s">
        <v>754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8" t="s">
        <v>743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754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617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560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561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417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744</v>
      </c>
      <c r="G127" s="217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743</v>
      </c>
      <c r="G128" s="218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618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562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690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693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417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744</v>
      </c>
      <c r="G172" s="217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754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743</v>
      </c>
      <c r="G173" s="218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754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680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691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692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697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694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695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563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514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696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514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514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514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514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514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514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514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514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514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514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514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514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514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514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514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514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514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514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514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514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514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514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514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514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514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514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514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514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514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514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514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514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514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514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514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514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514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514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698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700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569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701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564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702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569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619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681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682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521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568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  <pageSetUpPr fitToPage="1"/>
  </sheetPr>
  <dimension ref="A1:P393"/>
  <sheetViews>
    <sheetView showGridLines="0" tabSelected="1" zoomScale="80" zoomScaleNormal="80" workbookViewId="0">
      <pane xSplit="9" ySplit="5" topLeftCell="L26" activePane="bottomRight" state="frozenSplit"/>
      <selection pane="topRight" activeCell="J1" sqref="J1"/>
      <selection pane="bottomLeft" activeCell="A261" sqref="A261"/>
      <selection pane="bottomRight" activeCell="H49" sqref="H49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675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620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537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0.12016695268137285</v>
      </c>
      <c r="I19" s="131" t="s">
        <v>314</v>
      </c>
      <c r="J19" s="135"/>
      <c r="K19" s="135"/>
      <c r="L19" s="135"/>
      <c r="M19" s="135"/>
      <c r="N19" s="74"/>
      <c r="O19" s="115" t="s">
        <v>599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621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462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463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0.70746430741726707</v>
      </c>
      <c r="I26" s="131" t="s">
        <v>314</v>
      </c>
      <c r="J26" s="135"/>
      <c r="K26" s="135"/>
      <c r="L26" s="135"/>
      <c r="M26" s="135"/>
      <c r="N26" s="74"/>
      <c r="O26" s="115" t="s">
        <v>600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433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437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726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418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601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440</v>
      </c>
      <c r="H38" s="36">
        <v>468784330.73111659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440</v>
      </c>
      <c r="H39" s="37">
        <v>105259111.15155268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440</v>
      </c>
      <c r="H40" s="37">
        <v>113465856.08063935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440</v>
      </c>
      <c r="H41" s="37">
        <v>281586529.8497836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440</v>
      </c>
      <c r="H42" s="38">
        <v>306636486.82840663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623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420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709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440</v>
      </c>
      <c r="H49" s="37">
        <v>114253023.45507929</v>
      </c>
      <c r="I49" s="143" t="s">
        <v>314</v>
      </c>
      <c r="J49" s="130"/>
      <c r="K49" s="130"/>
      <c r="L49" s="130"/>
      <c r="M49" s="130"/>
      <c r="N49" s="74"/>
      <c r="O49" s="144" t="s">
        <v>570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434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703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624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711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704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571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5998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236300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194497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3903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5782.6999999999989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16215.5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2225996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5238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10420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0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21398.2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34104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14429.7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429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207731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12294.099999999999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1779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9875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935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8754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13991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11321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34852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15750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1029.0000000000002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0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793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7311.4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725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8891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669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221.5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122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9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8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8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88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305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1444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77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575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3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203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193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82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46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0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1368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843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2776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4787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251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16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295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1704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249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356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262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1773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1264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625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710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602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438</v>
      </c>
      <c r="H152" s="36">
        <v>41700.246577433041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438</v>
      </c>
      <c r="H153" s="37">
        <v>508.53959240772008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438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438</v>
      </c>
      <c r="H155" s="37">
        <v>127134.89810193003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438</v>
      </c>
      <c r="H156" s="37">
        <v>127134.89810193003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438</v>
      </c>
      <c r="H157" s="37">
        <v>127134.89810193003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438</v>
      </c>
      <c r="H158" s="37">
        <v>1700.0732843986286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438</v>
      </c>
      <c r="H159" s="37">
        <v>5721.0704145868513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438</v>
      </c>
      <c r="H160" s="37">
        <v>5721.0704145868513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438</v>
      </c>
      <c r="H161" s="37">
        <v>5721.0704145868513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438</v>
      </c>
      <c r="H162" s="37">
        <v>4831.1261278733409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438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438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438</v>
      </c>
      <c r="H165" s="37">
        <v>43098.730456554273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438</v>
      </c>
      <c r="H166" s="37">
        <v>43098.730456554273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429</v>
      </c>
      <c r="G167" s="115" t="s">
        <v>438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438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438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438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438</v>
      </c>
      <c r="H171" s="37">
        <v>84544.707237783456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438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438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438</v>
      </c>
      <c r="H174" s="37">
        <v>13984.838791212302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438</v>
      </c>
      <c r="H175" s="37">
        <v>30893.780238768992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438</v>
      </c>
      <c r="H176" s="37">
        <v>1652.7536753250902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438</v>
      </c>
      <c r="H177" s="37">
        <v>5212.5308221791302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438</v>
      </c>
      <c r="H178" s="37">
        <v>16400.401855148972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438</v>
      </c>
      <c r="H179" s="37">
        <v>1652.7536753250902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438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438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438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438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438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438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438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438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438</v>
      </c>
      <c r="H188" s="37">
        <v>3686.91204495597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438</v>
      </c>
      <c r="H189" s="37">
        <v>11950.680421581421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438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438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438</v>
      </c>
      <c r="H192" s="37">
        <v>98402.411130893845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438</v>
      </c>
      <c r="H193" s="37">
        <v>156757.32935967969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438</v>
      </c>
      <c r="H194" s="37">
        <v>185616.95122881781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438</v>
      </c>
      <c r="H195" s="37">
        <v>185616.95122881781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438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438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438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438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438</v>
      </c>
      <c r="H200" s="37">
        <v>257066.76396210247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438</v>
      </c>
      <c r="H201" s="37">
        <v>257066.76396210247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438</v>
      </c>
      <c r="H202" s="37">
        <v>257066.76396210247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438</v>
      </c>
      <c r="H203" s="37">
        <v>1206510.1829873158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438</v>
      </c>
      <c r="H204" s="37">
        <v>1206510.1829873158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438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438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438</v>
      </c>
      <c r="H207" s="37">
        <v>184981.27673830817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438</v>
      </c>
      <c r="H208" s="37">
        <v>184981.27673830817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438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438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438</v>
      </c>
      <c r="H211" s="37">
        <v>588507.44331383402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438</v>
      </c>
      <c r="H212" s="37">
        <v>184981.27673830817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438</v>
      </c>
      <c r="H213" s="37">
        <v>697843.45568149386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438</v>
      </c>
      <c r="H214" s="37">
        <v>697843.45568149386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438</v>
      </c>
      <c r="H215" s="37">
        <v>532568.08814898483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438</v>
      </c>
      <c r="H216" s="37">
        <v>571979.90656058316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438</v>
      </c>
      <c r="H217" s="37">
        <v>11950.680421581421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438</v>
      </c>
      <c r="H218" s="37">
        <v>2234904.3737338278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438</v>
      </c>
      <c r="H219" s="37">
        <v>11950.680421581421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438</v>
      </c>
      <c r="H220" s="37">
        <v>714879.53202715248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438</v>
      </c>
      <c r="H221" s="37">
        <v>1228504.5203589497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438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438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438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438</v>
      </c>
      <c r="H225" s="37">
        <v>1239565.2564938178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438</v>
      </c>
      <c r="H226" s="37">
        <v>1239565.2564938178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438</v>
      </c>
      <c r="H227" s="37">
        <v>1239565.2564938178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438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438</v>
      </c>
      <c r="H229" s="37">
        <v>1106455.0181810968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438</v>
      </c>
      <c r="H230" s="37">
        <v>1106455.0181810968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438</v>
      </c>
      <c r="H231" s="37">
        <v>2234904.3737338278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438</v>
      </c>
      <c r="H232" s="37">
        <v>11950.680421581421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438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438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438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438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626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500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501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603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439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439</v>
      </c>
      <c r="H245" s="37">
        <v>86738652.873247191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439</v>
      </c>
      <c r="H246" s="37">
        <v>2290199.98832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439</v>
      </c>
      <c r="H247" s="37">
        <v>23607461.477008216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439</v>
      </c>
      <c r="H248" s="37">
        <v>11683384.510026801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439</v>
      </c>
      <c r="H249" s="37">
        <v>4908277.5940000005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439</v>
      </c>
      <c r="H250" s="37">
        <v>774869.38446319988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439</v>
      </c>
      <c r="H251" s="37">
        <v>5623596.7952637831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439</v>
      </c>
      <c r="H252" s="37">
        <v>4196281.057910746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439</v>
      </c>
      <c r="H253" s="37">
        <v>23392225.305936411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439</v>
      </c>
      <c r="H254" s="37">
        <v>3993267.1215815498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439</v>
      </c>
      <c r="H255" s="37">
        <v>1843095.2204672005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439</v>
      </c>
      <c r="H256" s="37">
        <v>1439482.6722359997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439</v>
      </c>
      <c r="H257" s="37">
        <v>1363081.0727301883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439</v>
      </c>
      <c r="H258" s="37">
        <v>5439945.9945200011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439</v>
      </c>
      <c r="H259" s="37">
        <v>11413705.956353251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439</v>
      </c>
      <c r="H260" s="37">
        <v>5534355.2999991588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439</v>
      </c>
      <c r="H261" s="37">
        <v>1372637.3768207175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439</v>
      </c>
      <c r="H262" s="37">
        <v>1961463.4264481019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439</v>
      </c>
      <c r="H263" s="37">
        <v>7781675.5968572572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439</v>
      </c>
      <c r="H264" s="37">
        <v>1536754.3240344031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439</v>
      </c>
      <c r="H265" s="37">
        <v>2241851.08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439</v>
      </c>
      <c r="H266" s="37">
        <v>7620000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439</v>
      </c>
      <c r="H267" s="37">
        <v>815642.07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439</v>
      </c>
      <c r="H268" s="37">
        <v>12183907.341469606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439</v>
      </c>
      <c r="H269" s="37">
        <v>0.13999999737279722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439</v>
      </c>
      <c r="H270" s="37">
        <v>1014745.8008000003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439</v>
      </c>
      <c r="H271" s="37">
        <v>-5196946.3263321621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439</v>
      </c>
      <c r="H272" s="37">
        <v>39130465.450300001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439</v>
      </c>
      <c r="H273" s="37">
        <v>20184226.800000001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439</v>
      </c>
      <c r="H274" s="37">
        <v>8000000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439</v>
      </c>
      <c r="H275" s="37">
        <v>-7620000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744</v>
      </c>
      <c r="G276" s="115" t="s">
        <v>439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743</v>
      </c>
      <c r="G277" s="117" t="s">
        <v>439</v>
      </c>
      <c r="H277" s="38">
        <v>2470943.7074936316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627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705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706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604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439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439</v>
      </c>
      <c r="H286" s="130"/>
      <c r="I286" s="130"/>
      <c r="J286" s="37">
        <v>15964378.159526384</v>
      </c>
      <c r="K286" s="37">
        <v>6928378.2203391073</v>
      </c>
      <c r="L286" s="37">
        <v>25847964.55954431</v>
      </c>
      <c r="M286" s="37">
        <v>33944558.974318989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439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439</v>
      </c>
      <c r="H288" s="130"/>
      <c r="I288" s="130"/>
      <c r="J288" s="37">
        <v>15272426.893891403</v>
      </c>
      <c r="K288" s="37">
        <v>582344.66945385642</v>
      </c>
      <c r="L288" s="37">
        <v>5279170.858943522</v>
      </c>
      <c r="M288" s="37">
        <v>2714932.7240017327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439</v>
      </c>
      <c r="H289" s="130"/>
      <c r="I289" s="130"/>
      <c r="J289" s="37">
        <v>1544112.575676091</v>
      </c>
      <c r="K289" s="37">
        <v>5284050.4964611931</v>
      </c>
      <c r="L289" s="37">
        <v>436263.57364726916</v>
      </c>
      <c r="M289" s="37">
        <v>2704219.8642422459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439</v>
      </c>
      <c r="H290" s="130"/>
      <c r="I290" s="130"/>
      <c r="J290" s="37">
        <v>3100832.1843072716</v>
      </c>
      <c r="K290" s="37">
        <v>0</v>
      </c>
      <c r="L290" s="37">
        <v>5282047.5418532779</v>
      </c>
      <c r="M290" s="37">
        <v>541261.35383944947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439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439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439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439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439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439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439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439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439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439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439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439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439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439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439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439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439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439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439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439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439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439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439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439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439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439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744</v>
      </c>
      <c r="G317" s="115" t="s">
        <v>439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743</v>
      </c>
      <c r="G318" s="117" t="s">
        <v>439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628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464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465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605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439</v>
      </c>
      <c r="H326" s="36">
        <v>3833598.9292598576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439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439</v>
      </c>
      <c r="H328" s="37">
        <v>5609437.7182151098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439</v>
      </c>
      <c r="H329" s="38">
        <v>10180000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629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466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685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428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595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440</v>
      </c>
      <c r="H337" s="36">
        <v>166879895.26277938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440</v>
      </c>
      <c r="H338" s="37">
        <v>50467924.447354972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440</v>
      </c>
      <c r="H339" s="37">
        <v>195577295.74351519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440</v>
      </c>
      <c r="H340" s="37">
        <v>187024482.49234807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440</v>
      </c>
      <c r="H341" s="38">
        <v>349083944.99724865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630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467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468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0.20864462848279788</v>
      </c>
      <c r="I348" s="131" t="s">
        <v>314</v>
      </c>
      <c r="J348" s="135"/>
      <c r="K348" s="135"/>
      <c r="L348" s="135"/>
      <c r="M348" s="135"/>
      <c r="N348" s="74"/>
      <c r="O348" s="115" t="s">
        <v>572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707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423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596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440</v>
      </c>
      <c r="H355" s="36">
        <v>419826929.15108359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440</v>
      </c>
      <c r="H356" s="37">
        <v>413099999.99999994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440</v>
      </c>
      <c r="H357" s="38">
        <v>378263000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631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424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439</v>
      </c>
      <c r="H363" s="37">
        <v>285365694.00000006</v>
      </c>
      <c r="I363" s="143" t="s">
        <v>314</v>
      </c>
      <c r="J363" s="130"/>
      <c r="K363" s="130"/>
      <c r="L363" s="130"/>
      <c r="M363" s="130"/>
      <c r="N363" s="74"/>
      <c r="O363" s="115" t="s">
        <v>573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632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725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439</v>
      </c>
      <c r="H369" s="37">
        <v>7172595</v>
      </c>
      <c r="I369" s="143" t="s">
        <v>314</v>
      </c>
      <c r="J369" s="130"/>
      <c r="K369" s="130"/>
      <c r="L369" s="130"/>
      <c r="M369" s="130"/>
      <c r="N369" s="74"/>
      <c r="O369" s="115" t="s">
        <v>573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633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469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470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439</v>
      </c>
      <c r="H376" s="37">
        <v>10309999.999999998</v>
      </c>
      <c r="I376" s="143" t="s">
        <v>314</v>
      </c>
      <c r="J376" s="130"/>
      <c r="K376" s="130"/>
      <c r="L376" s="130"/>
      <c r="M376" s="130"/>
      <c r="N376" s="74"/>
      <c r="O376" s="115" t="s">
        <v>597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634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426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598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616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9051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17084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635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427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425</v>
      </c>
      <c r="F391" s="73"/>
      <c r="G391" s="115" t="s">
        <v>177</v>
      </c>
      <c r="H391" s="37">
        <v>1381</v>
      </c>
      <c r="I391" s="143" t="s">
        <v>314</v>
      </c>
      <c r="J391" s="130"/>
      <c r="K391" s="130"/>
      <c r="L391" s="130"/>
      <c r="M391" s="130"/>
      <c r="N391" s="74"/>
      <c r="O391" s="148" t="s">
        <v>569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allowBlank="1" showInputMessage="1" showErrorMessage="1" errorTitle="LV mains split" error="Insert value greater than or equal to 0%" promptTitle="LV mains split" prompt="Minimum value 0%" sqref="H19"/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8" scale="65" fitToHeight="5" orientation="portrait" r:id="rId1"/>
  <headerFooter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7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H145 &amp; IF(H145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460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686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5998</v>
      </c>
      <c r="K20" s="152">
        <f>'DNO inputs'!H62</f>
        <v>236300</v>
      </c>
      <c r="L20" s="152">
        <f>'DNO inputs'!H63</f>
        <v>194497</v>
      </c>
      <c r="M20" s="152">
        <f>'DNO inputs'!H64</f>
        <v>3903</v>
      </c>
      <c r="N20" s="152">
        <f>'DNO inputs'!H65</f>
        <v>5782.6999999999989</v>
      </c>
      <c r="O20" s="152">
        <f>'DNO inputs'!H66</f>
        <v>16215.5</v>
      </c>
      <c r="P20" s="152">
        <f>'DNO inputs'!H67</f>
        <v>2225996</v>
      </c>
      <c r="Q20" s="152">
        <f>'DNO inputs'!H68</f>
        <v>5238</v>
      </c>
      <c r="R20" s="152">
        <f>'DNO inputs'!H69</f>
        <v>10420</v>
      </c>
      <c r="S20" s="152">
        <f>'DNO inputs'!H70</f>
        <v>0</v>
      </c>
      <c r="T20" s="152">
        <f>'DNO inputs'!H71</f>
        <v>21398.2</v>
      </c>
      <c r="U20" s="152">
        <f>'DNO inputs'!H72</f>
        <v>34104</v>
      </c>
      <c r="V20" s="152">
        <f>'DNO inputs'!H73</f>
        <v>0</v>
      </c>
      <c r="W20" s="152">
        <f>'DNO inputs'!H74</f>
        <v>14429.7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207731</v>
      </c>
      <c r="AB20" s="152">
        <f>'DNO inputs'!H79</f>
        <v>0</v>
      </c>
      <c r="AC20" s="152">
        <f>'DNO inputs'!H80</f>
        <v>12294.099999999999</v>
      </c>
      <c r="AD20" s="152">
        <f>'DNO inputs'!H81</f>
        <v>0</v>
      </c>
      <c r="AE20" s="152">
        <f>'DNO inputs'!H82</f>
        <v>0</v>
      </c>
      <c r="AF20" s="152">
        <f>'DNO inputs'!H83</f>
        <v>1779</v>
      </c>
      <c r="AG20" s="152">
        <f>'DNO inputs'!H84</f>
        <v>9875</v>
      </c>
      <c r="AH20" s="152">
        <f>'DNO inputs'!H85</f>
        <v>935</v>
      </c>
      <c r="AI20" s="152">
        <f>'DNO inputs'!H86</f>
        <v>8754</v>
      </c>
      <c r="AJ20" s="152">
        <f>'DNO inputs'!H87</f>
        <v>13991</v>
      </c>
      <c r="AK20" s="152">
        <f>'DNO inputs'!H88</f>
        <v>11321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34852</v>
      </c>
      <c r="AU20" s="152">
        <f>'DNO inputs'!H98</f>
        <v>15750</v>
      </c>
      <c r="AV20" s="152">
        <f>'DNO inputs'!H99</f>
        <v>0</v>
      </c>
      <c r="AW20" s="152">
        <f>'DNO inputs'!H100</f>
        <v>0</v>
      </c>
      <c r="AX20" s="152">
        <f>'DNO inputs'!H101</f>
        <v>1029.0000000000002</v>
      </c>
      <c r="AY20" s="152">
        <f>'DNO inputs'!H102</f>
        <v>0</v>
      </c>
      <c r="AZ20" s="152">
        <f>'DNO inputs'!H103</f>
        <v>793</v>
      </c>
      <c r="BA20" s="152">
        <f>'DNO inputs'!H104</f>
        <v>0</v>
      </c>
      <c r="BB20" s="152">
        <f>'DNO inputs'!H105</f>
        <v>7311.4</v>
      </c>
      <c r="BC20" s="152">
        <f>'DNO inputs'!H106</f>
        <v>725</v>
      </c>
      <c r="BD20" s="152">
        <f>'DNO inputs'!H107</f>
        <v>8891</v>
      </c>
      <c r="BE20" s="152">
        <f>'DNO inputs'!H108</f>
        <v>669</v>
      </c>
      <c r="BF20" s="152">
        <f>'DNO inputs'!H109</f>
        <v>221.5</v>
      </c>
      <c r="BG20" s="152">
        <f>'DNO inputs'!H110</f>
        <v>122</v>
      </c>
      <c r="BH20" s="152">
        <f>'DNO inputs'!H111</f>
        <v>9</v>
      </c>
      <c r="BI20" s="152">
        <f>'DNO inputs'!H112</f>
        <v>8</v>
      </c>
      <c r="BJ20" s="152">
        <f>'DNO inputs'!H113</f>
        <v>8</v>
      </c>
      <c r="BK20" s="152">
        <f>'DNO inputs'!H114</f>
        <v>0</v>
      </c>
      <c r="BL20" s="152">
        <f>'DNO inputs'!H115</f>
        <v>0</v>
      </c>
      <c r="BM20" s="152">
        <f>'DNO inputs'!H116</f>
        <v>88</v>
      </c>
      <c r="BN20" s="152">
        <f>'DNO inputs'!H117</f>
        <v>305</v>
      </c>
      <c r="BO20" s="152">
        <f>'DNO inputs'!H118</f>
        <v>0</v>
      </c>
      <c r="BP20" s="152">
        <f>'DNO inputs'!H119</f>
        <v>0</v>
      </c>
      <c r="BQ20" s="152">
        <f>'DNO inputs'!H120</f>
        <v>0</v>
      </c>
      <c r="BR20" s="152">
        <f>'DNO inputs'!H121</f>
        <v>1444</v>
      </c>
      <c r="BS20" s="152">
        <f>'DNO inputs'!H122</f>
        <v>77</v>
      </c>
      <c r="BT20" s="152">
        <f>'DNO inputs'!H123</f>
        <v>575</v>
      </c>
      <c r="BU20" s="152">
        <f>'DNO inputs'!H124</f>
        <v>3</v>
      </c>
      <c r="BV20" s="152">
        <f>'DNO inputs'!H125</f>
        <v>203</v>
      </c>
      <c r="BW20" s="152">
        <f>'DNO inputs'!H126</f>
        <v>193</v>
      </c>
      <c r="BX20" s="152">
        <f>'DNO inputs'!H127</f>
        <v>82</v>
      </c>
      <c r="BY20" s="152">
        <f>'DNO inputs'!H128</f>
        <v>46</v>
      </c>
      <c r="BZ20" s="152">
        <f>'DNO inputs'!H129</f>
        <v>0</v>
      </c>
      <c r="CA20" s="152">
        <f>'DNO inputs'!H130</f>
        <v>1368</v>
      </c>
      <c r="CB20" s="152">
        <f>'DNO inputs'!H131</f>
        <v>843</v>
      </c>
      <c r="CC20" s="152">
        <f>'DNO inputs'!H132</f>
        <v>2776</v>
      </c>
      <c r="CD20" s="152">
        <f>'DNO inputs'!H133</f>
        <v>4787</v>
      </c>
      <c r="CE20" s="152">
        <f>'DNO inputs'!H134</f>
        <v>43</v>
      </c>
      <c r="CF20" s="152">
        <f>'DNO inputs'!H135</f>
        <v>251</v>
      </c>
      <c r="CG20" s="152">
        <f>'DNO inputs'!H136</f>
        <v>16</v>
      </c>
      <c r="CH20" s="152">
        <f>'DNO inputs'!H137</f>
        <v>0</v>
      </c>
      <c r="CI20" s="152">
        <f>'DNO inputs'!H138</f>
        <v>295</v>
      </c>
      <c r="CJ20" s="152">
        <f>'DNO inputs'!H139</f>
        <v>1704</v>
      </c>
      <c r="CK20" s="152">
        <f>'DNO inputs'!H140</f>
        <v>249</v>
      </c>
      <c r="CL20" s="152">
        <f>'DNO inputs'!H141</f>
        <v>356</v>
      </c>
      <c r="CM20" s="152">
        <f>'DNO inputs'!H142</f>
        <v>2</v>
      </c>
      <c r="CN20" s="152">
        <f>'DNO inputs'!H143</f>
        <v>262</v>
      </c>
      <c r="CO20" s="152">
        <f>'DNO inputs'!H144</f>
        <v>1773</v>
      </c>
      <c r="CP20" s="152">
        <f>'DNO inputs'!H145</f>
        <v>1264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41700.246577433041</v>
      </c>
      <c r="K21" s="152">
        <f>'DNO inputs'!H153</f>
        <v>508.53959240772008</v>
      </c>
      <c r="L21" s="152">
        <f>'DNO inputs'!H154</f>
        <v>0</v>
      </c>
      <c r="M21" s="152">
        <f>'DNO inputs'!H155</f>
        <v>127134.89810193003</v>
      </c>
      <c r="N21" s="152">
        <f>'DNO inputs'!H156</f>
        <v>127134.89810193003</v>
      </c>
      <c r="O21" s="152">
        <f>'DNO inputs'!H157</f>
        <v>127134.89810193003</v>
      </c>
      <c r="P21" s="152">
        <f>'DNO inputs'!H158</f>
        <v>1700.0732843986286</v>
      </c>
      <c r="Q21" s="152">
        <f>'DNO inputs'!H159</f>
        <v>5721.0704145868513</v>
      </c>
      <c r="R21" s="152">
        <f>'DNO inputs'!H160</f>
        <v>5721.0704145868513</v>
      </c>
      <c r="S21" s="152">
        <f>'DNO inputs'!H161</f>
        <v>5721.0704145868513</v>
      </c>
      <c r="T21" s="152">
        <f>'DNO inputs'!H162</f>
        <v>4831.1261278733409</v>
      </c>
      <c r="U21" s="152">
        <f>'DNO inputs'!H163</f>
        <v>0</v>
      </c>
      <c r="V21" s="152">
        <f>'DNO inputs'!H164</f>
        <v>0</v>
      </c>
      <c r="W21" s="152">
        <f>'DNO inputs'!H165</f>
        <v>43098.730456554273</v>
      </c>
      <c r="X21" s="152">
        <f>'DNO inputs'!H166</f>
        <v>43098.730456554273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84544.707237783456</v>
      </c>
      <c r="AD21" s="152">
        <f>'DNO inputs'!H172</f>
        <v>0</v>
      </c>
      <c r="AE21" s="152">
        <f>'DNO inputs'!H173</f>
        <v>0</v>
      </c>
      <c r="AF21" s="152">
        <f>'DNO inputs'!H174</f>
        <v>13984.838791212302</v>
      </c>
      <c r="AG21" s="152">
        <f>'DNO inputs'!H175</f>
        <v>30893.780238768992</v>
      </c>
      <c r="AH21" s="152">
        <f>'DNO inputs'!H176</f>
        <v>1652.7536753250902</v>
      </c>
      <c r="AI21" s="152">
        <f>'DNO inputs'!H177</f>
        <v>5212.5308221791302</v>
      </c>
      <c r="AJ21" s="152">
        <f>'DNO inputs'!H178</f>
        <v>16400.401855148972</v>
      </c>
      <c r="AK21" s="152">
        <f>'DNO inputs'!H179</f>
        <v>1652.7536753250902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3686.91204495597</v>
      </c>
      <c r="AU21" s="152">
        <f>'DNO inputs'!H189</f>
        <v>11950.680421581421</v>
      </c>
      <c r="AV21" s="152">
        <f>'DNO inputs'!H190</f>
        <v>0</v>
      </c>
      <c r="AW21" s="152">
        <f>'DNO inputs'!H191</f>
        <v>0</v>
      </c>
      <c r="AX21" s="152">
        <f>'DNO inputs'!H192</f>
        <v>98402.411130893845</v>
      </c>
      <c r="AY21" s="152">
        <f>'DNO inputs'!H193</f>
        <v>156757.32935967969</v>
      </c>
      <c r="AZ21" s="152">
        <f>'DNO inputs'!H194</f>
        <v>185616.95122881781</v>
      </c>
      <c r="BA21" s="152">
        <f>'DNO inputs'!H195</f>
        <v>185616.95122881781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257066.76396210247</v>
      </c>
      <c r="BG21" s="152">
        <f>'DNO inputs'!H201</f>
        <v>257066.76396210247</v>
      </c>
      <c r="BH21" s="152">
        <f>'DNO inputs'!H202</f>
        <v>257066.76396210247</v>
      </c>
      <c r="BI21" s="152">
        <f>'DNO inputs'!H203</f>
        <v>1206510.1829873158</v>
      </c>
      <c r="BJ21" s="152">
        <f>'DNO inputs'!H204</f>
        <v>1206510.1829873158</v>
      </c>
      <c r="BK21" s="152">
        <f>'DNO inputs'!H205</f>
        <v>0</v>
      </c>
      <c r="BL21" s="152">
        <f>'DNO inputs'!H206</f>
        <v>0</v>
      </c>
      <c r="BM21" s="152">
        <f>'DNO inputs'!H207</f>
        <v>184981.27673830817</v>
      </c>
      <c r="BN21" s="152">
        <f>'DNO inputs'!H208</f>
        <v>184981.27673830817</v>
      </c>
      <c r="BO21" s="152">
        <f>'DNO inputs'!H209</f>
        <v>0</v>
      </c>
      <c r="BP21" s="152">
        <f>'DNO inputs'!H210</f>
        <v>0</v>
      </c>
      <c r="BQ21" s="152">
        <f>'DNO inputs'!H211</f>
        <v>588507.44331383402</v>
      </c>
      <c r="BR21" s="152">
        <f>'DNO inputs'!H212</f>
        <v>184981.27673830817</v>
      </c>
      <c r="BS21" s="152">
        <f>'DNO inputs'!H213</f>
        <v>697843.45568149386</v>
      </c>
      <c r="BT21" s="152">
        <f>'DNO inputs'!H214</f>
        <v>697843.45568149386</v>
      </c>
      <c r="BU21" s="152">
        <f>'DNO inputs'!H215</f>
        <v>532568.08814898483</v>
      </c>
      <c r="BV21" s="152">
        <f>'DNO inputs'!H216</f>
        <v>571979.90656058316</v>
      </c>
      <c r="BW21" s="152">
        <f>'DNO inputs'!H217</f>
        <v>11950.680421581421</v>
      </c>
      <c r="BX21" s="152">
        <f>'DNO inputs'!H218</f>
        <v>2234904.3737338278</v>
      </c>
      <c r="BY21" s="152">
        <f>'DNO inputs'!H219</f>
        <v>11950.680421581421</v>
      </c>
      <c r="BZ21" s="152">
        <f>'DNO inputs'!H220</f>
        <v>714879.53202715248</v>
      </c>
      <c r="CA21" s="152">
        <f>'DNO inputs'!H221</f>
        <v>1228504.5203589497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1239565.2564938178</v>
      </c>
      <c r="CF21" s="152">
        <f>'DNO inputs'!H226</f>
        <v>1239565.2564938178</v>
      </c>
      <c r="CG21" s="152">
        <f>'DNO inputs'!H227</f>
        <v>1239565.2564938178</v>
      </c>
      <c r="CH21" s="152">
        <f>'DNO inputs'!H228</f>
        <v>0</v>
      </c>
      <c r="CI21" s="152">
        <f>'DNO inputs'!H229</f>
        <v>1106455.0181810968</v>
      </c>
      <c r="CJ21" s="152">
        <f>'DNO inputs'!H230</f>
        <v>1106455.0181810968</v>
      </c>
      <c r="CK21" s="152">
        <f>'DNO inputs'!H231</f>
        <v>2234904.3737338278</v>
      </c>
      <c r="CL21" s="152">
        <f>'DNO inputs'!H232</f>
        <v>11950.680421581421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441</v>
      </c>
      <c r="H24" s="130"/>
      <c r="I24" s="143" t="s">
        <v>314</v>
      </c>
      <c r="J24" s="130">
        <f>J20 * J21 / $H22</f>
        <v>250.1180789714434</v>
      </c>
      <c r="K24" s="130">
        <f t="shared" ref="K24:BV24" si="0">K20 * K21 / $H22</f>
        <v>120.16790568594426</v>
      </c>
      <c r="L24" s="130">
        <f t="shared" si="0"/>
        <v>0</v>
      </c>
      <c r="M24" s="130">
        <f t="shared" si="0"/>
        <v>496.20750729183288</v>
      </c>
      <c r="N24" s="130">
        <f t="shared" si="0"/>
        <v>735.18297525403057</v>
      </c>
      <c r="O24" s="130">
        <f t="shared" si="0"/>
        <v>2061.5559401718465</v>
      </c>
      <c r="P24" s="130">
        <f t="shared" si="0"/>
        <v>3784.3563307782097</v>
      </c>
      <c r="Q24" s="130">
        <f t="shared" si="0"/>
        <v>29.966966831605927</v>
      </c>
      <c r="R24" s="130">
        <f t="shared" si="0"/>
        <v>59.613553719994989</v>
      </c>
      <c r="S24" s="130">
        <f t="shared" si="0"/>
        <v>0</v>
      </c>
      <c r="T24" s="130">
        <f t="shared" si="0"/>
        <v>103.37740310945932</v>
      </c>
      <c r="U24" s="130">
        <f t="shared" si="0"/>
        <v>0</v>
      </c>
      <c r="V24" s="130">
        <f t="shared" si="0"/>
        <v>0</v>
      </c>
      <c r="W24" s="130">
        <f t="shared" si="0"/>
        <v>621.90175086894124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1039.4010852520335</v>
      </c>
      <c r="AD24" s="130">
        <f t="shared" si="0"/>
        <v>0</v>
      </c>
      <c r="AE24" s="130">
        <f t="shared" si="0"/>
        <v>0</v>
      </c>
      <c r="AF24" s="130">
        <f t="shared" si="0"/>
        <v>24.879028209566687</v>
      </c>
      <c r="AG24" s="130">
        <f t="shared" si="0"/>
        <v>305.07607985784381</v>
      </c>
      <c r="AH24" s="130">
        <f t="shared" si="0"/>
        <v>1.5453246864289591</v>
      </c>
      <c r="AI24" s="130">
        <f t="shared" si="0"/>
        <v>45.630494817356102</v>
      </c>
      <c r="AJ24" s="130">
        <f t="shared" si="0"/>
        <v>229.45802235538926</v>
      </c>
      <c r="AK24" s="130">
        <f t="shared" si="0"/>
        <v>18.710824358355346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128.49625859080547</v>
      </c>
      <c r="AU24" s="130">
        <f t="shared" si="0"/>
        <v>188.22321663990738</v>
      </c>
      <c r="AV24" s="130">
        <f t="shared" si="0"/>
        <v>0</v>
      </c>
      <c r="AW24" s="130">
        <f t="shared" si="0"/>
        <v>0</v>
      </c>
      <c r="AX24" s="130">
        <f t="shared" si="0"/>
        <v>101.2560810536898</v>
      </c>
      <c r="AY24" s="130">
        <f t="shared" si="0"/>
        <v>0</v>
      </c>
      <c r="AZ24" s="130">
        <f t="shared" si="0"/>
        <v>147.19424232445252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56.940288217605698</v>
      </c>
      <c r="BG24" s="130">
        <f t="shared" si="0"/>
        <v>31.362145203376503</v>
      </c>
      <c r="BH24" s="130">
        <f t="shared" si="0"/>
        <v>2.3136008756589224</v>
      </c>
      <c r="BI24" s="130">
        <f t="shared" si="0"/>
        <v>9.6520814638985257</v>
      </c>
      <c r="BJ24" s="130">
        <f t="shared" si="0"/>
        <v>9.6520814638985257</v>
      </c>
      <c r="BK24" s="130">
        <f t="shared" si="0"/>
        <v>0</v>
      </c>
      <c r="BL24" s="130">
        <f t="shared" si="0"/>
        <v>0</v>
      </c>
      <c r="BM24" s="130">
        <f t="shared" si="0"/>
        <v>16.278352352971119</v>
      </c>
      <c r="BN24" s="130">
        <f t="shared" si="0"/>
        <v>56.419289405183996</v>
      </c>
      <c r="BO24" s="130">
        <f t="shared" si="0"/>
        <v>0</v>
      </c>
      <c r="BP24" s="130">
        <f t="shared" si="0"/>
        <v>0</v>
      </c>
      <c r="BQ24" s="130">
        <f t="shared" si="0"/>
        <v>0</v>
      </c>
      <c r="BR24" s="130">
        <f t="shared" si="0"/>
        <v>267.11296361011699</v>
      </c>
      <c r="BS24" s="130">
        <f t="shared" si="0"/>
        <v>53.733946087475026</v>
      </c>
      <c r="BT24" s="130">
        <f t="shared" si="0"/>
        <v>401.25998701685899</v>
      </c>
      <c r="BU24" s="130">
        <f t="shared" si="0"/>
        <v>1.5977042644469546</v>
      </c>
      <c r="BV24" s="130">
        <f t="shared" si="0"/>
        <v>116.11192103179837</v>
      </c>
      <c r="BW24" s="130">
        <f t="shared" ref="BW24:CP24" si="1">BW20 * BW21 / $H22</f>
        <v>2.3064813213652142</v>
      </c>
      <c r="BX24" s="130">
        <f t="shared" si="1"/>
        <v>183.2621586461739</v>
      </c>
      <c r="BY24" s="130">
        <f t="shared" si="1"/>
        <v>0.54973129939274534</v>
      </c>
      <c r="BZ24" s="130">
        <f t="shared" si="1"/>
        <v>0</v>
      </c>
      <c r="CA24" s="130">
        <f t="shared" si="1"/>
        <v>1680.5941838510432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53.301306029234162</v>
      </c>
      <c r="CF24" s="130">
        <f t="shared" si="1"/>
        <v>311.13087937994828</v>
      </c>
      <c r="CG24" s="130">
        <f t="shared" si="1"/>
        <v>19.833044103901084</v>
      </c>
      <c r="CH24" s="130">
        <f t="shared" si="1"/>
        <v>0</v>
      </c>
      <c r="CI24" s="130">
        <f t="shared" si="1"/>
        <v>326.40423036342355</v>
      </c>
      <c r="CJ24" s="130">
        <f t="shared" si="1"/>
        <v>1885.3993509805889</v>
      </c>
      <c r="CK24" s="130">
        <f t="shared" si="1"/>
        <v>556.49118905972318</v>
      </c>
      <c r="CL24" s="130">
        <f t="shared" si="1"/>
        <v>4.2544422300829856</v>
      </c>
      <c r="CM24" s="130">
        <f t="shared" si="1"/>
        <v>0.12529000000000001</v>
      </c>
      <c r="CN24" s="130">
        <f t="shared" si="1"/>
        <v>16.412990000000001</v>
      </c>
      <c r="CO24" s="130">
        <f t="shared" si="1"/>
        <v>111.069585</v>
      </c>
      <c r="CP24" s="130">
        <f t="shared" si="1"/>
        <v>79.183279999999996</v>
      </c>
      <c r="CQ24" s="74"/>
      <c r="CR24" s="115" t="s">
        <v>571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441</v>
      </c>
      <c r="H25" s="130">
        <f>SUM(J24:CP24)</f>
        <v>16745.071574087309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672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571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526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574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714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571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3904.524236464154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3736.0224253502133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591.80799240345823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2201.7669582331696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6310.9499616363082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16745.071574087306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515</v>
      </c>
      <c r="F59" s="73"/>
      <c r="G59" s="115" t="s">
        <v>471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516</v>
      </c>
      <c r="F60" s="73"/>
      <c r="G60" s="115" t="s">
        <v>471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x14ac:dyDescent="0.25">
      <c r="A61" s="73"/>
      <c r="B61" s="73"/>
      <c r="C61" s="73"/>
      <c r="D61" s="73"/>
      <c r="E61" s="115" t="s">
        <v>527</v>
      </c>
      <c r="F61" s="73"/>
      <c r="G61" s="115" t="s">
        <v>231</v>
      </c>
      <c r="H61" s="136">
        <f>IF(H58 = H25, 0, 1)</f>
        <v>0</v>
      </c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74"/>
      <c r="CR61" s="73"/>
      <c r="CS61" s="42"/>
    </row>
    <row r="62" spans="1:97" x14ac:dyDescent="0.25">
      <c r="A62" s="73"/>
      <c r="B62" s="73"/>
      <c r="C62" s="73"/>
      <c r="D62" s="73"/>
      <c r="E62" s="109"/>
      <c r="F62" s="73"/>
      <c r="G62" s="73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3"/>
      <c r="CS62" s="42"/>
    </row>
    <row r="63" spans="1:97" x14ac:dyDescent="0.25">
      <c r="A63" s="115"/>
      <c r="B63" s="73"/>
      <c r="C63" s="73"/>
      <c r="D63" s="73"/>
      <c r="E63" s="112" t="s">
        <v>338</v>
      </c>
      <c r="F63" s="73"/>
      <c r="G63" s="73"/>
      <c r="H63" s="74"/>
      <c r="I63" s="132" t="s">
        <v>314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115" t="s">
        <v>571</v>
      </c>
      <c r="CS63" s="42"/>
    </row>
    <row r="64" spans="1:97" x14ac:dyDescent="0.25">
      <c r="A64" s="73"/>
      <c r="B64" s="73"/>
      <c r="C64" s="73"/>
      <c r="D64" s="73"/>
      <c r="E64" s="73"/>
      <c r="F64" s="113" t="s">
        <v>193</v>
      </c>
      <c r="G64" s="113" t="s">
        <v>44</v>
      </c>
      <c r="H64" s="153">
        <f>IF(H$60, H52 / H$58, 0)</f>
        <v>0.23317453252969872</v>
      </c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74"/>
      <c r="CR64" s="73"/>
      <c r="CS64" s="42"/>
    </row>
    <row r="65" spans="1:97" x14ac:dyDescent="0.25">
      <c r="A65" s="73"/>
      <c r="B65" s="73"/>
      <c r="C65" s="73"/>
      <c r="D65" s="73"/>
      <c r="E65" s="73"/>
      <c r="F65" s="115" t="s">
        <v>194</v>
      </c>
      <c r="G65" s="115" t="s">
        <v>44</v>
      </c>
      <c r="H65" s="154">
        <f>IF(H$60, H53 / H$58, 0)</f>
        <v>0.22311176209790828</v>
      </c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74"/>
      <c r="CR65" s="73"/>
      <c r="CS65" s="42"/>
    </row>
    <row r="66" spans="1:97" x14ac:dyDescent="0.25">
      <c r="A66" s="73"/>
      <c r="B66" s="73"/>
      <c r="C66" s="73"/>
      <c r="D66" s="73"/>
      <c r="E66" s="73"/>
      <c r="F66" s="115" t="s">
        <v>41</v>
      </c>
      <c r="G66" s="115" t="s">
        <v>44</v>
      </c>
      <c r="H66" s="154">
        <f>IF(H$60, H54 / H$58, 0)</f>
        <v>3.5342219338092909E-2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40</v>
      </c>
      <c r="G67" s="115" t="s">
        <v>44</v>
      </c>
      <c r="H67" s="154">
        <f>IF(H$60, H55 / H$58, 0)</f>
        <v>0.13148746175802342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7" t="s">
        <v>166</v>
      </c>
      <c r="G68" s="117" t="s">
        <v>44</v>
      </c>
      <c r="H68" s="155">
        <f>IF(H$60, H56 / H$58, 0)</f>
        <v>0.37688402427627654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73"/>
      <c r="G69" s="73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3"/>
      <c r="CS69" s="42"/>
    </row>
    <row r="70" spans="1:97" x14ac:dyDescent="0.25">
      <c r="A70" s="73"/>
      <c r="B70" s="73"/>
      <c r="C70" s="73"/>
      <c r="D70" s="73"/>
      <c r="E70" s="115" t="s">
        <v>239</v>
      </c>
      <c r="F70" s="73"/>
      <c r="G70" s="115" t="s">
        <v>231</v>
      </c>
      <c r="H70" s="136">
        <f>IF(SUM(H64:H68)= 1, 0, 1)</f>
        <v>0</v>
      </c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6"/>
      <c r="CH70" s="136"/>
      <c r="CI70" s="136"/>
      <c r="CJ70" s="136"/>
      <c r="CK70" s="136"/>
      <c r="CL70" s="136"/>
      <c r="CM70" s="136"/>
      <c r="CN70" s="136"/>
      <c r="CO70" s="136"/>
      <c r="CP70" s="136"/>
      <c r="CQ70" s="74"/>
      <c r="CR70" s="73"/>
      <c r="CS70" s="42"/>
    </row>
    <row r="71" spans="1:97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115"/>
      <c r="B72" s="73"/>
      <c r="C72" s="73"/>
      <c r="D72" s="73"/>
      <c r="E72" s="112" t="s">
        <v>339</v>
      </c>
      <c r="F72" s="73"/>
      <c r="G72" s="73"/>
      <c r="H72" s="74"/>
      <c r="I72" s="132" t="s">
        <v>314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115" t="s">
        <v>357</v>
      </c>
      <c r="CS72" s="42"/>
    </row>
    <row r="73" spans="1:97" x14ac:dyDescent="0.25">
      <c r="A73" s="73"/>
      <c r="B73" s="73"/>
      <c r="C73" s="73"/>
      <c r="D73" s="73"/>
      <c r="E73" s="73"/>
      <c r="F73" s="113" t="s">
        <v>240</v>
      </c>
      <c r="G73" s="113" t="s">
        <v>44</v>
      </c>
      <c r="H73" s="153">
        <f>IF(H$59, H64 / (H$64 + H$65), 0)</f>
        <v>0.51102681644207948</v>
      </c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74"/>
      <c r="CR73" s="73"/>
      <c r="CS73" s="42"/>
    </row>
    <row r="74" spans="1:97" x14ac:dyDescent="0.25">
      <c r="A74" s="73"/>
      <c r="B74" s="73"/>
      <c r="C74" s="73"/>
      <c r="D74" s="73"/>
      <c r="E74" s="73"/>
      <c r="F74" s="117" t="s">
        <v>241</v>
      </c>
      <c r="G74" s="117" t="s">
        <v>44</v>
      </c>
      <c r="H74" s="150">
        <f>IF(H$59, H65 / (H$64 + H$65), 0)</f>
        <v>0.48897318355792052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74"/>
      <c r="CR74" s="73"/>
      <c r="CS74" s="42"/>
    </row>
    <row r="75" spans="1:97" x14ac:dyDescent="0.25">
      <c r="A75" s="73"/>
      <c r="B75" s="73"/>
      <c r="C75" s="73"/>
      <c r="D75" s="73"/>
      <c r="E75" s="73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3"/>
      <c r="CS75" s="42"/>
    </row>
    <row r="76" spans="1:97" x14ac:dyDescent="0.25">
      <c r="A76" s="73"/>
      <c r="B76" s="73"/>
      <c r="C76" s="73"/>
      <c r="D76" s="73"/>
      <c r="E76" s="115" t="s">
        <v>239</v>
      </c>
      <c r="F76" s="73"/>
      <c r="G76" s="115" t="s">
        <v>231</v>
      </c>
      <c r="H76" s="136">
        <f>IF(SUM(H73:H74)= 1, 0, 1)</f>
        <v>0</v>
      </c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  <c r="CH76" s="136"/>
      <c r="CI76" s="136"/>
      <c r="CJ76" s="136"/>
      <c r="CK76" s="136"/>
      <c r="CL76" s="136"/>
      <c r="CM76" s="136"/>
      <c r="CN76" s="136"/>
      <c r="CO76" s="136"/>
      <c r="CP76" s="136"/>
      <c r="CQ76" s="74"/>
      <c r="CR76" s="73"/>
      <c r="CS76" s="42"/>
    </row>
    <row r="77" spans="1:97" x14ac:dyDescent="0.25">
      <c r="A77" s="73"/>
      <c r="B77" s="73"/>
      <c r="C77" s="73"/>
      <c r="D77" s="73"/>
      <c r="E77" s="109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s="17" customFormat="1" x14ac:dyDescent="0.25">
      <c r="A78" s="73"/>
      <c r="B78" s="101"/>
      <c r="C78" s="110" t="s">
        <v>715</v>
      </c>
      <c r="D78" s="110"/>
      <c r="E78" s="110"/>
      <c r="F78" s="110"/>
      <c r="G78" s="110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0"/>
      <c r="CS78" s="42"/>
    </row>
    <row r="79" spans="1:97" s="17" customFormat="1" x14ac:dyDescent="0.25">
      <c r="A79" s="73"/>
      <c r="B79" s="73"/>
      <c r="C79" s="109"/>
      <c r="D79" s="109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x14ac:dyDescent="0.25">
      <c r="A80" s="115"/>
      <c r="B80" s="73"/>
      <c r="C80" s="73"/>
      <c r="D80" s="73"/>
      <c r="E80" s="112" t="s">
        <v>322</v>
      </c>
      <c r="F80" s="73"/>
      <c r="G80" s="73"/>
      <c r="H80" s="74"/>
      <c r="I80" s="132" t="s">
        <v>314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115" t="s">
        <v>606</v>
      </c>
      <c r="CS80" s="42"/>
    </row>
    <row r="81" spans="1:97" x14ac:dyDescent="0.25">
      <c r="A81" s="73"/>
      <c r="B81" s="73"/>
      <c r="C81" s="73"/>
      <c r="D81" s="73"/>
      <c r="E81" s="73"/>
      <c r="F81" s="113" t="s">
        <v>38</v>
      </c>
      <c r="G81" s="113" t="str">
        <f>G$24</f>
        <v>£m</v>
      </c>
      <c r="H81" s="145">
        <f>SUMPRODUCT(J44:CP44, J$24:CP$24)</f>
        <v>1318.6943352575638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  <c r="CQ81" s="74"/>
      <c r="CR81" s="73"/>
      <c r="CS81" s="42"/>
    </row>
    <row r="82" spans="1:97" x14ac:dyDescent="0.25">
      <c r="A82" s="73"/>
      <c r="B82" s="73"/>
      <c r="C82" s="73"/>
      <c r="D82" s="73"/>
      <c r="E82" s="73"/>
      <c r="F82" s="115" t="s">
        <v>37</v>
      </c>
      <c r="G82" s="115" t="str">
        <f>G$24</f>
        <v>£m</v>
      </c>
      <c r="H82" s="130">
        <f>SUMPRODUCT(J45:CP45, J$24:CP$24)</f>
        <v>358.37052060258048</v>
      </c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CC82" s="130"/>
      <c r="CD82" s="130"/>
      <c r="CE82" s="130"/>
      <c r="CF82" s="130"/>
      <c r="CG82" s="130"/>
      <c r="CH82" s="130"/>
      <c r="CI82" s="130"/>
      <c r="CJ82" s="130"/>
      <c r="CK82" s="130"/>
      <c r="CL82" s="130"/>
      <c r="CM82" s="130"/>
      <c r="CN82" s="130"/>
      <c r="CO82" s="130"/>
      <c r="CP82" s="130"/>
      <c r="CQ82" s="74"/>
      <c r="CR82" s="73"/>
      <c r="CS82" s="42"/>
    </row>
    <row r="83" spans="1:97" x14ac:dyDescent="0.25">
      <c r="A83" s="73"/>
      <c r="B83" s="73"/>
      <c r="C83" s="73"/>
      <c r="D83" s="73"/>
      <c r="E83" s="73"/>
      <c r="F83" s="115" t="s">
        <v>36</v>
      </c>
      <c r="G83" s="115" t="str">
        <f>G$24</f>
        <v>£m</v>
      </c>
      <c r="H83" s="130">
        <f>SUMPRODUCT(J46:CP46, J$24:CP$24)</f>
        <v>687.1772191354363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7" t="s">
        <v>35</v>
      </c>
      <c r="G84" s="117" t="str">
        <f>G$24</f>
        <v>£m</v>
      </c>
      <c r="H84" s="146">
        <f>SUMPRODUCT(J47:CP47, J$24:CP$24)</f>
        <v>4276.6629947081392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3"/>
      <c r="CS85" s="42"/>
    </row>
    <row r="86" spans="1:97" x14ac:dyDescent="0.25">
      <c r="A86" s="115"/>
      <c r="B86" s="73"/>
      <c r="C86" s="73"/>
      <c r="D86" s="73"/>
      <c r="E86" s="115" t="s">
        <v>278</v>
      </c>
      <c r="F86" s="73"/>
      <c r="G86" s="115" t="str">
        <f>G$24</f>
        <v>£m</v>
      </c>
      <c r="H86" s="130">
        <f>SUM(H81:H84)</f>
        <v>6640.9050697037201</v>
      </c>
      <c r="I86" s="143" t="s">
        <v>314</v>
      </c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115" t="s">
        <v>606</v>
      </c>
      <c r="CS86" s="42"/>
    </row>
    <row r="87" spans="1:97" x14ac:dyDescent="0.25">
      <c r="A87" s="73"/>
      <c r="B87" s="73"/>
      <c r="C87" s="73"/>
      <c r="D87" s="73"/>
      <c r="E87" s="115" t="s">
        <v>517</v>
      </c>
      <c r="F87" s="73"/>
      <c r="G87" s="115" t="s">
        <v>471</v>
      </c>
      <c r="H87" s="130" t="b">
        <f>H86 &gt; 0</f>
        <v>1</v>
      </c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  <c r="CQ87" s="74"/>
      <c r="CR87" s="73"/>
      <c r="CS87" s="42"/>
    </row>
    <row r="88" spans="1:97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3"/>
      <c r="CS88" s="42"/>
    </row>
    <row r="89" spans="1:97" x14ac:dyDescent="0.25">
      <c r="A89" s="115"/>
      <c r="B89" s="73"/>
      <c r="C89" s="73"/>
      <c r="D89" s="73"/>
      <c r="E89" s="112" t="s">
        <v>322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115" t="s">
        <v>606</v>
      </c>
      <c r="CS89" s="42"/>
    </row>
    <row r="90" spans="1:97" x14ac:dyDescent="0.25">
      <c r="A90" s="73"/>
      <c r="B90" s="73"/>
      <c r="C90" s="73"/>
      <c r="D90" s="73"/>
      <c r="E90" s="73"/>
      <c r="F90" s="113" t="s">
        <v>38</v>
      </c>
      <c r="G90" s="113" t="s">
        <v>44</v>
      </c>
      <c r="H90" s="153">
        <f>IF(H$87, H81 / H$86, 0)</f>
        <v>0.19857147804650016</v>
      </c>
      <c r="I90" s="131" t="s">
        <v>314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74"/>
      <c r="CR90" s="115" t="s">
        <v>538</v>
      </c>
      <c r="CS90" s="42"/>
    </row>
    <row r="91" spans="1:97" x14ac:dyDescent="0.25">
      <c r="A91" s="73"/>
      <c r="B91" s="73"/>
      <c r="C91" s="73"/>
      <c r="D91" s="73"/>
      <c r="E91" s="73"/>
      <c r="F91" s="115" t="s">
        <v>37</v>
      </c>
      <c r="G91" s="115" t="s">
        <v>44</v>
      </c>
      <c r="H91" s="154">
        <f>IF(H$87, H82 / H$86, 0)</f>
        <v>5.3964108331783299E-2</v>
      </c>
      <c r="I91" s="131" t="s">
        <v>314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74"/>
      <c r="CR91" s="115" t="s">
        <v>539</v>
      </c>
      <c r="CS91" s="42"/>
    </row>
    <row r="92" spans="1:97" x14ac:dyDescent="0.25">
      <c r="A92" s="73"/>
      <c r="B92" s="73"/>
      <c r="C92" s="73"/>
      <c r="D92" s="73"/>
      <c r="E92" s="73"/>
      <c r="F92" s="115" t="s">
        <v>36</v>
      </c>
      <c r="G92" s="115" t="s">
        <v>44</v>
      </c>
      <c r="H92" s="154">
        <f>IF(H$87, H83 / H$86, 0)</f>
        <v>0.10347644062409317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541</v>
      </c>
      <c r="CS92" s="42"/>
    </row>
    <row r="93" spans="1:97" x14ac:dyDescent="0.25">
      <c r="A93" s="73"/>
      <c r="B93" s="73"/>
      <c r="C93" s="73"/>
      <c r="D93" s="73"/>
      <c r="E93" s="73"/>
      <c r="F93" s="117" t="s">
        <v>35</v>
      </c>
      <c r="G93" s="117" t="s">
        <v>44</v>
      </c>
      <c r="H93" s="155">
        <f>IF(H$87, H84 / H$86, 0)</f>
        <v>0.64398797299762334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540</v>
      </c>
      <c r="CS93" s="42"/>
    </row>
    <row r="94" spans="1:97" x14ac:dyDescent="0.25">
      <c r="A94" s="73"/>
      <c r="B94" s="73"/>
      <c r="C94" s="73"/>
      <c r="D94" s="73"/>
      <c r="E94" s="73"/>
      <c r="F94" s="73"/>
      <c r="G94" s="73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101"/>
      <c r="CS94" s="42"/>
    </row>
    <row r="95" spans="1:97" x14ac:dyDescent="0.25">
      <c r="A95" s="73"/>
      <c r="B95" s="73"/>
      <c r="C95" s="73"/>
      <c r="D95" s="73"/>
      <c r="E95" s="115" t="s">
        <v>239</v>
      </c>
      <c r="F95" s="73"/>
      <c r="G95" s="115" t="s">
        <v>231</v>
      </c>
      <c r="H95" s="136">
        <f>IF(SUM(H90:H93) = 1, 0, 1)</f>
        <v>0</v>
      </c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74"/>
      <c r="CR95" s="73"/>
      <c r="CS95" s="42"/>
    </row>
    <row r="96" spans="1:97" x14ac:dyDescent="0.25">
      <c r="A96" s="73"/>
      <c r="B96" s="73"/>
      <c r="C96" s="73"/>
      <c r="D96" s="73"/>
      <c r="E96" s="109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3"/>
      <c r="CS96" s="42"/>
    </row>
    <row r="97" spans="1:97" x14ac:dyDescent="0.25">
      <c r="A97" s="73"/>
      <c r="B97" s="107" t="s">
        <v>237</v>
      </c>
      <c r="C97" s="107"/>
      <c r="D97" s="107"/>
      <c r="E97" s="107"/>
      <c r="F97" s="107"/>
      <c r="G97" s="107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7"/>
      <c r="CS97" s="42"/>
    </row>
    <row r="98" spans="1:97" x14ac:dyDescent="0.25">
      <c r="A98" s="73"/>
      <c r="B98" s="73"/>
      <c r="C98" s="73"/>
      <c r="D98" s="73"/>
      <c r="E98" s="73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73"/>
      <c r="C99" s="109" t="s">
        <v>396</v>
      </c>
      <c r="D99" s="109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3"/>
      <c r="CS99" s="42"/>
    </row>
    <row r="100" spans="1:97" x14ac:dyDescent="0.25">
      <c r="A100" s="73"/>
      <c r="B100" s="73"/>
      <c r="C100" s="109"/>
      <c r="D100" s="109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101"/>
      <c r="C101" s="110" t="s">
        <v>712</v>
      </c>
      <c r="D101" s="110"/>
      <c r="E101" s="110"/>
      <c r="F101" s="110"/>
      <c r="G101" s="110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0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73"/>
      <c r="C103" s="73"/>
      <c r="D103" s="109"/>
      <c r="E103" s="115" t="s">
        <v>233</v>
      </c>
      <c r="F103" s="73"/>
      <c r="G103" s="115" t="str">
        <f>G56</f>
        <v>£m</v>
      </c>
      <c r="H103" s="130">
        <f>H56</f>
        <v>6310.9499616363082</v>
      </c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30"/>
      <c r="CL103" s="130"/>
      <c r="CM103" s="130"/>
      <c r="CN103" s="130"/>
      <c r="CO103" s="130"/>
      <c r="CP103" s="130"/>
      <c r="CQ103" s="74"/>
      <c r="CR103" s="73"/>
      <c r="CS103" s="42"/>
    </row>
    <row r="104" spans="1:97" x14ac:dyDescent="0.25">
      <c r="A104" s="73"/>
      <c r="B104" s="73"/>
      <c r="C104" s="73"/>
      <c r="D104" s="73"/>
      <c r="E104" s="109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73"/>
      <c r="E105" s="112" t="str">
        <f>'DNO inputs'!E37</f>
        <v>CDCM notional EHV asset values</v>
      </c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73"/>
      <c r="F106" s="113" t="str">
        <f>'DNO inputs'!F38</f>
        <v>132kV</v>
      </c>
      <c r="G106" s="113" t="str">
        <f>'DNO inputs'!G38</f>
        <v>£</v>
      </c>
      <c r="H106" s="156">
        <f>'DNO inputs'!H38</f>
        <v>468784330.73111659</v>
      </c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73"/>
      <c r="F107" s="115" t="str">
        <f>'DNO inputs'!F39</f>
        <v>132kV/EHV</v>
      </c>
      <c r="G107" s="115" t="str">
        <f>'DNO inputs'!G39</f>
        <v>£</v>
      </c>
      <c r="H107" s="152">
        <f>'DNO inputs'!H39</f>
        <v>105259111.15155268</v>
      </c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5" t="str">
        <f>'DNO inputs'!F40</f>
        <v>EHV</v>
      </c>
      <c r="G108" s="115" t="str">
        <f>'DNO inputs'!G40</f>
        <v>£</v>
      </c>
      <c r="H108" s="152">
        <f>'DNO inputs'!H40</f>
        <v>113465856.08063935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inputs'!F41</f>
        <v>EHV/HV</v>
      </c>
      <c r="G109" s="115" t="str">
        <f>'DNO inputs'!G41</f>
        <v>£</v>
      </c>
      <c r="H109" s="152">
        <f>'DNO inputs'!H41</f>
        <v>281586529.8497836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7" t="str">
        <f>'DNO inputs'!F42</f>
        <v>132kV/HV</v>
      </c>
      <c r="G110" s="117" t="str">
        <f>'DNO inputs'!G42</f>
        <v>£</v>
      </c>
      <c r="H110" s="157">
        <f>'DNO inputs'!H42</f>
        <v>306636486.82840663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73"/>
      <c r="G111" s="73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3"/>
      <c r="CS111" s="42"/>
    </row>
    <row r="112" spans="1:97" x14ac:dyDescent="0.25">
      <c r="A112" s="115"/>
      <c r="B112" s="73"/>
      <c r="C112" s="73"/>
      <c r="D112" s="73"/>
      <c r="E112" s="115" t="s">
        <v>234</v>
      </c>
      <c r="F112" s="73"/>
      <c r="G112" s="115" t="s">
        <v>440</v>
      </c>
      <c r="H112" s="130">
        <f>SUM(H106:H110)</f>
        <v>1275732314.6414988</v>
      </c>
      <c r="I112" s="143" t="s">
        <v>314</v>
      </c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115" t="s">
        <v>575</v>
      </c>
      <c r="CS112" s="42"/>
    </row>
    <row r="113" spans="1:97" x14ac:dyDescent="0.25">
      <c r="A113" s="73"/>
      <c r="B113" s="73"/>
      <c r="C113" s="73"/>
      <c r="D113" s="73"/>
      <c r="E113" s="109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73"/>
      <c r="B114" s="73"/>
      <c r="C114" s="73"/>
      <c r="D114" s="73"/>
      <c r="E114" s="115" t="str">
        <f>'DNO inputs'!E49</f>
        <v>EDCM notional asset value, total</v>
      </c>
      <c r="F114" s="73"/>
      <c r="G114" s="115" t="str">
        <f>'DNO inputs'!G49</f>
        <v>£</v>
      </c>
      <c r="H114" s="152">
        <f>'DNO inputs'!H49</f>
        <v>114253023.45507929</v>
      </c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73"/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">
        <v>518</v>
      </c>
      <c r="F116" s="73"/>
      <c r="G116" s="115" t="s">
        <v>471</v>
      </c>
      <c r="H116" s="130" t="b">
        <f>H112 + H114 &gt; 0</f>
        <v>1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115"/>
      <c r="B118" s="73"/>
      <c r="C118" s="73"/>
      <c r="D118" s="73"/>
      <c r="E118" s="115" t="s">
        <v>235</v>
      </c>
      <c r="F118" s="73"/>
      <c r="G118" s="115" t="s">
        <v>44</v>
      </c>
      <c r="H118" s="154">
        <f>IF(H116, H112 / (H112 + H114), 1)</f>
        <v>0.91780271322031681</v>
      </c>
      <c r="I118" s="131" t="s">
        <v>314</v>
      </c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5"/>
      <c r="CH118" s="135"/>
      <c r="CI118" s="135"/>
      <c r="CJ118" s="135"/>
      <c r="CK118" s="135"/>
      <c r="CL118" s="135"/>
      <c r="CM118" s="135"/>
      <c r="CN118" s="135"/>
      <c r="CO118" s="135"/>
      <c r="CP118" s="135"/>
      <c r="CQ118" s="74"/>
      <c r="CR118" s="115" t="s">
        <v>575</v>
      </c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73"/>
      <c r="B120" s="101"/>
      <c r="C120" s="110" t="s">
        <v>713</v>
      </c>
      <c r="D120" s="110"/>
      <c r="E120" s="110"/>
      <c r="F120" s="110"/>
      <c r="G120" s="110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0"/>
      <c r="CS120" s="42"/>
    </row>
    <row r="121" spans="1:97" x14ac:dyDescent="0.25">
      <c r="A121" s="73"/>
      <c r="B121" s="73"/>
      <c r="C121" s="109"/>
      <c r="D121" s="109"/>
      <c r="E121" s="73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115"/>
      <c r="B122" s="73"/>
      <c r="C122" s="73"/>
      <c r="D122" s="73"/>
      <c r="E122" s="115" t="s">
        <v>236</v>
      </c>
      <c r="F122" s="73"/>
      <c r="G122" s="115" t="str">
        <f>G112</f>
        <v>£</v>
      </c>
      <c r="H122" s="130">
        <f>H103 * H118</f>
        <v>5792.206997787458</v>
      </c>
      <c r="I122" s="143" t="s">
        <v>314</v>
      </c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  <c r="BQ122" s="130"/>
      <c r="BR122" s="130"/>
      <c r="BS122" s="130"/>
      <c r="BT122" s="130"/>
      <c r="BU122" s="130"/>
      <c r="BV122" s="130"/>
      <c r="BW122" s="130"/>
      <c r="BX122" s="130"/>
      <c r="BY122" s="130"/>
      <c r="BZ122" s="130"/>
      <c r="CA122" s="130"/>
      <c r="CB122" s="130"/>
      <c r="CC122" s="130"/>
      <c r="CD122" s="130"/>
      <c r="CE122" s="130"/>
      <c r="CF122" s="130"/>
      <c r="CG122" s="130"/>
      <c r="CH122" s="130"/>
      <c r="CI122" s="130"/>
      <c r="CJ122" s="130"/>
      <c r="CK122" s="130"/>
      <c r="CL122" s="130"/>
      <c r="CM122" s="130"/>
      <c r="CN122" s="130"/>
      <c r="CO122" s="130"/>
      <c r="CP122" s="130"/>
      <c r="CQ122" s="74"/>
      <c r="CR122" s="115" t="s">
        <v>575</v>
      </c>
      <c r="CS122" s="42"/>
    </row>
    <row r="123" spans="1:97" x14ac:dyDescent="0.25">
      <c r="A123" s="73"/>
      <c r="B123" s="73"/>
      <c r="C123" s="73"/>
      <c r="D123" s="73"/>
      <c r="E123" s="109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109"/>
      <c r="E124" s="112" t="s">
        <v>362</v>
      </c>
      <c r="F124" s="73"/>
      <c r="G124" s="73"/>
      <c r="H124" s="74"/>
      <c r="I124" s="132" t="s">
        <v>314</v>
      </c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115" t="s">
        <v>571</v>
      </c>
      <c r="CS124" s="42"/>
    </row>
    <row r="125" spans="1:97" x14ac:dyDescent="0.25">
      <c r="A125" s="73"/>
      <c r="B125" s="73"/>
      <c r="C125" s="73"/>
      <c r="D125" s="73"/>
      <c r="E125" s="73"/>
      <c r="F125" s="113" t="s">
        <v>193</v>
      </c>
      <c r="G125" s="113" t="str">
        <f t="shared" ref="G125:G131" si="14">G$24</f>
        <v>£m</v>
      </c>
      <c r="H125" s="145">
        <f>H52</f>
        <v>3904.524236464154</v>
      </c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  <c r="BQ125" s="130"/>
      <c r="BR125" s="130"/>
      <c r="BS125" s="130"/>
      <c r="BT125" s="130"/>
      <c r="BU125" s="130"/>
      <c r="BV125" s="130"/>
      <c r="BW125" s="130"/>
      <c r="BX125" s="130"/>
      <c r="BY125" s="130"/>
      <c r="BZ125" s="130"/>
      <c r="CA125" s="130"/>
      <c r="CB125" s="130"/>
      <c r="CC125" s="130"/>
      <c r="CD125" s="130"/>
      <c r="CE125" s="130"/>
      <c r="CF125" s="130"/>
      <c r="CG125" s="130"/>
      <c r="CH125" s="130"/>
      <c r="CI125" s="130"/>
      <c r="CJ125" s="130"/>
      <c r="CK125" s="130"/>
      <c r="CL125" s="130"/>
      <c r="CM125" s="130"/>
      <c r="CN125" s="130"/>
      <c r="CO125" s="130"/>
      <c r="CP125" s="130"/>
      <c r="CQ125" s="74"/>
      <c r="CR125" s="73"/>
      <c r="CS125" s="42"/>
    </row>
    <row r="126" spans="1:97" x14ac:dyDescent="0.25">
      <c r="A126" s="73"/>
      <c r="B126" s="73"/>
      <c r="C126" s="73"/>
      <c r="D126" s="73"/>
      <c r="E126" s="73"/>
      <c r="F126" s="115" t="s">
        <v>194</v>
      </c>
      <c r="G126" s="115" t="str">
        <f t="shared" si="14"/>
        <v>£m</v>
      </c>
      <c r="H126" s="130">
        <f>H53</f>
        <v>3736.0224253502133</v>
      </c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  <c r="BQ126" s="130"/>
      <c r="BR126" s="130"/>
      <c r="BS126" s="130"/>
      <c r="BT126" s="130"/>
      <c r="BU126" s="130"/>
      <c r="BV126" s="130"/>
      <c r="BW126" s="130"/>
      <c r="BX126" s="130"/>
      <c r="BY126" s="130"/>
      <c r="BZ126" s="130"/>
      <c r="CA126" s="130"/>
      <c r="CB126" s="130"/>
      <c r="CC126" s="130"/>
      <c r="CD126" s="130"/>
      <c r="CE126" s="130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74"/>
      <c r="CR126" s="73"/>
      <c r="CS126" s="42"/>
    </row>
    <row r="127" spans="1:97" x14ac:dyDescent="0.25">
      <c r="A127" s="73"/>
      <c r="B127" s="73"/>
      <c r="C127" s="73"/>
      <c r="D127" s="73"/>
      <c r="E127" s="73"/>
      <c r="F127" s="115" t="s">
        <v>41</v>
      </c>
      <c r="G127" s="115" t="str">
        <f t="shared" si="14"/>
        <v>£m</v>
      </c>
      <c r="H127" s="130">
        <f>H54</f>
        <v>591.80799240345823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40</v>
      </c>
      <c r="G128" s="115" t="str">
        <f t="shared" si="14"/>
        <v>£m</v>
      </c>
      <c r="H128" s="130">
        <f>H55</f>
        <v>2201.7669582331696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115"/>
      <c r="B129" s="73"/>
      <c r="C129" s="73"/>
      <c r="D129" s="73"/>
      <c r="E129" s="73"/>
      <c r="F129" s="117" t="s">
        <v>166</v>
      </c>
      <c r="G129" s="117" t="str">
        <f t="shared" si="14"/>
        <v>£m</v>
      </c>
      <c r="H129" s="158">
        <f>H122</f>
        <v>5792.206997787458</v>
      </c>
      <c r="I129" s="143" t="s">
        <v>314</v>
      </c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115" t="s">
        <v>575</v>
      </c>
      <c r="CS129" s="42"/>
    </row>
    <row r="130" spans="1:97" x14ac:dyDescent="0.25">
      <c r="A130" s="73"/>
      <c r="B130" s="73"/>
      <c r="C130" s="73"/>
      <c r="D130" s="73"/>
      <c r="E130" s="73"/>
      <c r="F130" s="73"/>
      <c r="G130" s="73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115" t="s">
        <v>238</v>
      </c>
      <c r="F131" s="73"/>
      <c r="G131" s="115" t="str">
        <f t="shared" si="14"/>
        <v>£m</v>
      </c>
      <c r="H131" s="130">
        <f>SUM(H125:H129)</f>
        <v>16226.328610238454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571</v>
      </c>
      <c r="CS131" s="42"/>
    </row>
    <row r="132" spans="1:97" x14ac:dyDescent="0.25">
      <c r="A132" s="73"/>
      <c r="B132" s="73"/>
      <c r="C132" s="73"/>
      <c r="D132" s="73"/>
      <c r="E132" s="115" t="s">
        <v>519</v>
      </c>
      <c r="F132" s="73"/>
      <c r="G132" s="115" t="s">
        <v>471</v>
      </c>
      <c r="H132" s="130" t="b">
        <f>H131 &gt; 0</f>
        <v>1</v>
      </c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74"/>
      <c r="CR132" s="73"/>
      <c r="CS132" s="42"/>
    </row>
    <row r="133" spans="1:97" x14ac:dyDescent="0.25">
      <c r="A133" s="73"/>
      <c r="B133" s="73"/>
      <c r="C133" s="73"/>
      <c r="D133" s="73"/>
      <c r="E133" s="109"/>
      <c r="F133" s="73"/>
      <c r="G133" s="73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3"/>
      <c r="CS133" s="42"/>
    </row>
    <row r="134" spans="1:97" x14ac:dyDescent="0.25">
      <c r="A134" s="115"/>
      <c r="B134" s="73"/>
      <c r="C134" s="73"/>
      <c r="D134" s="73"/>
      <c r="E134" s="112" t="s">
        <v>363</v>
      </c>
      <c r="F134" s="73"/>
      <c r="G134" s="73"/>
      <c r="H134" s="74"/>
      <c r="I134" s="132" t="s">
        <v>314</v>
      </c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115" t="s">
        <v>571</v>
      </c>
      <c r="CS134" s="42"/>
    </row>
    <row r="135" spans="1:97" x14ac:dyDescent="0.25">
      <c r="A135" s="73"/>
      <c r="B135" s="73"/>
      <c r="C135" s="73"/>
      <c r="D135" s="73"/>
      <c r="E135" s="73"/>
      <c r="F135" s="113" t="s">
        <v>193</v>
      </c>
      <c r="G135" s="113" t="s">
        <v>44</v>
      </c>
      <c r="H135" s="153">
        <f>IF(H$132, H125 / H$131, 0)</f>
        <v>0.24062893894559031</v>
      </c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135"/>
      <c r="BS135" s="135"/>
      <c r="BT135" s="135"/>
      <c r="BU135" s="135"/>
      <c r="BV135" s="135"/>
      <c r="BW135" s="135"/>
      <c r="BX135" s="135"/>
      <c r="BY135" s="135"/>
      <c r="BZ135" s="135"/>
      <c r="CA135" s="135"/>
      <c r="CB135" s="135"/>
      <c r="CC135" s="135"/>
      <c r="CD135" s="135"/>
      <c r="CE135" s="135"/>
      <c r="CF135" s="135"/>
      <c r="CG135" s="135"/>
      <c r="CH135" s="135"/>
      <c r="CI135" s="135"/>
      <c r="CJ135" s="135"/>
      <c r="CK135" s="135"/>
      <c r="CL135" s="135"/>
      <c r="CM135" s="135"/>
      <c r="CN135" s="135"/>
      <c r="CO135" s="135"/>
      <c r="CP135" s="135"/>
      <c r="CQ135" s="74"/>
      <c r="CR135" s="73"/>
      <c r="CS135" s="42"/>
    </row>
    <row r="136" spans="1:97" x14ac:dyDescent="0.25">
      <c r="A136" s="73"/>
      <c r="B136" s="73"/>
      <c r="C136" s="73"/>
      <c r="D136" s="73"/>
      <c r="E136" s="73"/>
      <c r="F136" s="115" t="s">
        <v>194</v>
      </c>
      <c r="G136" s="115" t="s">
        <v>44</v>
      </c>
      <c r="H136" s="154">
        <f>IF(H$132, H126 / H$131, 0)</f>
        <v>0.23024446965734849</v>
      </c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  <c r="BI136" s="135"/>
      <c r="BJ136" s="135"/>
      <c r="BK136" s="135"/>
      <c r="BL136" s="135"/>
      <c r="BM136" s="135"/>
      <c r="BN136" s="135"/>
      <c r="BO136" s="135"/>
      <c r="BP136" s="135"/>
      <c r="BQ136" s="135"/>
      <c r="BR136" s="135"/>
      <c r="BS136" s="135"/>
      <c r="BT136" s="135"/>
      <c r="BU136" s="135"/>
      <c r="BV136" s="135"/>
      <c r="BW136" s="135"/>
      <c r="BX136" s="135"/>
      <c r="BY136" s="135"/>
      <c r="BZ136" s="135"/>
      <c r="CA136" s="135"/>
      <c r="CB136" s="135"/>
      <c r="CC136" s="135"/>
      <c r="CD136" s="135"/>
      <c r="CE136" s="135"/>
      <c r="CF136" s="135"/>
      <c r="CG136" s="135"/>
      <c r="CH136" s="135"/>
      <c r="CI136" s="135"/>
      <c r="CJ136" s="135"/>
      <c r="CK136" s="135"/>
      <c r="CL136" s="135"/>
      <c r="CM136" s="135"/>
      <c r="CN136" s="135"/>
      <c r="CO136" s="135"/>
      <c r="CP136" s="135"/>
      <c r="CQ136" s="74"/>
      <c r="CR136" s="73"/>
      <c r="CS136" s="42"/>
    </row>
    <row r="137" spans="1:97" x14ac:dyDescent="0.25">
      <c r="A137" s="73"/>
      <c r="B137" s="73"/>
      <c r="C137" s="73"/>
      <c r="D137" s="73"/>
      <c r="E137" s="73"/>
      <c r="F137" s="115" t="s">
        <v>41</v>
      </c>
      <c r="G137" s="115" t="s">
        <v>44</v>
      </c>
      <c r="H137" s="154">
        <f>IF(H$132, H127 / H$131, 0)</f>
        <v>3.647208229408349E-2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40</v>
      </c>
      <c r="G138" s="115" t="s">
        <v>44</v>
      </c>
      <c r="H138" s="154">
        <f>IF(H$132, H128 / H$131, 0)</f>
        <v>0.13569101249705393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7" t="s">
        <v>166</v>
      </c>
      <c r="G139" s="117" t="s">
        <v>44</v>
      </c>
      <c r="H139" s="155">
        <f>IF(H$132, H129 / H$131, 0)</f>
        <v>0.35696349660592375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73"/>
      <c r="G140" s="73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115" t="s">
        <v>239</v>
      </c>
      <c r="F141" s="73"/>
      <c r="G141" s="115" t="s">
        <v>231</v>
      </c>
      <c r="H141" s="136">
        <f>IF(SUM(H135:H139) = 1, 0, 1)</f>
        <v>0</v>
      </c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6"/>
      <c r="CH141" s="136"/>
      <c r="CI141" s="136"/>
      <c r="CJ141" s="136"/>
      <c r="CK141" s="136"/>
      <c r="CL141" s="136"/>
      <c r="CM141" s="136"/>
      <c r="CN141" s="136"/>
      <c r="CO141" s="136"/>
      <c r="CP141" s="136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109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107" t="s">
        <v>242</v>
      </c>
      <c r="C143" s="107"/>
      <c r="D143" s="107"/>
      <c r="E143" s="107"/>
      <c r="F143" s="107"/>
      <c r="G143" s="107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8"/>
      <c r="BZ143" s="108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7"/>
      <c r="CS143" s="42"/>
    </row>
    <row r="144" spans="1:97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73"/>
      <c r="C145" s="109"/>
      <c r="D145" s="109"/>
      <c r="E145" s="115" t="s">
        <v>232</v>
      </c>
      <c r="F145" s="73"/>
      <c r="G145" s="115" t="s">
        <v>231</v>
      </c>
      <c r="H145" s="159">
        <f>H39 + H61 + H70 + H76 + H95 + H141</f>
        <v>0</v>
      </c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  <c r="CG145" s="136"/>
      <c r="CH145" s="136"/>
      <c r="CI145" s="136"/>
      <c r="CJ145" s="136"/>
      <c r="CK145" s="136"/>
      <c r="CL145" s="136"/>
      <c r="CM145" s="136"/>
      <c r="CN145" s="136"/>
      <c r="CO145" s="136"/>
      <c r="CP145" s="136"/>
      <c r="CQ145" s="74"/>
      <c r="CR145" s="73"/>
      <c r="CS145" s="42"/>
    </row>
    <row r="146" spans="1:97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107" t="s">
        <v>30</v>
      </c>
      <c r="C147" s="107"/>
      <c r="D147" s="107"/>
      <c r="E147" s="107"/>
      <c r="F147" s="107"/>
      <c r="G147" s="107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8"/>
      <c r="BZ147" s="108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7"/>
      <c r="CS147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1">
    <cfRule type="cellIs" dxfId="38" priority="4" stopIfTrue="1" operator="greaterThan">
      <formula>0</formula>
    </cfRule>
  </conditionalFormatting>
  <conditionalFormatting sqref="H70">
    <cfRule type="cellIs" dxfId="37" priority="5" stopIfTrue="1" operator="greaterThan">
      <formula>0</formula>
    </cfRule>
  </conditionalFormatting>
  <conditionalFormatting sqref="H76">
    <cfRule type="cellIs" dxfId="36" priority="6" stopIfTrue="1" operator="greaterThan">
      <formula>0</formula>
    </cfRule>
  </conditionalFormatting>
  <conditionalFormatting sqref="H95">
    <cfRule type="cellIs" dxfId="35" priority="7" stopIfTrue="1" operator="greaterThan">
      <formula>0</formula>
    </cfRule>
  </conditionalFormatting>
  <conditionalFormatting sqref="H141">
    <cfRule type="cellIs" dxfId="34" priority="8" stopIfTrue="1" operator="greaterThan">
      <formula>0</formula>
    </cfRule>
  </conditionalFormatting>
  <conditionalFormatting sqref="H145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716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422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15964378.159526384</v>
      </c>
      <c r="L19" s="156">
        <f>'DNO inputs'!J287</f>
        <v>0</v>
      </c>
      <c r="M19" s="156">
        <f>'DNO inputs'!J288</f>
        <v>15272426.893891403</v>
      </c>
      <c r="N19" s="156">
        <f>'DNO inputs'!J289</f>
        <v>1544112.575676091</v>
      </c>
      <c r="O19" s="156">
        <f>'DNO inputs'!J290</f>
        <v>3100832.1843072716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6928378.2203391073</v>
      </c>
      <c r="L20" s="152">
        <f>'DNO inputs'!K287</f>
        <v>0</v>
      </c>
      <c r="M20" s="152">
        <f>'DNO inputs'!K288</f>
        <v>582344.66945385642</v>
      </c>
      <c r="N20" s="152">
        <f>'DNO inputs'!K289</f>
        <v>5284050.4964611931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25847964.55954431</v>
      </c>
      <c r="L21" s="152">
        <f>'DNO inputs'!L287</f>
        <v>0</v>
      </c>
      <c r="M21" s="152">
        <f>'DNO inputs'!L288</f>
        <v>5279170.858943522</v>
      </c>
      <c r="N21" s="152">
        <f>'DNO inputs'!L289</f>
        <v>436263.57364726916</v>
      </c>
      <c r="O21" s="152">
        <f>'DNO inputs'!L290</f>
        <v>5282047.5418532779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33944558.974318989</v>
      </c>
      <c r="L22" s="162">
        <f>'DNO inputs'!M287</f>
        <v>0</v>
      </c>
      <c r="M22" s="162">
        <f>'DNO inputs'!M288</f>
        <v>2714932.7240017327</v>
      </c>
      <c r="N22" s="162">
        <f>'DNO inputs'!M289</f>
        <v>2704219.8642422459</v>
      </c>
      <c r="O22" s="162">
        <f>'DNO inputs'!M290</f>
        <v>541261.35383944947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421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3833598.9292598576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5609437.7182151098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10180000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594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3833598.9292598576</v>
      </c>
      <c r="K31" s="163">
        <f t="shared" si="0"/>
        <v>15964378.159526384</v>
      </c>
      <c r="L31" s="163">
        <f t="shared" si="0"/>
        <v>0</v>
      </c>
      <c r="M31" s="163">
        <f t="shared" si="0"/>
        <v>15272426.893891403</v>
      </c>
      <c r="N31" s="163">
        <f t="shared" si="0"/>
        <v>1544112.575676091</v>
      </c>
      <c r="O31" s="163">
        <f t="shared" si="0"/>
        <v>3100832.1843072716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6928378.2203391073</v>
      </c>
      <c r="L32" s="164">
        <f t="shared" si="2"/>
        <v>0</v>
      </c>
      <c r="M32" s="164">
        <f t="shared" si="2"/>
        <v>582344.66945385642</v>
      </c>
      <c r="N32" s="164">
        <f t="shared" si="2"/>
        <v>5284050.4964611931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5609437.7182151098</v>
      </c>
      <c r="K33" s="164">
        <f t="shared" si="4"/>
        <v>25847964.55954431</v>
      </c>
      <c r="L33" s="164">
        <f t="shared" si="4"/>
        <v>0</v>
      </c>
      <c r="M33" s="164">
        <f t="shared" si="4"/>
        <v>5279170.858943522</v>
      </c>
      <c r="N33" s="164">
        <f t="shared" si="4"/>
        <v>436263.57364726916</v>
      </c>
      <c r="O33" s="164">
        <f t="shared" si="4"/>
        <v>5282047.5418532779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10180000</v>
      </c>
      <c r="K34" s="165">
        <f t="shared" si="6"/>
        <v>33944558.974318989</v>
      </c>
      <c r="L34" s="165">
        <f t="shared" si="6"/>
        <v>0</v>
      </c>
      <c r="M34" s="165">
        <f t="shared" si="6"/>
        <v>2714932.7240017327</v>
      </c>
      <c r="N34" s="165">
        <f t="shared" si="6"/>
        <v>2704219.8642422459</v>
      </c>
      <c r="O34" s="165">
        <f t="shared" si="6"/>
        <v>541261.35383944947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717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MEAV!F73</f>
        <v>Services share of LV MEAV</v>
      </c>
      <c r="F38" s="73"/>
      <c r="G38" s="115" t="str">
        <f>MEAV!G73</f>
        <v>%</v>
      </c>
      <c r="H38" s="166">
        <f>MEAV!H73</f>
        <v>0.51102681644207948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536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520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718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520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8158225.3473402318</v>
      </c>
      <c r="L45" s="163">
        <f t="shared" si="10"/>
        <v>0</v>
      </c>
      <c r="M45" s="163">
        <f t="shared" si="10"/>
        <v>7804619.6949297199</v>
      </c>
      <c r="N45" s="163">
        <f t="shared" si="10"/>
        <v>789082.9337759323</v>
      </c>
      <c r="O45" s="163">
        <f t="shared" si="10"/>
        <v>1584608.3994676846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3833598.9292598576</v>
      </c>
      <c r="K46" s="171">
        <f t="shared" ref="K46:AQ46" si="12">K$31 - K45</f>
        <v>7806152.8121861517</v>
      </c>
      <c r="L46" s="171">
        <f t="shared" si="12"/>
        <v>0</v>
      </c>
      <c r="M46" s="171">
        <f t="shared" si="12"/>
        <v>7467807.1989616835</v>
      </c>
      <c r="N46" s="171">
        <f t="shared" si="12"/>
        <v>755029.64190015872</v>
      </c>
      <c r="O46" s="171">
        <f t="shared" si="12"/>
        <v>1516223.7848395871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6928378.2203391073</v>
      </c>
      <c r="L47" s="164">
        <f t="shared" si="14"/>
        <v>0</v>
      </c>
      <c r="M47" s="164">
        <f t="shared" si="14"/>
        <v>582344.66945385642</v>
      </c>
      <c r="N47" s="164">
        <f t="shared" si="14"/>
        <v>5284050.4964611931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5609437.7182151098</v>
      </c>
      <c r="K48" s="164">
        <f t="shared" si="16"/>
        <v>25847964.55954431</v>
      </c>
      <c r="L48" s="164">
        <f t="shared" si="16"/>
        <v>0</v>
      </c>
      <c r="M48" s="164">
        <f t="shared" si="16"/>
        <v>5279170.858943522</v>
      </c>
      <c r="N48" s="164">
        <f t="shared" si="16"/>
        <v>436263.57364726916</v>
      </c>
      <c r="O48" s="164">
        <f t="shared" si="16"/>
        <v>5282047.5418532779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10180000</v>
      </c>
      <c r="K49" s="165">
        <f t="shared" si="18"/>
        <v>33944558.974318989</v>
      </c>
      <c r="L49" s="165">
        <f t="shared" si="18"/>
        <v>0</v>
      </c>
      <c r="M49" s="165">
        <f t="shared" si="18"/>
        <v>2714932.7240017327</v>
      </c>
      <c r="N49" s="165">
        <f t="shared" si="18"/>
        <v>2704219.8642422459</v>
      </c>
      <c r="O49" s="165">
        <f t="shared" si="18"/>
        <v>541261.35383944947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439</v>
      </c>
      <c r="H51" s="130"/>
      <c r="I51" s="130"/>
      <c r="J51" s="130">
        <f t="shared" ref="J51:AQ51" si="20">SUM(J45:J49)</f>
        <v>19623036.647474967</v>
      </c>
      <c r="K51" s="130">
        <f t="shared" si="20"/>
        <v>82685279.913728788</v>
      </c>
      <c r="L51" s="130">
        <f t="shared" si="20"/>
        <v>0</v>
      </c>
      <c r="M51" s="130">
        <f t="shared" si="20"/>
        <v>23848875.146290515</v>
      </c>
      <c r="N51" s="130">
        <f t="shared" si="20"/>
        <v>9968646.5100267995</v>
      </c>
      <c r="O51" s="130">
        <f t="shared" si="20"/>
        <v>8924141.0799999982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503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504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639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86738652.873247191</v>
      </c>
      <c r="L60" s="152">
        <f>'DNO inputs'!H246</f>
        <v>2290199.98832</v>
      </c>
      <c r="M60" s="152">
        <f>'DNO inputs'!H247</f>
        <v>23607461.477008216</v>
      </c>
      <c r="N60" s="152">
        <f>'DNO inputs'!H248</f>
        <v>11683384.510026801</v>
      </c>
      <c r="O60" s="152">
        <f>'DNO inputs'!H249</f>
        <v>4908277.5940000005</v>
      </c>
      <c r="P60" s="152">
        <f>'DNO inputs'!H250</f>
        <v>774869.38446319988</v>
      </c>
      <c r="Q60" s="152">
        <f>'DNO inputs'!H251</f>
        <v>5623596.7952637831</v>
      </c>
      <c r="R60" s="152">
        <f>'DNO inputs'!H252</f>
        <v>4196281.057910746</v>
      </c>
      <c r="S60" s="152">
        <f>'DNO inputs'!H253</f>
        <v>23392225.305936411</v>
      </c>
      <c r="T60" s="152">
        <f>'DNO inputs'!H254</f>
        <v>3993267.1215815498</v>
      </c>
      <c r="U60" s="152">
        <f>'DNO inputs'!H255</f>
        <v>1843095.2204672005</v>
      </c>
      <c r="V60" s="152">
        <f>'DNO inputs'!H256</f>
        <v>1439482.6722359997</v>
      </c>
      <c r="W60" s="152">
        <f>'DNO inputs'!H257</f>
        <v>1363081.0727301883</v>
      </c>
      <c r="X60" s="152">
        <f>'DNO inputs'!H258</f>
        <v>5439945.9945200011</v>
      </c>
      <c r="Y60" s="152">
        <f>'DNO inputs'!H259</f>
        <v>11413705.956353251</v>
      </c>
      <c r="Z60" s="152">
        <f>'DNO inputs'!H260</f>
        <v>5534355.2999991588</v>
      </c>
      <c r="AA60" s="152">
        <f>'DNO inputs'!H261</f>
        <v>1372637.3768207175</v>
      </c>
      <c r="AB60" s="152">
        <f>'DNO inputs'!H262</f>
        <v>1961463.4264481019</v>
      </c>
      <c r="AC60" s="152">
        <f>'DNO inputs'!H263</f>
        <v>7781675.5968572572</v>
      </c>
      <c r="AD60" s="152">
        <f>'DNO inputs'!H264</f>
        <v>1536754.3240344031</v>
      </c>
      <c r="AE60" s="152">
        <f>'DNO inputs'!H265</f>
        <v>2241851.08</v>
      </c>
      <c r="AF60" s="152">
        <f>'DNO inputs'!H266</f>
        <v>7620000</v>
      </c>
      <c r="AG60" s="152">
        <f>'DNO inputs'!H267</f>
        <v>815642.07</v>
      </c>
      <c r="AH60" s="152">
        <f>'DNO inputs'!H268</f>
        <v>12183907.341469606</v>
      </c>
      <c r="AI60" s="152">
        <f>'DNO inputs'!H269</f>
        <v>0.13999999737279722</v>
      </c>
      <c r="AJ60" s="152">
        <f>'DNO inputs'!H270</f>
        <v>1014745.8008000003</v>
      </c>
      <c r="AK60" s="152">
        <f>'DNO inputs'!H271</f>
        <v>-5196946.3263321621</v>
      </c>
      <c r="AL60" s="152">
        <f>'DNO inputs'!H272</f>
        <v>39130465.450300001</v>
      </c>
      <c r="AM60" s="152">
        <f>'DNO inputs'!H273</f>
        <v>20184226.800000001</v>
      </c>
      <c r="AN60" s="152">
        <f>'DNO inputs'!H274</f>
        <v>8000000</v>
      </c>
      <c r="AO60" s="152">
        <f>'DNO inputs'!H275</f>
        <v>-7620000</v>
      </c>
      <c r="AP60" s="152">
        <f>'DNO inputs'!H276</f>
        <v>1450093.49</v>
      </c>
      <c r="AQ60" s="152">
        <f>'DNO inputs'!H277</f>
        <v>2470943.7074936316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-19623036.647474967</v>
      </c>
      <c r="K62" s="130">
        <f t="shared" ref="K62:AQ62" si="22">K60 - K51</f>
        <v>4053372.9595184028</v>
      </c>
      <c r="L62" s="130">
        <f t="shared" si="22"/>
        <v>2290199.98832</v>
      </c>
      <c r="M62" s="130">
        <f t="shared" si="22"/>
        <v>-241413.66928229854</v>
      </c>
      <c r="N62" s="130">
        <f t="shared" si="22"/>
        <v>1714738.0000000019</v>
      </c>
      <c r="O62" s="130">
        <f t="shared" si="22"/>
        <v>-4015863.4859999977</v>
      </c>
      <c r="P62" s="130">
        <f t="shared" si="22"/>
        <v>774869.38446319988</v>
      </c>
      <c r="Q62" s="130">
        <f t="shared" si="22"/>
        <v>5623596.7952637831</v>
      </c>
      <c r="R62" s="130">
        <f t="shared" si="22"/>
        <v>4196281.057910746</v>
      </c>
      <c r="S62" s="130">
        <f t="shared" si="22"/>
        <v>23392225.305936411</v>
      </c>
      <c r="T62" s="130">
        <f t="shared" si="22"/>
        <v>3993267.1215815498</v>
      </c>
      <c r="U62" s="130">
        <f t="shared" si="22"/>
        <v>1843095.2204672005</v>
      </c>
      <c r="V62" s="130">
        <f t="shared" si="22"/>
        <v>1439482.6722359997</v>
      </c>
      <c r="W62" s="130">
        <f t="shared" si="22"/>
        <v>1363081.0727301883</v>
      </c>
      <c r="X62" s="130">
        <f t="shared" si="22"/>
        <v>5439945.9945200011</v>
      </c>
      <c r="Y62" s="130">
        <f t="shared" si="22"/>
        <v>11413705.956353251</v>
      </c>
      <c r="Z62" s="130">
        <f t="shared" si="22"/>
        <v>5534355.2999991588</v>
      </c>
      <c r="AA62" s="130">
        <f t="shared" si="22"/>
        <v>1372637.3768207175</v>
      </c>
      <c r="AB62" s="130">
        <f t="shared" si="22"/>
        <v>1961463.4264481019</v>
      </c>
      <c r="AC62" s="130">
        <f t="shared" si="22"/>
        <v>7781675.5968572572</v>
      </c>
      <c r="AD62" s="130">
        <f t="shared" si="22"/>
        <v>1536754.3240344031</v>
      </c>
      <c r="AE62" s="130">
        <f t="shared" si="22"/>
        <v>2241851.08</v>
      </c>
      <c r="AF62" s="130">
        <f t="shared" si="22"/>
        <v>7620000</v>
      </c>
      <c r="AG62" s="130">
        <f t="shared" si="22"/>
        <v>815642.07</v>
      </c>
      <c r="AH62" s="130">
        <f t="shared" si="22"/>
        <v>12183907.341469606</v>
      </c>
      <c r="AI62" s="130">
        <f t="shared" si="22"/>
        <v>0.13999999737279722</v>
      </c>
      <c r="AJ62" s="130">
        <f t="shared" si="22"/>
        <v>1014745.8008000003</v>
      </c>
      <c r="AK62" s="130">
        <f t="shared" si="22"/>
        <v>-5196946.3263321621</v>
      </c>
      <c r="AL62" s="130">
        <f t="shared" si="22"/>
        <v>39130465.450300001</v>
      </c>
      <c r="AM62" s="130">
        <f t="shared" si="22"/>
        <v>20184226.800000001</v>
      </c>
      <c r="AN62" s="130">
        <f t="shared" si="22"/>
        <v>8000000</v>
      </c>
      <c r="AO62" s="130">
        <f t="shared" si="22"/>
        <v>-7620000</v>
      </c>
      <c r="AP62" s="130">
        <f t="shared" ref="AP62" si="23">AP60 - AP51</f>
        <v>1450093.49</v>
      </c>
      <c r="AQ62" s="130">
        <f t="shared" si="22"/>
        <v>2470943.7074936316</v>
      </c>
      <c r="AR62" s="74"/>
      <c r="AS62" s="115" t="s">
        <v>571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536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571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4053372.9595184028</v>
      </c>
      <c r="L69" s="130">
        <f t="shared" si="26"/>
        <v>2290199.98832</v>
      </c>
      <c r="M69" s="130">
        <f t="shared" si="26"/>
        <v>-241413.66928229854</v>
      </c>
      <c r="N69" s="130">
        <f t="shared" si="26"/>
        <v>1714738.0000000019</v>
      </c>
      <c r="O69" s="130">
        <f t="shared" si="26"/>
        <v>-4015863.4859999977</v>
      </c>
      <c r="P69" s="130">
        <f t="shared" si="26"/>
        <v>774869.38446319988</v>
      </c>
      <c r="Q69" s="130">
        <f t="shared" si="26"/>
        <v>5623596.7952637831</v>
      </c>
      <c r="R69" s="130">
        <f t="shared" si="26"/>
        <v>4196281.057910746</v>
      </c>
      <c r="S69" s="130">
        <f t="shared" si="26"/>
        <v>23392225.305936411</v>
      </c>
      <c r="T69" s="130">
        <f t="shared" si="26"/>
        <v>3993267.1215815498</v>
      </c>
      <c r="U69" s="130">
        <f t="shared" si="26"/>
        <v>1843095.2204672005</v>
      </c>
      <c r="V69" s="130">
        <f t="shared" si="26"/>
        <v>1439482.6722359997</v>
      </c>
      <c r="W69" s="130">
        <f t="shared" si="26"/>
        <v>1363081.0727301883</v>
      </c>
      <c r="X69" s="130">
        <f t="shared" si="26"/>
        <v>5439945.9945200011</v>
      </c>
      <c r="Y69" s="130">
        <f t="shared" si="26"/>
        <v>0</v>
      </c>
      <c r="Z69" s="130">
        <f t="shared" si="26"/>
        <v>0</v>
      </c>
      <c r="AA69" s="130">
        <f t="shared" si="26"/>
        <v>1372637.3768207175</v>
      </c>
      <c r="AB69" s="130">
        <f t="shared" si="26"/>
        <v>1961463.4264481019</v>
      </c>
      <c r="AC69" s="130">
        <f t="shared" si="26"/>
        <v>7781675.5968572572</v>
      </c>
      <c r="AD69" s="130">
        <f t="shared" si="26"/>
        <v>1536754.3240344031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571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640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MEAV!E63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MEAV!F64</f>
        <v>LV services</v>
      </c>
      <c r="G74" s="113" t="str">
        <f>MEAV!G64</f>
        <v>%</v>
      </c>
      <c r="H74" s="172">
        <f>MEAV!H64</f>
        <v>0.23317453252969872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MEAV!F65</f>
        <v>LV mains</v>
      </c>
      <c r="G75" s="115" t="str">
        <f>MEAV!G65</f>
        <v>%</v>
      </c>
      <c r="H75" s="166">
        <f>MEAV!H65</f>
        <v>0.22311176209790828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MEAV!F66</f>
        <v>HV/LV</v>
      </c>
      <c r="G76" s="115" t="str">
        <f>MEAV!G66</f>
        <v>%</v>
      </c>
      <c r="H76" s="166">
        <f>MEAV!H66</f>
        <v>3.5342219338092909E-2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MEAV!F67</f>
        <v>HV</v>
      </c>
      <c r="G77" s="115" t="str">
        <f>MEAV!G67</f>
        <v>%</v>
      </c>
      <c r="H77" s="166">
        <f>MEAV!H67</f>
        <v>0.13148746175802342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MEAV!F68</f>
        <v>EHV and 132kV</v>
      </c>
      <c r="G78" s="117" t="str">
        <f>MEAV!G68</f>
        <v>%</v>
      </c>
      <c r="H78" s="173">
        <f>MEAV!H68</f>
        <v>0.37688402427627654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MEAV!E134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MEAV!F135</f>
        <v>LV services</v>
      </c>
      <c r="G81" s="113" t="str">
        <f>MEAV!G135</f>
        <v>%</v>
      </c>
      <c r="H81" s="172">
        <f>MEAV!H135</f>
        <v>0.24062893894559031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MEAV!F136</f>
        <v>LV mains</v>
      </c>
      <c r="G82" s="115" t="str">
        <f>MEAV!G136</f>
        <v>%</v>
      </c>
      <c r="H82" s="166">
        <f>MEAV!H136</f>
        <v>0.23024446965734849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MEAV!F137</f>
        <v>HV/LV</v>
      </c>
      <c r="G83" s="115" t="str">
        <f>MEAV!G137</f>
        <v>%</v>
      </c>
      <c r="H83" s="166">
        <f>MEAV!H137</f>
        <v>3.647208229408349E-2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MEAV!F138</f>
        <v>HV</v>
      </c>
      <c r="G84" s="115" t="str">
        <f>MEAV!G138</f>
        <v>%</v>
      </c>
      <c r="H84" s="166">
        <f>MEAV!H138</f>
        <v>0.13569101249705393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MEAV!F139</f>
        <v>EHV and 132kV</v>
      </c>
      <c r="G85" s="117" t="str">
        <f>MEAV!G139</f>
        <v>%</v>
      </c>
      <c r="H85" s="173">
        <f>MEAV!H139</f>
        <v>0.35696349660592375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641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571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945143.34500422503</v>
      </c>
      <c r="L90" s="163">
        <f t="shared" si="28"/>
        <v>534016.3116760375</v>
      </c>
      <c r="M90" s="163">
        <f t="shared" si="28"/>
        <v>-56291.519481179246</v>
      </c>
      <c r="N90" s="163">
        <f t="shared" si="28"/>
        <v>399833.23156091094</v>
      </c>
      <c r="O90" s="163">
        <f t="shared" si="28"/>
        <v>-936397.09105113579</v>
      </c>
      <c r="P90" s="163">
        <f t="shared" si="28"/>
        <v>180679.80649378203</v>
      </c>
      <c r="Q90" s="163">
        <f t="shared" si="28"/>
        <v>1311279.5538711445</v>
      </c>
      <c r="R90" s="163">
        <f t="shared" si="28"/>
        <v>978465.87404156779</v>
      </c>
      <c r="S90" s="163">
        <f t="shared" si="28"/>
        <v>5454471.2005411116</v>
      </c>
      <c r="T90" s="163">
        <f t="shared" si="28"/>
        <v>931128.19434099342</v>
      </c>
      <c r="U90" s="163">
        <f t="shared" si="28"/>
        <v>429762.86644016148</v>
      </c>
      <c r="V90" s="163">
        <f t="shared" si="28"/>
        <v>335650.69918323075</v>
      </c>
      <c r="W90" s="163">
        <f t="shared" si="28"/>
        <v>317835.79193394189</v>
      </c>
      <c r="X90" s="163">
        <f t="shared" si="28"/>
        <v>1268456.8642590083</v>
      </c>
      <c r="Y90" s="163">
        <f t="shared" si="28"/>
        <v>0</v>
      </c>
      <c r="Z90" s="163">
        <f t="shared" si="28"/>
        <v>0</v>
      </c>
      <c r="AA90" s="163">
        <f t="shared" si="28"/>
        <v>320064.07867296273</v>
      </c>
      <c r="AB90" s="163">
        <f t="shared" si="28"/>
        <v>457363.31753613724</v>
      </c>
      <c r="AC90" s="163">
        <f t="shared" si="28"/>
        <v>1814488.5695949553</v>
      </c>
      <c r="AD90" s="163">
        <f t="shared" si="28"/>
        <v>358331.97111971508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904355.1834381643</v>
      </c>
      <c r="L91" s="164">
        <f t="shared" si="30"/>
        <v>510970.55495068419</v>
      </c>
      <c r="M91" s="164">
        <f t="shared" si="30"/>
        <v>-53862.229148095299</v>
      </c>
      <c r="N91" s="164">
        <f t="shared" si="30"/>
        <v>382578.21671624348</v>
      </c>
      <c r="O91" s="164">
        <f t="shared" si="30"/>
        <v>-895986.37870610808</v>
      </c>
      <c r="P91" s="164">
        <f t="shared" si="30"/>
        <v>172882.47376330607</v>
      </c>
      <c r="Q91" s="164">
        <f t="shared" si="30"/>
        <v>1254690.5903194526</v>
      </c>
      <c r="R91" s="164">
        <f t="shared" si="30"/>
        <v>936239.66108854127</v>
      </c>
      <c r="S91" s="164">
        <f t="shared" si="30"/>
        <v>5219080.607398754</v>
      </c>
      <c r="T91" s="164">
        <f t="shared" si="30"/>
        <v>890944.86402370175</v>
      </c>
      <c r="U91" s="164">
        <f t="shared" si="30"/>
        <v>411216.22235266987</v>
      </c>
      <c r="V91" s="164">
        <f t="shared" si="30"/>
        <v>321165.51551197964</v>
      </c>
      <c r="W91" s="164">
        <f t="shared" si="30"/>
        <v>304119.42001913936</v>
      </c>
      <c r="X91" s="164">
        <f t="shared" si="30"/>
        <v>1213715.9365548156</v>
      </c>
      <c r="Y91" s="164">
        <f t="shared" si="30"/>
        <v>0</v>
      </c>
      <c r="Z91" s="164">
        <f t="shared" si="30"/>
        <v>0</v>
      </c>
      <c r="AA91" s="164">
        <f t="shared" si="30"/>
        <v>306251.54386392079</v>
      </c>
      <c r="AB91" s="164">
        <f t="shared" si="30"/>
        <v>437625.56136543694</v>
      </c>
      <c r="AC91" s="164">
        <f t="shared" si="30"/>
        <v>1736183.3544891148</v>
      </c>
      <c r="AD91" s="164">
        <f t="shared" si="30"/>
        <v>342867.96514689561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143255.19619439417</v>
      </c>
      <c r="L92" s="164">
        <f t="shared" si="32"/>
        <v>80940.750315303259</v>
      </c>
      <c r="M92" s="164">
        <f t="shared" si="32"/>
        <v>-8532.0948509888167</v>
      </c>
      <c r="N92" s="164">
        <f t="shared" si="32"/>
        <v>60602.646503362826</v>
      </c>
      <c r="O92" s="164">
        <f t="shared" si="32"/>
        <v>-141929.52815405032</v>
      </c>
      <c r="P92" s="164">
        <f t="shared" si="32"/>
        <v>27385.603744071454</v>
      </c>
      <c r="Q92" s="164">
        <f t="shared" si="32"/>
        <v>198750.39140720898</v>
      </c>
      <c r="R92" s="164">
        <f t="shared" si="32"/>
        <v>148305.88555296612</v>
      </c>
      <c r="S92" s="164">
        <f t="shared" si="32"/>
        <v>826733.15756849211</v>
      </c>
      <c r="T92" s="164">
        <f t="shared" si="32"/>
        <v>141130.92248653006</v>
      </c>
      <c r="U92" s="164">
        <f t="shared" si="32"/>
        <v>65139.07554274251</v>
      </c>
      <c r="V92" s="164">
        <f t="shared" si="32"/>
        <v>50874.512335548803</v>
      </c>
      <c r="W92" s="164">
        <f t="shared" si="32"/>
        <v>48174.310248033289</v>
      </c>
      <c r="X92" s="164">
        <f t="shared" si="32"/>
        <v>192259.76452570583</v>
      </c>
      <c r="Y92" s="164">
        <f t="shared" si="32"/>
        <v>0</v>
      </c>
      <c r="Z92" s="164">
        <f t="shared" si="32"/>
        <v>0</v>
      </c>
      <c r="AA92" s="164">
        <f t="shared" si="32"/>
        <v>48512.051243262285</v>
      </c>
      <c r="AB92" s="164">
        <f t="shared" si="32"/>
        <v>69322.470641176085</v>
      </c>
      <c r="AC92" s="164">
        <f t="shared" si="32"/>
        <v>275021.68576201424</v>
      </c>
      <c r="AD92" s="164">
        <f t="shared" si="32"/>
        <v>54312.30838878658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532967.72200568218</v>
      </c>
      <c r="L93" s="164">
        <f t="shared" si="34"/>
        <v>301132.58338245167</v>
      </c>
      <c r="M93" s="164">
        <f t="shared" si="34"/>
        <v>-31742.870607620342</v>
      </c>
      <c r="N93" s="164">
        <f t="shared" si="34"/>
        <v>225466.5472000298</v>
      </c>
      <c r="O93" s="164">
        <f t="shared" si="34"/>
        <v>-528035.69654086733</v>
      </c>
      <c r="P93" s="164">
        <f t="shared" si="34"/>
        <v>101885.60855706815</v>
      </c>
      <c r="Q93" s="164">
        <f t="shared" si="34"/>
        <v>739432.4685597897</v>
      </c>
      <c r="R93" s="164">
        <f t="shared" si="34"/>
        <v>551758.34512795729</v>
      </c>
      <c r="S93" s="164">
        <f t="shared" si="34"/>
        <v>3075784.3303493815</v>
      </c>
      <c r="T93" s="164">
        <f t="shared" si="34"/>
        <v>525064.55793852627</v>
      </c>
      <c r="U93" s="164">
        <f t="shared" si="34"/>
        <v>242343.91231757676</v>
      </c>
      <c r="V93" s="164">
        <f t="shared" si="34"/>
        <v>189273.92281696838</v>
      </c>
      <c r="W93" s="164">
        <f t="shared" si="34"/>
        <v>179228.07042369616</v>
      </c>
      <c r="X93" s="164">
        <f t="shared" si="34"/>
        <v>715284.69092016132</v>
      </c>
      <c r="Y93" s="164">
        <f t="shared" si="34"/>
        <v>0</v>
      </c>
      <c r="Z93" s="164">
        <f t="shared" si="34"/>
        <v>0</v>
      </c>
      <c r="AA93" s="164">
        <f t="shared" si="34"/>
        <v>180484.60459234766</v>
      </c>
      <c r="AB93" s="164">
        <f t="shared" si="34"/>
        <v>257907.84727485638</v>
      </c>
      <c r="AC93" s="164">
        <f t="shared" si="34"/>
        <v>1023192.7724551127</v>
      </c>
      <c r="AD93" s="164">
        <f t="shared" si="34"/>
        <v>202063.92541295072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1527651.5128759367</v>
      </c>
      <c r="L94" s="165">
        <f t="shared" si="36"/>
        <v>863139.78799552319</v>
      </c>
      <c r="M94" s="165">
        <f t="shared" si="36"/>
        <v>-90984.955194414797</v>
      </c>
      <c r="N94" s="165">
        <f t="shared" si="36"/>
        <v>646257.35801945464</v>
      </c>
      <c r="O94" s="165">
        <f t="shared" si="36"/>
        <v>-1513514.7915478356</v>
      </c>
      <c r="P94" s="165">
        <f t="shared" si="36"/>
        <v>292035.89190497209</v>
      </c>
      <c r="Q94" s="165">
        <f t="shared" si="36"/>
        <v>2119443.7911061868</v>
      </c>
      <c r="R94" s="165">
        <f t="shared" si="36"/>
        <v>1581511.2920997129</v>
      </c>
      <c r="S94" s="165">
        <f t="shared" si="36"/>
        <v>8816156.0100786686</v>
      </c>
      <c r="T94" s="165">
        <f t="shared" si="36"/>
        <v>1504998.5827917978</v>
      </c>
      <c r="U94" s="165">
        <f t="shared" si="36"/>
        <v>694633.14381404966</v>
      </c>
      <c r="V94" s="165">
        <f t="shared" si="36"/>
        <v>542518.02238827199</v>
      </c>
      <c r="W94" s="165">
        <f t="shared" si="36"/>
        <v>513723.48010537733</v>
      </c>
      <c r="X94" s="165">
        <f t="shared" si="36"/>
        <v>2050228.7382603094</v>
      </c>
      <c r="Y94" s="165">
        <f t="shared" si="36"/>
        <v>0</v>
      </c>
      <c r="Z94" s="165">
        <f t="shared" si="36"/>
        <v>0</v>
      </c>
      <c r="AA94" s="165">
        <f t="shared" si="36"/>
        <v>517325.09844822384</v>
      </c>
      <c r="AB94" s="165">
        <f t="shared" si="36"/>
        <v>739244.22963049496</v>
      </c>
      <c r="AC94" s="165">
        <f t="shared" si="36"/>
        <v>2932789.2145560593</v>
      </c>
      <c r="AD94" s="165">
        <f t="shared" si="36"/>
        <v>579178.1539660549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571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975358.83439966047</v>
      </c>
      <c r="L97" s="163">
        <f t="shared" si="38"/>
        <v>551088.39316264493</v>
      </c>
      <c r="M97" s="163">
        <f t="shared" si="38"/>
        <v>-58091.115086361147</v>
      </c>
      <c r="N97" s="163">
        <f t="shared" si="38"/>
        <v>412615.58550968411</v>
      </c>
      <c r="O97" s="163">
        <f t="shared" si="38"/>
        <v>-966332.96958651894</v>
      </c>
      <c r="P97" s="163">
        <f t="shared" si="38"/>
        <v>186455.99780480246</v>
      </c>
      <c r="Q97" s="163">
        <f t="shared" si="38"/>
        <v>1353200.1299021463</v>
      </c>
      <c r="R97" s="163">
        <f t="shared" si="38"/>
        <v>1009746.658482542</v>
      </c>
      <c r="S97" s="163">
        <f t="shared" si="38"/>
        <v>5628846.3549436657</v>
      </c>
      <c r="T97" s="163">
        <f t="shared" si="38"/>
        <v>960895.63039247994</v>
      </c>
      <c r="U97" s="163">
        <f t="shared" si="38"/>
        <v>443502.04727671132</v>
      </c>
      <c r="V97" s="163">
        <f t="shared" si="38"/>
        <v>346381.18805071159</v>
      </c>
      <c r="W97" s="163">
        <f t="shared" si="38"/>
        <v>327996.75222788221</v>
      </c>
      <c r="X97" s="163">
        <f t="shared" si="38"/>
        <v>1309008.432582662</v>
      </c>
      <c r="Y97" s="163">
        <f t="shared" si="38"/>
        <v>0</v>
      </c>
      <c r="Z97" s="163">
        <f t="shared" si="38"/>
        <v>0</v>
      </c>
      <c r="AA97" s="163">
        <f t="shared" si="38"/>
        <v>330296.27554142766</v>
      </c>
      <c r="AB97" s="163">
        <f t="shared" si="38"/>
        <v>471984.86308678868</v>
      </c>
      <c r="AC97" s="163">
        <f t="shared" si="38"/>
        <v>1872496.342090555</v>
      </c>
      <c r="AD97" s="163">
        <f t="shared" si="38"/>
        <v>369787.56241244631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933266.70738775178</v>
      </c>
      <c r="L98" s="164">
        <f t="shared" si="40"/>
        <v>527305.88172000414</v>
      </c>
      <c r="M98" s="164">
        <f t="shared" si="40"/>
        <v>-55584.162251937349</v>
      </c>
      <c r="N98" s="164">
        <f t="shared" si="40"/>
        <v>394808.94141130283</v>
      </c>
      <c r="O98" s="164">
        <f t="shared" si="40"/>
        <v>-924630.35855038022</v>
      </c>
      <c r="P98" s="164">
        <f t="shared" si="40"/>
        <v>178409.39047944552</v>
      </c>
      <c r="Q98" s="164">
        <f t="shared" si="40"/>
        <v>1294802.0616922744</v>
      </c>
      <c r="R98" s="164">
        <f t="shared" si="40"/>
        <v>966170.50671183702</v>
      </c>
      <c r="S98" s="164">
        <f t="shared" si="40"/>
        <v>5385930.5096705351</v>
      </c>
      <c r="T98" s="164">
        <f t="shared" si="40"/>
        <v>919427.67060867045</v>
      </c>
      <c r="U98" s="164">
        <f t="shared" si="40"/>
        <v>424362.4815644644</v>
      </c>
      <c r="V98" s="164">
        <f t="shared" si="40"/>
        <v>331432.92444992054</v>
      </c>
      <c r="W98" s="164">
        <f t="shared" si="40"/>
        <v>313841.87869073189</v>
      </c>
      <c r="X98" s="164">
        <f t="shared" si="40"/>
        <v>1252517.4804728748</v>
      </c>
      <c r="Y98" s="164">
        <f t="shared" si="40"/>
        <v>0</v>
      </c>
      <c r="Z98" s="164">
        <f t="shared" si="40"/>
        <v>0</v>
      </c>
      <c r="AA98" s="164">
        <f t="shared" si="40"/>
        <v>316042.16485794011</v>
      </c>
      <c r="AB98" s="164">
        <f t="shared" si="40"/>
        <v>451616.10637482879</v>
      </c>
      <c r="AC98" s="164">
        <f t="shared" si="40"/>
        <v>1791687.7708439298</v>
      </c>
      <c r="AD98" s="164">
        <f t="shared" si="40"/>
        <v>353829.18433093821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147834.95214816794</v>
      </c>
      <c r="L99" s="164">
        <f t="shared" si="42"/>
        <v>83528.362443916092</v>
      </c>
      <c r="M99" s="164">
        <f t="shared" si="42"/>
        <v>-8804.8592129806475</v>
      </c>
      <c r="N99" s="164">
        <f t="shared" si="42"/>
        <v>62540.0654487922</v>
      </c>
      <c r="O99" s="164">
        <f t="shared" si="42"/>
        <v>-146466.90354319691</v>
      </c>
      <c r="P99" s="164">
        <f t="shared" si="42"/>
        <v>28261.099957307644</v>
      </c>
      <c r="Q99" s="164">
        <f t="shared" si="42"/>
        <v>205104.28510560488</v>
      </c>
      <c r="R99" s="164">
        <f t="shared" si="42"/>
        <v>153047.10807322446</v>
      </c>
      <c r="S99" s="164">
        <f t="shared" si="42"/>
        <v>853163.16639985517</v>
      </c>
      <c r="T99" s="164">
        <f t="shared" si="42"/>
        <v>145642.76708058018</v>
      </c>
      <c r="U99" s="164">
        <f t="shared" si="42"/>
        <v>67221.520556711694</v>
      </c>
      <c r="V99" s="164">
        <f t="shared" si="42"/>
        <v>52500.93048269859</v>
      </c>
      <c r="W99" s="164">
        <f t="shared" si="42"/>
        <v>49714.405058123026</v>
      </c>
      <c r="X99" s="164">
        <f t="shared" si="42"/>
        <v>198406.15798750333</v>
      </c>
      <c r="Y99" s="164">
        <f t="shared" si="42"/>
        <v>0</v>
      </c>
      <c r="Z99" s="164">
        <f t="shared" si="42"/>
        <v>0</v>
      </c>
      <c r="AA99" s="164">
        <f t="shared" si="42"/>
        <v>50062.9433673401</v>
      </c>
      <c r="AB99" s="164">
        <f t="shared" si="42"/>
        <v>71538.655506250143</v>
      </c>
      <c r="AC99" s="164">
        <f t="shared" si="42"/>
        <v>283813.91275443917</v>
      </c>
      <c r="AD99" s="164">
        <f t="shared" si="42"/>
        <v>56048.630171971396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550006.28090523207</v>
      </c>
      <c r="L100" s="164">
        <f t="shared" si="44"/>
        <v>310759.55523588188</v>
      </c>
      <c r="M100" s="164">
        <f t="shared" si="44"/>
        <v>-32757.665215544013</v>
      </c>
      <c r="N100" s="164">
        <f t="shared" si="44"/>
        <v>232674.5353871735</v>
      </c>
      <c r="O100" s="164">
        <f t="shared" si="44"/>
        <v>-544916.58246528823</v>
      </c>
      <c r="P100" s="164">
        <f t="shared" si="44"/>
        <v>105142.81133078053</v>
      </c>
      <c r="Q100" s="164">
        <f t="shared" si="44"/>
        <v>763071.5430245304</v>
      </c>
      <c r="R100" s="164">
        <f t="shared" si="44"/>
        <v>569397.62547011767</v>
      </c>
      <c r="S100" s="164">
        <f t="shared" si="44"/>
        <v>3174114.7363217184</v>
      </c>
      <c r="T100" s="164">
        <f t="shared" si="44"/>
        <v>541850.45889859658</v>
      </c>
      <c r="U100" s="164">
        <f t="shared" si="44"/>
        <v>250091.45659367528</v>
      </c>
      <c r="V100" s="164">
        <f t="shared" si="44"/>
        <v>195324.86126766761</v>
      </c>
      <c r="W100" s="164">
        <f t="shared" si="44"/>
        <v>184957.85087432966</v>
      </c>
      <c r="X100" s="164">
        <f t="shared" si="44"/>
        <v>738151.77992571192</v>
      </c>
      <c r="Y100" s="164">
        <f t="shared" si="44"/>
        <v>0</v>
      </c>
      <c r="Z100" s="164">
        <f t="shared" si="44"/>
        <v>0</v>
      </c>
      <c r="AA100" s="164">
        <f t="shared" si="44"/>
        <v>186254.55545210329</v>
      </c>
      <c r="AB100" s="164">
        <f t="shared" si="44"/>
        <v>266152.95831068361</v>
      </c>
      <c r="AC100" s="164">
        <f t="shared" si="44"/>
        <v>1055903.4406611777</v>
      </c>
      <c r="AD100" s="164">
        <f t="shared" si="44"/>
        <v>208523.75018745384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1446906.1846775904</v>
      </c>
      <c r="L101" s="165">
        <f t="shared" si="46"/>
        <v>817517.79575755296</v>
      </c>
      <c r="M101" s="165">
        <f t="shared" si="46"/>
        <v>-86175.867515475373</v>
      </c>
      <c r="N101" s="165">
        <f t="shared" si="46"/>
        <v>612098.87224304909</v>
      </c>
      <c r="O101" s="165">
        <f t="shared" si="46"/>
        <v>-1433516.6718546133</v>
      </c>
      <c r="P101" s="165">
        <f t="shared" si="46"/>
        <v>276600.08489086368</v>
      </c>
      <c r="Q101" s="165">
        <f t="shared" si="46"/>
        <v>2007418.7755392271</v>
      </c>
      <c r="R101" s="165">
        <f t="shared" si="46"/>
        <v>1497919.1591730246</v>
      </c>
      <c r="S101" s="165">
        <f t="shared" si="46"/>
        <v>8350170.5386006357</v>
      </c>
      <c r="T101" s="165">
        <f t="shared" si="46"/>
        <v>1425450.5946012223</v>
      </c>
      <c r="U101" s="165">
        <f t="shared" si="46"/>
        <v>657917.71447563777</v>
      </c>
      <c r="V101" s="165">
        <f t="shared" si="46"/>
        <v>513842.76798500132</v>
      </c>
      <c r="W101" s="165">
        <f t="shared" si="46"/>
        <v>486570.18587912148</v>
      </c>
      <c r="X101" s="165">
        <f t="shared" si="46"/>
        <v>1941862.1435512488</v>
      </c>
      <c r="Y101" s="165">
        <f t="shared" si="46"/>
        <v>0</v>
      </c>
      <c r="Z101" s="165">
        <f t="shared" si="46"/>
        <v>0</v>
      </c>
      <c r="AA101" s="165">
        <f t="shared" si="46"/>
        <v>489981.43760190625</v>
      </c>
      <c r="AB101" s="165">
        <f t="shared" si="46"/>
        <v>700170.84316955053</v>
      </c>
      <c r="AC101" s="165">
        <f t="shared" si="46"/>
        <v>2777774.1305071553</v>
      </c>
      <c r="AD101" s="165">
        <f t="shared" si="46"/>
        <v>548565.19693159324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749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750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747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-19623036.647474967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11413705.956353251</v>
      </c>
      <c r="Z109" s="130">
        <f t="shared" si="48"/>
        <v>5534355.2999991588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2241851.08</v>
      </c>
      <c r="AF109" s="130">
        <f t="shared" si="48"/>
        <v>7620000</v>
      </c>
      <c r="AG109" s="130">
        <f t="shared" si="48"/>
        <v>815642.07</v>
      </c>
      <c r="AH109" s="130">
        <f t="shared" si="48"/>
        <v>12183907.341469606</v>
      </c>
      <c r="AI109" s="130">
        <f t="shared" si="48"/>
        <v>0.13999999737279722</v>
      </c>
      <c r="AJ109" s="130">
        <f t="shared" si="48"/>
        <v>1014745.8008000003</v>
      </c>
      <c r="AK109" s="130">
        <f t="shared" si="48"/>
        <v>-5196946.3263321621</v>
      </c>
      <c r="AL109" s="130">
        <f t="shared" si="48"/>
        <v>39130465.450300001</v>
      </c>
      <c r="AM109" s="130">
        <f t="shared" si="48"/>
        <v>20184226.800000001</v>
      </c>
      <c r="AN109" s="130">
        <f t="shared" si="48"/>
        <v>8000000</v>
      </c>
      <c r="AO109" s="130">
        <f t="shared" si="48"/>
        <v>-7620000</v>
      </c>
      <c r="AP109" s="130">
        <f t="shared" si="48"/>
        <v>1450093.49</v>
      </c>
      <c r="AQ109" s="130">
        <f t="shared" si="48"/>
        <v>2470943.7074936316</v>
      </c>
      <c r="AR109" s="74"/>
      <c r="AS109" s="73" t="s">
        <v>754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1" t="s">
        <v>745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754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7" t="s">
        <v>751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754</v>
      </c>
      <c r="AT116" s="42"/>
    </row>
    <row r="117" spans="1:46" s="17" customFormat="1" x14ac:dyDescent="0.25">
      <c r="A117" s="115"/>
      <c r="B117" s="73"/>
      <c r="C117" s="73"/>
      <c r="D117" s="73"/>
      <c r="E117" s="217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7" t="s">
        <v>752</v>
      </c>
      <c r="F118" s="73"/>
      <c r="G118" s="217" t="s">
        <v>231</v>
      </c>
      <c r="H118" s="224"/>
      <c r="I118" s="225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7" t="s">
        <v>232</v>
      </c>
      <c r="F119" s="73"/>
      <c r="G119" s="217" t="s">
        <v>231</v>
      </c>
      <c r="H119" s="136">
        <f>SUM(J118:AQ118)</f>
        <v>0</v>
      </c>
      <c r="I119" s="225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719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459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607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2">
        <f t="shared" ref="J129:AQ129" si="52">J45 + J90 + J116</f>
        <v>0</v>
      </c>
      <c r="K129" s="222">
        <f t="shared" si="52"/>
        <v>9103368.6923444569</v>
      </c>
      <c r="L129" s="222">
        <f t="shared" si="52"/>
        <v>534016.3116760375</v>
      </c>
      <c r="M129" s="222">
        <f t="shared" si="52"/>
        <v>7748328.1754485406</v>
      </c>
      <c r="N129" s="222">
        <f t="shared" si="52"/>
        <v>1188916.1653368431</v>
      </c>
      <c r="O129" s="222">
        <f t="shared" si="52"/>
        <v>648211.30841654877</v>
      </c>
      <c r="P129" s="222">
        <f t="shared" si="52"/>
        <v>180679.80649378203</v>
      </c>
      <c r="Q129" s="222">
        <f t="shared" si="52"/>
        <v>1311279.5538711445</v>
      </c>
      <c r="R129" s="222">
        <f t="shared" si="52"/>
        <v>978465.87404156779</v>
      </c>
      <c r="S129" s="222">
        <f t="shared" si="52"/>
        <v>5454471.2005411116</v>
      </c>
      <c r="T129" s="222">
        <f t="shared" si="52"/>
        <v>931128.19434099342</v>
      </c>
      <c r="U129" s="222">
        <f t="shared" si="52"/>
        <v>429762.86644016148</v>
      </c>
      <c r="V129" s="222">
        <f t="shared" si="52"/>
        <v>335650.69918323075</v>
      </c>
      <c r="W129" s="222">
        <f t="shared" si="52"/>
        <v>317835.79193394189</v>
      </c>
      <c r="X129" s="222">
        <f t="shared" si="52"/>
        <v>1268456.8642590083</v>
      </c>
      <c r="Y129" s="222">
        <f t="shared" si="52"/>
        <v>0</v>
      </c>
      <c r="Z129" s="222">
        <f t="shared" si="52"/>
        <v>0</v>
      </c>
      <c r="AA129" s="222">
        <f t="shared" si="52"/>
        <v>320064.07867296273</v>
      </c>
      <c r="AB129" s="222">
        <f t="shared" si="52"/>
        <v>457363.31753613724</v>
      </c>
      <c r="AC129" s="222">
        <f t="shared" si="52"/>
        <v>1814488.5695949553</v>
      </c>
      <c r="AD129" s="222">
        <f t="shared" si="52"/>
        <v>358331.97111971508</v>
      </c>
      <c r="AE129" s="222">
        <f t="shared" si="52"/>
        <v>0</v>
      </c>
      <c r="AF129" s="222">
        <f t="shared" si="52"/>
        <v>0</v>
      </c>
      <c r="AG129" s="222">
        <f t="shared" si="52"/>
        <v>0</v>
      </c>
      <c r="AH129" s="222">
        <f t="shared" si="52"/>
        <v>0</v>
      </c>
      <c r="AI129" s="222">
        <f t="shared" si="52"/>
        <v>0</v>
      </c>
      <c r="AJ129" s="222">
        <f t="shared" si="52"/>
        <v>0</v>
      </c>
      <c r="AK129" s="222">
        <f t="shared" si="52"/>
        <v>0</v>
      </c>
      <c r="AL129" s="222">
        <f t="shared" si="52"/>
        <v>0</v>
      </c>
      <c r="AM129" s="222">
        <f t="shared" si="52"/>
        <v>0</v>
      </c>
      <c r="AN129" s="222">
        <f t="shared" si="52"/>
        <v>0</v>
      </c>
      <c r="AO129" s="222">
        <f t="shared" si="52"/>
        <v>0</v>
      </c>
      <c r="AP129" s="222">
        <f t="shared" si="52"/>
        <v>1450093.49</v>
      </c>
      <c r="AQ129" s="222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3833598.9292598576</v>
      </c>
      <c r="K130" s="174">
        <f t="shared" si="53"/>
        <v>8710507.9956243169</v>
      </c>
      <c r="L130" s="174">
        <f t="shared" si="53"/>
        <v>510970.55495068419</v>
      </c>
      <c r="M130" s="174">
        <f t="shared" si="53"/>
        <v>7413944.9698135881</v>
      </c>
      <c r="N130" s="174">
        <f t="shared" si="53"/>
        <v>1137607.8586164021</v>
      </c>
      <c r="O130" s="174">
        <f t="shared" si="53"/>
        <v>620237.40613347897</v>
      </c>
      <c r="P130" s="174">
        <f t="shared" si="53"/>
        <v>172882.47376330607</v>
      </c>
      <c r="Q130" s="174">
        <f t="shared" si="53"/>
        <v>1254690.5903194526</v>
      </c>
      <c r="R130" s="174">
        <f t="shared" si="53"/>
        <v>936239.66108854127</v>
      </c>
      <c r="S130" s="174">
        <f t="shared" si="53"/>
        <v>5219080.607398754</v>
      </c>
      <c r="T130" s="174">
        <f t="shared" si="53"/>
        <v>890944.86402370175</v>
      </c>
      <c r="U130" s="174">
        <f t="shared" si="53"/>
        <v>411216.22235266987</v>
      </c>
      <c r="V130" s="174">
        <f t="shared" si="53"/>
        <v>321165.51551197964</v>
      </c>
      <c r="W130" s="174">
        <f t="shared" si="53"/>
        <v>304119.42001913936</v>
      </c>
      <c r="X130" s="174">
        <f t="shared" si="53"/>
        <v>1213715.9365548156</v>
      </c>
      <c r="Y130" s="174">
        <f t="shared" si="53"/>
        <v>0</v>
      </c>
      <c r="Z130" s="174">
        <f t="shared" si="53"/>
        <v>0</v>
      </c>
      <c r="AA130" s="174">
        <f t="shared" si="53"/>
        <v>306251.54386392079</v>
      </c>
      <c r="AB130" s="174">
        <f t="shared" si="53"/>
        <v>437625.56136543694</v>
      </c>
      <c r="AC130" s="174">
        <f t="shared" si="53"/>
        <v>1736183.3544891148</v>
      </c>
      <c r="AD130" s="174">
        <f t="shared" si="53"/>
        <v>342867.96514689561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7071633.4165335018</v>
      </c>
      <c r="L131" s="174">
        <f t="shared" si="54"/>
        <v>80940.750315303259</v>
      </c>
      <c r="M131" s="174">
        <f t="shared" si="54"/>
        <v>573812.57460286759</v>
      </c>
      <c r="N131" s="174">
        <f t="shared" si="54"/>
        <v>5344653.1429645559</v>
      </c>
      <c r="O131" s="174">
        <f t="shared" si="54"/>
        <v>-141929.52815405032</v>
      </c>
      <c r="P131" s="174">
        <f t="shared" si="54"/>
        <v>27385.603744071454</v>
      </c>
      <c r="Q131" s="174">
        <f t="shared" si="54"/>
        <v>198750.39140720898</v>
      </c>
      <c r="R131" s="174">
        <f t="shared" si="54"/>
        <v>148305.88555296612</v>
      </c>
      <c r="S131" s="174">
        <f t="shared" si="54"/>
        <v>826733.15756849211</v>
      </c>
      <c r="T131" s="174">
        <f t="shared" si="54"/>
        <v>141130.92248653006</v>
      </c>
      <c r="U131" s="174">
        <f t="shared" si="54"/>
        <v>65139.07554274251</v>
      </c>
      <c r="V131" s="174">
        <f t="shared" si="54"/>
        <v>50874.512335548803</v>
      </c>
      <c r="W131" s="174">
        <f t="shared" si="54"/>
        <v>48174.310248033289</v>
      </c>
      <c r="X131" s="174">
        <f t="shared" si="54"/>
        <v>192259.76452570583</v>
      </c>
      <c r="Y131" s="174">
        <f t="shared" si="54"/>
        <v>0</v>
      </c>
      <c r="Z131" s="174">
        <f t="shared" si="54"/>
        <v>0</v>
      </c>
      <c r="AA131" s="174">
        <f t="shared" si="54"/>
        <v>48512.051243262285</v>
      </c>
      <c r="AB131" s="174">
        <f t="shared" si="54"/>
        <v>69322.470641176085</v>
      </c>
      <c r="AC131" s="174">
        <f t="shared" si="54"/>
        <v>275021.68576201424</v>
      </c>
      <c r="AD131" s="174">
        <f t="shared" si="54"/>
        <v>54312.30838878658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5609437.7182151098</v>
      </c>
      <c r="K132" s="174">
        <f t="shared" si="55"/>
        <v>26380932.281549994</v>
      </c>
      <c r="L132" s="174">
        <f t="shared" si="55"/>
        <v>301132.58338245167</v>
      </c>
      <c r="M132" s="174">
        <f t="shared" si="55"/>
        <v>5247427.9883359019</v>
      </c>
      <c r="N132" s="174">
        <f t="shared" si="55"/>
        <v>661730.120847299</v>
      </c>
      <c r="O132" s="174">
        <f t="shared" si="55"/>
        <v>4754011.845312411</v>
      </c>
      <c r="P132" s="174">
        <f t="shared" si="55"/>
        <v>101885.60855706815</v>
      </c>
      <c r="Q132" s="174">
        <f t="shared" si="55"/>
        <v>739432.4685597897</v>
      </c>
      <c r="R132" s="174">
        <f t="shared" si="55"/>
        <v>551758.34512795729</v>
      </c>
      <c r="S132" s="174">
        <f t="shared" si="55"/>
        <v>3075784.3303493815</v>
      </c>
      <c r="T132" s="174">
        <f t="shared" si="55"/>
        <v>525064.55793852627</v>
      </c>
      <c r="U132" s="174">
        <f t="shared" si="55"/>
        <v>242343.91231757676</v>
      </c>
      <c r="V132" s="174">
        <f t="shared" si="55"/>
        <v>189273.92281696838</v>
      </c>
      <c r="W132" s="174">
        <f t="shared" si="55"/>
        <v>179228.07042369616</v>
      </c>
      <c r="X132" s="174">
        <f t="shared" si="55"/>
        <v>715284.69092016132</v>
      </c>
      <c r="Y132" s="174">
        <f t="shared" si="55"/>
        <v>0</v>
      </c>
      <c r="Z132" s="174">
        <f t="shared" si="55"/>
        <v>0</v>
      </c>
      <c r="AA132" s="174">
        <f t="shared" si="55"/>
        <v>180484.60459234766</v>
      </c>
      <c r="AB132" s="174">
        <f t="shared" si="55"/>
        <v>257907.84727485638</v>
      </c>
      <c r="AC132" s="174">
        <f t="shared" si="55"/>
        <v>1023192.7724551127</v>
      </c>
      <c r="AD132" s="174">
        <f t="shared" si="55"/>
        <v>202063.92541295072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10180000</v>
      </c>
      <c r="K133" s="175">
        <f t="shared" si="56"/>
        <v>35472210.487194926</v>
      </c>
      <c r="L133" s="175">
        <f t="shared" si="56"/>
        <v>863139.78799552319</v>
      </c>
      <c r="M133" s="175">
        <f t="shared" si="56"/>
        <v>2623947.7688073181</v>
      </c>
      <c r="N133" s="175">
        <f t="shared" si="56"/>
        <v>3350477.2222617008</v>
      </c>
      <c r="O133" s="175">
        <f t="shared" si="56"/>
        <v>-972253.4377083861</v>
      </c>
      <c r="P133" s="175">
        <f t="shared" si="56"/>
        <v>292035.89190497209</v>
      </c>
      <c r="Q133" s="175">
        <f t="shared" si="56"/>
        <v>2119443.7911061868</v>
      </c>
      <c r="R133" s="175">
        <f t="shared" si="56"/>
        <v>1581511.2920997129</v>
      </c>
      <c r="S133" s="175">
        <f t="shared" si="56"/>
        <v>8816156.0100786686</v>
      </c>
      <c r="T133" s="175">
        <f t="shared" si="56"/>
        <v>1504998.5827917978</v>
      </c>
      <c r="U133" s="175">
        <f t="shared" si="56"/>
        <v>694633.14381404966</v>
      </c>
      <c r="V133" s="175">
        <f t="shared" si="56"/>
        <v>542518.02238827199</v>
      </c>
      <c r="W133" s="175">
        <f t="shared" si="56"/>
        <v>513723.48010537733</v>
      </c>
      <c r="X133" s="175">
        <f t="shared" si="56"/>
        <v>2050228.7382603094</v>
      </c>
      <c r="Y133" s="175">
        <f t="shared" si="56"/>
        <v>0</v>
      </c>
      <c r="Z133" s="175">
        <f t="shared" si="56"/>
        <v>0</v>
      </c>
      <c r="AA133" s="175">
        <f t="shared" si="56"/>
        <v>517325.09844822384</v>
      </c>
      <c r="AB133" s="175">
        <f t="shared" si="56"/>
        <v>739244.22963049496</v>
      </c>
      <c r="AC133" s="175">
        <f t="shared" si="56"/>
        <v>2932789.2145560593</v>
      </c>
      <c r="AD133" s="175">
        <f t="shared" si="56"/>
        <v>579178.1539660549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607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2">
        <f t="shared" ref="J136:AQ136" si="57">J45 + J97 + J116</f>
        <v>0</v>
      </c>
      <c r="K136" s="222">
        <f t="shared" si="57"/>
        <v>9133584.1817398928</v>
      </c>
      <c r="L136" s="222">
        <f t="shared" si="57"/>
        <v>551088.39316264493</v>
      </c>
      <c r="M136" s="222">
        <f t="shared" si="57"/>
        <v>7746528.5798433591</v>
      </c>
      <c r="N136" s="222">
        <f t="shared" si="57"/>
        <v>1201698.5192856165</v>
      </c>
      <c r="O136" s="222">
        <f t="shared" si="57"/>
        <v>618275.42988116562</v>
      </c>
      <c r="P136" s="222">
        <f t="shared" si="57"/>
        <v>186455.99780480246</v>
      </c>
      <c r="Q136" s="222">
        <f t="shared" si="57"/>
        <v>1353200.1299021463</v>
      </c>
      <c r="R136" s="222">
        <f t="shared" si="57"/>
        <v>1009746.658482542</v>
      </c>
      <c r="S136" s="222">
        <f t="shared" si="57"/>
        <v>5628846.3549436657</v>
      </c>
      <c r="T136" s="222">
        <f t="shared" si="57"/>
        <v>960895.63039247994</v>
      </c>
      <c r="U136" s="222">
        <f t="shared" si="57"/>
        <v>443502.04727671132</v>
      </c>
      <c r="V136" s="222">
        <f t="shared" si="57"/>
        <v>346381.18805071159</v>
      </c>
      <c r="W136" s="222">
        <f t="shared" si="57"/>
        <v>327996.75222788221</v>
      </c>
      <c r="X136" s="222">
        <f t="shared" si="57"/>
        <v>1309008.432582662</v>
      </c>
      <c r="Y136" s="222">
        <f t="shared" si="57"/>
        <v>0</v>
      </c>
      <c r="Z136" s="222">
        <f t="shared" si="57"/>
        <v>0</v>
      </c>
      <c r="AA136" s="222">
        <f t="shared" si="57"/>
        <v>330296.27554142766</v>
      </c>
      <c r="AB136" s="222">
        <f t="shared" si="57"/>
        <v>471984.86308678868</v>
      </c>
      <c r="AC136" s="222">
        <f t="shared" si="57"/>
        <v>1872496.342090555</v>
      </c>
      <c r="AD136" s="222">
        <f t="shared" si="57"/>
        <v>369787.56241244631</v>
      </c>
      <c r="AE136" s="222">
        <f t="shared" si="57"/>
        <v>0</v>
      </c>
      <c r="AF136" s="222">
        <f t="shared" si="57"/>
        <v>0</v>
      </c>
      <c r="AG136" s="222">
        <f t="shared" si="57"/>
        <v>0</v>
      </c>
      <c r="AH136" s="222">
        <f t="shared" si="57"/>
        <v>0</v>
      </c>
      <c r="AI136" s="222">
        <f t="shared" si="57"/>
        <v>0</v>
      </c>
      <c r="AJ136" s="222">
        <f t="shared" si="57"/>
        <v>0</v>
      </c>
      <c r="AK136" s="222">
        <f t="shared" si="57"/>
        <v>0</v>
      </c>
      <c r="AL136" s="222">
        <f t="shared" si="57"/>
        <v>0</v>
      </c>
      <c r="AM136" s="222">
        <f t="shared" si="57"/>
        <v>0</v>
      </c>
      <c r="AN136" s="222">
        <f t="shared" si="57"/>
        <v>0</v>
      </c>
      <c r="AO136" s="222">
        <f t="shared" si="57"/>
        <v>0</v>
      </c>
      <c r="AP136" s="222">
        <f t="shared" si="57"/>
        <v>1450093.49</v>
      </c>
      <c r="AQ136" s="222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3833598.9292598576</v>
      </c>
      <c r="K137" s="174">
        <f t="shared" si="58"/>
        <v>8739419.5195739027</v>
      </c>
      <c r="L137" s="174">
        <f t="shared" si="58"/>
        <v>527305.88172000414</v>
      </c>
      <c r="M137" s="174">
        <f t="shared" si="58"/>
        <v>7412223.0367097463</v>
      </c>
      <c r="N137" s="174">
        <f t="shared" si="58"/>
        <v>1149838.5833114616</v>
      </c>
      <c r="O137" s="174">
        <f t="shared" si="58"/>
        <v>591593.42628920684</v>
      </c>
      <c r="P137" s="174">
        <f t="shared" si="58"/>
        <v>178409.39047944552</v>
      </c>
      <c r="Q137" s="174">
        <f t="shared" si="58"/>
        <v>1294802.0616922744</v>
      </c>
      <c r="R137" s="174">
        <f t="shared" si="58"/>
        <v>966170.50671183702</v>
      </c>
      <c r="S137" s="174">
        <f t="shared" si="58"/>
        <v>5385930.5096705351</v>
      </c>
      <c r="T137" s="174">
        <f t="shared" si="58"/>
        <v>919427.67060867045</v>
      </c>
      <c r="U137" s="174">
        <f t="shared" si="58"/>
        <v>424362.4815644644</v>
      </c>
      <c r="V137" s="174">
        <f t="shared" si="58"/>
        <v>331432.92444992054</v>
      </c>
      <c r="W137" s="174">
        <f t="shared" si="58"/>
        <v>313841.87869073189</v>
      </c>
      <c r="X137" s="174">
        <f t="shared" si="58"/>
        <v>1252517.4804728748</v>
      </c>
      <c r="Y137" s="174">
        <f t="shared" si="58"/>
        <v>0</v>
      </c>
      <c r="Z137" s="174">
        <f t="shared" si="58"/>
        <v>0</v>
      </c>
      <c r="AA137" s="174">
        <f t="shared" si="58"/>
        <v>316042.16485794011</v>
      </c>
      <c r="AB137" s="174">
        <f t="shared" si="58"/>
        <v>451616.10637482879</v>
      </c>
      <c r="AC137" s="174">
        <f t="shared" si="58"/>
        <v>1791687.7708439298</v>
      </c>
      <c r="AD137" s="174">
        <f t="shared" si="58"/>
        <v>353829.18433093821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7076213.1724872757</v>
      </c>
      <c r="L138" s="174">
        <f t="shared" si="60"/>
        <v>83528.362443916092</v>
      </c>
      <c r="M138" s="174">
        <f t="shared" si="60"/>
        <v>573539.81024087581</v>
      </c>
      <c r="N138" s="174">
        <f t="shared" si="60"/>
        <v>5346590.5619099857</v>
      </c>
      <c r="O138" s="174">
        <f t="shared" si="60"/>
        <v>-146466.90354319691</v>
      </c>
      <c r="P138" s="174">
        <f t="shared" si="60"/>
        <v>28261.099957307644</v>
      </c>
      <c r="Q138" s="174">
        <f t="shared" si="60"/>
        <v>205104.28510560488</v>
      </c>
      <c r="R138" s="174">
        <f t="shared" si="60"/>
        <v>153047.10807322446</v>
      </c>
      <c r="S138" s="174">
        <f t="shared" si="60"/>
        <v>853163.16639985517</v>
      </c>
      <c r="T138" s="174">
        <f t="shared" si="60"/>
        <v>145642.76708058018</v>
      </c>
      <c r="U138" s="174">
        <f t="shared" si="60"/>
        <v>67221.520556711694</v>
      </c>
      <c r="V138" s="174">
        <f t="shared" si="60"/>
        <v>52500.93048269859</v>
      </c>
      <c r="W138" s="174">
        <f t="shared" si="60"/>
        <v>49714.405058123026</v>
      </c>
      <c r="X138" s="174">
        <f t="shared" si="60"/>
        <v>198406.15798750333</v>
      </c>
      <c r="Y138" s="174">
        <f t="shared" si="60"/>
        <v>0</v>
      </c>
      <c r="Z138" s="174">
        <f t="shared" si="60"/>
        <v>0</v>
      </c>
      <c r="AA138" s="174">
        <f t="shared" si="60"/>
        <v>50062.9433673401</v>
      </c>
      <c r="AB138" s="174">
        <f t="shared" si="60"/>
        <v>71538.655506250143</v>
      </c>
      <c r="AC138" s="174">
        <f t="shared" si="60"/>
        <v>283813.91275443917</v>
      </c>
      <c r="AD138" s="174">
        <f t="shared" si="60"/>
        <v>56048.630171971396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5609437.7182151098</v>
      </c>
      <c r="K139" s="174">
        <f t="shared" si="62"/>
        <v>26397970.840449542</v>
      </c>
      <c r="L139" s="174">
        <f t="shared" si="62"/>
        <v>310759.55523588188</v>
      </c>
      <c r="M139" s="174">
        <f t="shared" si="62"/>
        <v>5246413.1937279776</v>
      </c>
      <c r="N139" s="174">
        <f t="shared" si="62"/>
        <v>668938.10903444269</v>
      </c>
      <c r="O139" s="174">
        <f t="shared" si="62"/>
        <v>4737130.9593879897</v>
      </c>
      <c r="P139" s="174">
        <f t="shared" si="62"/>
        <v>105142.81133078053</v>
      </c>
      <c r="Q139" s="174">
        <f t="shared" si="62"/>
        <v>763071.5430245304</v>
      </c>
      <c r="R139" s="174">
        <f t="shared" si="62"/>
        <v>569397.62547011767</v>
      </c>
      <c r="S139" s="174">
        <f t="shared" si="62"/>
        <v>3174114.7363217184</v>
      </c>
      <c r="T139" s="174">
        <f t="shared" si="62"/>
        <v>541850.45889859658</v>
      </c>
      <c r="U139" s="174">
        <f t="shared" si="62"/>
        <v>250091.45659367528</v>
      </c>
      <c r="V139" s="174">
        <f t="shared" si="62"/>
        <v>195324.86126766761</v>
      </c>
      <c r="W139" s="174">
        <f t="shared" si="62"/>
        <v>184957.85087432966</v>
      </c>
      <c r="X139" s="174">
        <f t="shared" si="62"/>
        <v>738151.77992571192</v>
      </c>
      <c r="Y139" s="174">
        <f t="shared" si="62"/>
        <v>0</v>
      </c>
      <c r="Z139" s="174">
        <f t="shared" si="62"/>
        <v>0</v>
      </c>
      <c r="AA139" s="174">
        <f t="shared" si="62"/>
        <v>186254.55545210329</v>
      </c>
      <c r="AB139" s="174">
        <f t="shared" si="62"/>
        <v>266152.95831068361</v>
      </c>
      <c r="AC139" s="174">
        <f t="shared" si="62"/>
        <v>1055903.4406611777</v>
      </c>
      <c r="AD139" s="174">
        <f t="shared" si="62"/>
        <v>208523.75018745384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10180000</v>
      </c>
      <c r="K140" s="175">
        <f t="shared" si="64"/>
        <v>35391465.158996582</v>
      </c>
      <c r="L140" s="175">
        <f t="shared" si="64"/>
        <v>817517.79575755296</v>
      </c>
      <c r="M140" s="175">
        <f t="shared" si="64"/>
        <v>2628756.8564862572</v>
      </c>
      <c r="N140" s="175">
        <f t="shared" si="64"/>
        <v>3316318.736485295</v>
      </c>
      <c r="O140" s="175">
        <f t="shared" si="64"/>
        <v>-892255.31801516388</v>
      </c>
      <c r="P140" s="175">
        <f t="shared" si="64"/>
        <v>276600.08489086368</v>
      </c>
      <c r="Q140" s="175">
        <f t="shared" si="64"/>
        <v>2007418.7755392271</v>
      </c>
      <c r="R140" s="175">
        <f t="shared" si="64"/>
        <v>1497919.1591730246</v>
      </c>
      <c r="S140" s="175">
        <f t="shared" si="64"/>
        <v>8350170.5386006357</v>
      </c>
      <c r="T140" s="175">
        <f t="shared" si="64"/>
        <v>1425450.5946012223</v>
      </c>
      <c r="U140" s="175">
        <f t="shared" si="64"/>
        <v>657917.71447563777</v>
      </c>
      <c r="V140" s="175">
        <f t="shared" si="64"/>
        <v>513842.76798500132</v>
      </c>
      <c r="W140" s="175">
        <f t="shared" si="64"/>
        <v>486570.18587912148</v>
      </c>
      <c r="X140" s="175">
        <f t="shared" si="64"/>
        <v>1941862.1435512488</v>
      </c>
      <c r="Y140" s="175">
        <f t="shared" si="64"/>
        <v>0</v>
      </c>
      <c r="Z140" s="175">
        <f t="shared" si="64"/>
        <v>0</v>
      </c>
      <c r="AA140" s="175">
        <f t="shared" si="64"/>
        <v>489981.43760190625</v>
      </c>
      <c r="AB140" s="175">
        <f t="shared" si="64"/>
        <v>700170.84316955053</v>
      </c>
      <c r="AC140" s="175">
        <f t="shared" si="64"/>
        <v>2777774.1305071553</v>
      </c>
      <c r="AD140" s="175">
        <f t="shared" si="64"/>
        <v>548565.19693159324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493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525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8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MIDE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H86 &amp; IF(H86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458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9103368.6923444569</v>
      </c>
      <c r="L21" s="156">
        <f>Expenditure!L129</f>
        <v>534016.3116760375</v>
      </c>
      <c r="M21" s="156">
        <f>Expenditure!M129</f>
        <v>7748328.1754485406</v>
      </c>
      <c r="N21" s="156">
        <f>Expenditure!N129</f>
        <v>1188916.1653368431</v>
      </c>
      <c r="O21" s="156">
        <f>Expenditure!O129</f>
        <v>648211.30841654877</v>
      </c>
      <c r="P21" s="156">
        <f>Expenditure!P129</f>
        <v>180679.80649378203</v>
      </c>
      <c r="Q21" s="156">
        <f>Expenditure!Q129</f>
        <v>1311279.5538711445</v>
      </c>
      <c r="R21" s="156">
        <f>Expenditure!R129</f>
        <v>978465.87404156779</v>
      </c>
      <c r="S21" s="156">
        <f>Expenditure!S129</f>
        <v>5454471.2005411116</v>
      </c>
      <c r="T21" s="156">
        <f>Expenditure!T129</f>
        <v>931128.19434099342</v>
      </c>
      <c r="U21" s="156">
        <f>Expenditure!U129</f>
        <v>429762.86644016148</v>
      </c>
      <c r="V21" s="156">
        <f>Expenditure!V129</f>
        <v>335650.69918323075</v>
      </c>
      <c r="W21" s="156">
        <f>Expenditure!W129</f>
        <v>317835.79193394189</v>
      </c>
      <c r="X21" s="156">
        <f>Expenditure!X129</f>
        <v>1268456.8642590083</v>
      </c>
      <c r="Y21" s="156">
        <f>Expenditure!Y129</f>
        <v>0</v>
      </c>
      <c r="Z21" s="156">
        <f>Expenditure!Z129</f>
        <v>0</v>
      </c>
      <c r="AA21" s="156">
        <f>Expenditure!AA129</f>
        <v>320064.07867296273</v>
      </c>
      <c r="AB21" s="156">
        <f>Expenditure!AB129</f>
        <v>457363.31753613724</v>
      </c>
      <c r="AC21" s="156">
        <f>Expenditure!AC129</f>
        <v>1814488.5695949553</v>
      </c>
      <c r="AD21" s="156">
        <f>Expenditure!AD129</f>
        <v>358331.97111971508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3833598.9292598576</v>
      </c>
      <c r="K22" s="152">
        <f>Expenditure!K130</f>
        <v>8710507.9956243169</v>
      </c>
      <c r="L22" s="152">
        <f>Expenditure!L130</f>
        <v>510970.55495068419</v>
      </c>
      <c r="M22" s="152">
        <f>Expenditure!M130</f>
        <v>7413944.9698135881</v>
      </c>
      <c r="N22" s="152">
        <f>Expenditure!N130</f>
        <v>1137607.8586164021</v>
      </c>
      <c r="O22" s="152">
        <f>Expenditure!O130</f>
        <v>620237.40613347897</v>
      </c>
      <c r="P22" s="152">
        <f>Expenditure!P130</f>
        <v>172882.47376330607</v>
      </c>
      <c r="Q22" s="152">
        <f>Expenditure!Q130</f>
        <v>1254690.5903194526</v>
      </c>
      <c r="R22" s="152">
        <f>Expenditure!R130</f>
        <v>936239.66108854127</v>
      </c>
      <c r="S22" s="152">
        <f>Expenditure!S130</f>
        <v>5219080.607398754</v>
      </c>
      <c r="T22" s="152">
        <f>Expenditure!T130</f>
        <v>890944.86402370175</v>
      </c>
      <c r="U22" s="152">
        <f>Expenditure!U130</f>
        <v>411216.22235266987</v>
      </c>
      <c r="V22" s="152">
        <f>Expenditure!V130</f>
        <v>321165.51551197964</v>
      </c>
      <c r="W22" s="152">
        <f>Expenditure!W130</f>
        <v>304119.42001913936</v>
      </c>
      <c r="X22" s="152">
        <f>Expenditure!X130</f>
        <v>1213715.9365548156</v>
      </c>
      <c r="Y22" s="152">
        <f>Expenditure!Y130</f>
        <v>0</v>
      </c>
      <c r="Z22" s="152">
        <f>Expenditure!Z130</f>
        <v>0</v>
      </c>
      <c r="AA22" s="152">
        <f>Expenditure!AA130</f>
        <v>306251.54386392079</v>
      </c>
      <c r="AB22" s="152">
        <f>Expenditure!AB130</f>
        <v>437625.56136543694</v>
      </c>
      <c r="AC22" s="152">
        <f>Expenditure!AC130</f>
        <v>1736183.3544891148</v>
      </c>
      <c r="AD22" s="152">
        <f>Expenditure!AD130</f>
        <v>342867.96514689561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7071633.4165335018</v>
      </c>
      <c r="L23" s="152">
        <f>Expenditure!L131</f>
        <v>80940.750315303259</v>
      </c>
      <c r="M23" s="152">
        <f>Expenditure!M131</f>
        <v>573812.57460286759</v>
      </c>
      <c r="N23" s="152">
        <f>Expenditure!N131</f>
        <v>5344653.1429645559</v>
      </c>
      <c r="O23" s="152">
        <f>Expenditure!O131</f>
        <v>-141929.52815405032</v>
      </c>
      <c r="P23" s="152">
        <f>Expenditure!P131</f>
        <v>27385.603744071454</v>
      </c>
      <c r="Q23" s="152">
        <f>Expenditure!Q131</f>
        <v>198750.39140720898</v>
      </c>
      <c r="R23" s="152">
        <f>Expenditure!R131</f>
        <v>148305.88555296612</v>
      </c>
      <c r="S23" s="152">
        <f>Expenditure!S131</f>
        <v>826733.15756849211</v>
      </c>
      <c r="T23" s="152">
        <f>Expenditure!T131</f>
        <v>141130.92248653006</v>
      </c>
      <c r="U23" s="152">
        <f>Expenditure!U131</f>
        <v>65139.07554274251</v>
      </c>
      <c r="V23" s="152">
        <f>Expenditure!V131</f>
        <v>50874.512335548803</v>
      </c>
      <c r="W23" s="152">
        <f>Expenditure!W131</f>
        <v>48174.310248033289</v>
      </c>
      <c r="X23" s="152">
        <f>Expenditure!X131</f>
        <v>192259.76452570583</v>
      </c>
      <c r="Y23" s="152">
        <f>Expenditure!Y131</f>
        <v>0</v>
      </c>
      <c r="Z23" s="152">
        <f>Expenditure!Z131</f>
        <v>0</v>
      </c>
      <c r="AA23" s="152">
        <f>Expenditure!AA131</f>
        <v>48512.051243262285</v>
      </c>
      <c r="AB23" s="152">
        <f>Expenditure!AB131</f>
        <v>69322.470641176085</v>
      </c>
      <c r="AC23" s="152">
        <f>Expenditure!AC131</f>
        <v>275021.68576201424</v>
      </c>
      <c r="AD23" s="152">
        <f>Expenditure!AD131</f>
        <v>54312.30838878658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5609437.7182151098</v>
      </c>
      <c r="K24" s="152">
        <f>Expenditure!K132</f>
        <v>26380932.281549994</v>
      </c>
      <c r="L24" s="152">
        <f>Expenditure!L132</f>
        <v>301132.58338245167</v>
      </c>
      <c r="M24" s="152">
        <f>Expenditure!M132</f>
        <v>5247427.9883359019</v>
      </c>
      <c r="N24" s="152">
        <f>Expenditure!N132</f>
        <v>661730.120847299</v>
      </c>
      <c r="O24" s="152">
        <f>Expenditure!O132</f>
        <v>4754011.845312411</v>
      </c>
      <c r="P24" s="152">
        <f>Expenditure!P132</f>
        <v>101885.60855706815</v>
      </c>
      <c r="Q24" s="152">
        <f>Expenditure!Q132</f>
        <v>739432.4685597897</v>
      </c>
      <c r="R24" s="152">
        <f>Expenditure!R132</f>
        <v>551758.34512795729</v>
      </c>
      <c r="S24" s="152">
        <f>Expenditure!S132</f>
        <v>3075784.3303493815</v>
      </c>
      <c r="T24" s="152">
        <f>Expenditure!T132</f>
        <v>525064.55793852627</v>
      </c>
      <c r="U24" s="152">
        <f>Expenditure!U132</f>
        <v>242343.91231757676</v>
      </c>
      <c r="V24" s="152">
        <f>Expenditure!V132</f>
        <v>189273.92281696838</v>
      </c>
      <c r="W24" s="152">
        <f>Expenditure!W132</f>
        <v>179228.07042369616</v>
      </c>
      <c r="X24" s="152">
        <f>Expenditure!X132</f>
        <v>715284.69092016132</v>
      </c>
      <c r="Y24" s="152">
        <f>Expenditure!Y132</f>
        <v>0</v>
      </c>
      <c r="Z24" s="152">
        <f>Expenditure!Z132</f>
        <v>0</v>
      </c>
      <c r="AA24" s="152">
        <f>Expenditure!AA132</f>
        <v>180484.60459234766</v>
      </c>
      <c r="AB24" s="152">
        <f>Expenditure!AB132</f>
        <v>257907.84727485638</v>
      </c>
      <c r="AC24" s="152">
        <f>Expenditure!AC132</f>
        <v>1023192.7724551127</v>
      </c>
      <c r="AD24" s="152">
        <f>Expenditure!AD132</f>
        <v>202063.92541295072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10180000</v>
      </c>
      <c r="K25" s="162">
        <f>Expenditure!K133</f>
        <v>35472210.487194926</v>
      </c>
      <c r="L25" s="162">
        <f>Expenditure!L133</f>
        <v>863139.78799552319</v>
      </c>
      <c r="M25" s="162">
        <f>Expenditure!M133</f>
        <v>2623947.7688073181</v>
      </c>
      <c r="N25" s="162">
        <f>Expenditure!N133</f>
        <v>3350477.2222617008</v>
      </c>
      <c r="O25" s="162">
        <f>Expenditure!O133</f>
        <v>-972253.4377083861</v>
      </c>
      <c r="P25" s="162">
        <f>Expenditure!P133</f>
        <v>292035.89190497209</v>
      </c>
      <c r="Q25" s="162">
        <f>Expenditure!Q133</f>
        <v>2119443.7911061868</v>
      </c>
      <c r="R25" s="162">
        <f>Expenditure!R133</f>
        <v>1581511.2920997129</v>
      </c>
      <c r="S25" s="162">
        <f>Expenditure!S133</f>
        <v>8816156.0100786686</v>
      </c>
      <c r="T25" s="162">
        <f>Expenditure!T133</f>
        <v>1504998.5827917978</v>
      </c>
      <c r="U25" s="162">
        <f>Expenditure!U133</f>
        <v>694633.14381404966</v>
      </c>
      <c r="V25" s="162">
        <f>Expenditure!V133</f>
        <v>542518.02238827199</v>
      </c>
      <c r="W25" s="162">
        <f>Expenditure!W133</f>
        <v>513723.48010537733</v>
      </c>
      <c r="X25" s="162">
        <f>Expenditure!X133</f>
        <v>2050228.7382603094</v>
      </c>
      <c r="Y25" s="162">
        <f>Expenditure!Y133</f>
        <v>0</v>
      </c>
      <c r="Z25" s="162">
        <f>Expenditure!Z133</f>
        <v>0</v>
      </c>
      <c r="AA25" s="162">
        <f>Expenditure!AA133</f>
        <v>517325.09844822384</v>
      </c>
      <c r="AB25" s="162">
        <f>Expenditure!AB133</f>
        <v>739244.22963049496</v>
      </c>
      <c r="AC25" s="162">
        <f>Expenditure!AC133</f>
        <v>2932789.2145560593</v>
      </c>
      <c r="AD25" s="162">
        <f>Expenditure!AD133</f>
        <v>579178.1539660549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9133584.1817398928</v>
      </c>
      <c r="L28" s="156">
        <f>Expenditure!L136</f>
        <v>551088.39316264493</v>
      </c>
      <c r="M28" s="156">
        <f>Expenditure!M136</f>
        <v>7746528.5798433591</v>
      </c>
      <c r="N28" s="156">
        <f>Expenditure!N136</f>
        <v>1201698.5192856165</v>
      </c>
      <c r="O28" s="156">
        <f>Expenditure!O136</f>
        <v>618275.42988116562</v>
      </c>
      <c r="P28" s="156">
        <f>Expenditure!P136</f>
        <v>186455.99780480246</v>
      </c>
      <c r="Q28" s="156">
        <f>Expenditure!Q136</f>
        <v>1353200.1299021463</v>
      </c>
      <c r="R28" s="156">
        <f>Expenditure!R136</f>
        <v>1009746.658482542</v>
      </c>
      <c r="S28" s="156">
        <f>Expenditure!S136</f>
        <v>5628846.3549436657</v>
      </c>
      <c r="T28" s="156">
        <f>Expenditure!T136</f>
        <v>960895.63039247994</v>
      </c>
      <c r="U28" s="156">
        <f>Expenditure!U136</f>
        <v>443502.04727671132</v>
      </c>
      <c r="V28" s="156">
        <f>Expenditure!V136</f>
        <v>346381.18805071159</v>
      </c>
      <c r="W28" s="156">
        <f>Expenditure!W136</f>
        <v>327996.75222788221</v>
      </c>
      <c r="X28" s="156">
        <f>Expenditure!X136</f>
        <v>1309008.432582662</v>
      </c>
      <c r="Y28" s="156">
        <f>Expenditure!Y136</f>
        <v>0</v>
      </c>
      <c r="Z28" s="156">
        <f>Expenditure!Z136</f>
        <v>0</v>
      </c>
      <c r="AA28" s="156">
        <f>Expenditure!AA136</f>
        <v>330296.27554142766</v>
      </c>
      <c r="AB28" s="156">
        <f>Expenditure!AB136</f>
        <v>471984.86308678868</v>
      </c>
      <c r="AC28" s="156">
        <f>Expenditure!AC136</f>
        <v>1872496.342090555</v>
      </c>
      <c r="AD28" s="156">
        <f>Expenditure!AD136</f>
        <v>369787.56241244631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3833598.9292598576</v>
      </c>
      <c r="K29" s="152">
        <f>Expenditure!K137</f>
        <v>8739419.5195739027</v>
      </c>
      <c r="L29" s="152">
        <f>Expenditure!L137</f>
        <v>527305.88172000414</v>
      </c>
      <c r="M29" s="152">
        <f>Expenditure!M137</f>
        <v>7412223.0367097463</v>
      </c>
      <c r="N29" s="152">
        <f>Expenditure!N137</f>
        <v>1149838.5833114616</v>
      </c>
      <c r="O29" s="152">
        <f>Expenditure!O137</f>
        <v>591593.42628920684</v>
      </c>
      <c r="P29" s="152">
        <f>Expenditure!P137</f>
        <v>178409.39047944552</v>
      </c>
      <c r="Q29" s="152">
        <f>Expenditure!Q137</f>
        <v>1294802.0616922744</v>
      </c>
      <c r="R29" s="152">
        <f>Expenditure!R137</f>
        <v>966170.50671183702</v>
      </c>
      <c r="S29" s="152">
        <f>Expenditure!S137</f>
        <v>5385930.5096705351</v>
      </c>
      <c r="T29" s="152">
        <f>Expenditure!T137</f>
        <v>919427.67060867045</v>
      </c>
      <c r="U29" s="152">
        <f>Expenditure!U137</f>
        <v>424362.4815644644</v>
      </c>
      <c r="V29" s="152">
        <f>Expenditure!V137</f>
        <v>331432.92444992054</v>
      </c>
      <c r="W29" s="152">
        <f>Expenditure!W137</f>
        <v>313841.87869073189</v>
      </c>
      <c r="X29" s="152">
        <f>Expenditure!X137</f>
        <v>1252517.4804728748</v>
      </c>
      <c r="Y29" s="152">
        <f>Expenditure!Y137</f>
        <v>0</v>
      </c>
      <c r="Z29" s="152">
        <f>Expenditure!Z137</f>
        <v>0</v>
      </c>
      <c r="AA29" s="152">
        <f>Expenditure!AA137</f>
        <v>316042.16485794011</v>
      </c>
      <c r="AB29" s="152">
        <f>Expenditure!AB137</f>
        <v>451616.10637482879</v>
      </c>
      <c r="AC29" s="152">
        <f>Expenditure!AC137</f>
        <v>1791687.7708439298</v>
      </c>
      <c r="AD29" s="152">
        <f>Expenditure!AD137</f>
        <v>353829.18433093821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7076213.1724872757</v>
      </c>
      <c r="L30" s="152">
        <f>Expenditure!L138</f>
        <v>83528.362443916092</v>
      </c>
      <c r="M30" s="152">
        <f>Expenditure!M138</f>
        <v>573539.81024087581</v>
      </c>
      <c r="N30" s="152">
        <f>Expenditure!N138</f>
        <v>5346590.5619099857</v>
      </c>
      <c r="O30" s="152">
        <f>Expenditure!O138</f>
        <v>-146466.90354319691</v>
      </c>
      <c r="P30" s="152">
        <f>Expenditure!P138</f>
        <v>28261.099957307644</v>
      </c>
      <c r="Q30" s="152">
        <f>Expenditure!Q138</f>
        <v>205104.28510560488</v>
      </c>
      <c r="R30" s="152">
        <f>Expenditure!R138</f>
        <v>153047.10807322446</v>
      </c>
      <c r="S30" s="152">
        <f>Expenditure!S138</f>
        <v>853163.16639985517</v>
      </c>
      <c r="T30" s="152">
        <f>Expenditure!T138</f>
        <v>145642.76708058018</v>
      </c>
      <c r="U30" s="152">
        <f>Expenditure!U138</f>
        <v>67221.520556711694</v>
      </c>
      <c r="V30" s="152">
        <f>Expenditure!V138</f>
        <v>52500.93048269859</v>
      </c>
      <c r="W30" s="152">
        <f>Expenditure!W138</f>
        <v>49714.405058123026</v>
      </c>
      <c r="X30" s="152">
        <f>Expenditure!X138</f>
        <v>198406.15798750333</v>
      </c>
      <c r="Y30" s="152">
        <f>Expenditure!Y138</f>
        <v>0</v>
      </c>
      <c r="Z30" s="152">
        <f>Expenditure!Z138</f>
        <v>0</v>
      </c>
      <c r="AA30" s="152">
        <f>Expenditure!AA138</f>
        <v>50062.9433673401</v>
      </c>
      <c r="AB30" s="152">
        <f>Expenditure!AB138</f>
        <v>71538.655506250143</v>
      </c>
      <c r="AC30" s="152">
        <f>Expenditure!AC138</f>
        <v>283813.91275443917</v>
      </c>
      <c r="AD30" s="152">
        <f>Expenditure!AD138</f>
        <v>56048.630171971396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5609437.7182151098</v>
      </c>
      <c r="K31" s="152">
        <f>Expenditure!K139</f>
        <v>26397970.840449542</v>
      </c>
      <c r="L31" s="152">
        <f>Expenditure!L139</f>
        <v>310759.55523588188</v>
      </c>
      <c r="M31" s="152">
        <f>Expenditure!M139</f>
        <v>5246413.1937279776</v>
      </c>
      <c r="N31" s="152">
        <f>Expenditure!N139</f>
        <v>668938.10903444269</v>
      </c>
      <c r="O31" s="152">
        <f>Expenditure!O139</f>
        <v>4737130.9593879897</v>
      </c>
      <c r="P31" s="152">
        <f>Expenditure!P139</f>
        <v>105142.81133078053</v>
      </c>
      <c r="Q31" s="152">
        <f>Expenditure!Q139</f>
        <v>763071.5430245304</v>
      </c>
      <c r="R31" s="152">
        <f>Expenditure!R139</f>
        <v>569397.62547011767</v>
      </c>
      <c r="S31" s="152">
        <f>Expenditure!S139</f>
        <v>3174114.7363217184</v>
      </c>
      <c r="T31" s="152">
        <f>Expenditure!T139</f>
        <v>541850.45889859658</v>
      </c>
      <c r="U31" s="152">
        <f>Expenditure!U139</f>
        <v>250091.45659367528</v>
      </c>
      <c r="V31" s="152">
        <f>Expenditure!V139</f>
        <v>195324.86126766761</v>
      </c>
      <c r="W31" s="152">
        <f>Expenditure!W139</f>
        <v>184957.85087432966</v>
      </c>
      <c r="X31" s="152">
        <f>Expenditure!X139</f>
        <v>738151.77992571192</v>
      </c>
      <c r="Y31" s="152">
        <f>Expenditure!Y139</f>
        <v>0</v>
      </c>
      <c r="Z31" s="152">
        <f>Expenditure!Z139</f>
        <v>0</v>
      </c>
      <c r="AA31" s="152">
        <f>Expenditure!AA139</f>
        <v>186254.55545210329</v>
      </c>
      <c r="AB31" s="152">
        <f>Expenditure!AB139</f>
        <v>266152.95831068361</v>
      </c>
      <c r="AC31" s="152">
        <f>Expenditure!AC139</f>
        <v>1055903.4406611777</v>
      </c>
      <c r="AD31" s="152">
        <f>Expenditure!AD139</f>
        <v>208523.75018745384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10180000</v>
      </c>
      <c r="K32" s="162">
        <f>Expenditure!K140</f>
        <v>35391465.158996582</v>
      </c>
      <c r="L32" s="162">
        <f>Expenditure!L140</f>
        <v>817517.79575755296</v>
      </c>
      <c r="M32" s="162">
        <f>Expenditure!M140</f>
        <v>2628756.8564862572</v>
      </c>
      <c r="N32" s="162">
        <f>Expenditure!N140</f>
        <v>3316318.736485295</v>
      </c>
      <c r="O32" s="162">
        <f>Expenditure!O140</f>
        <v>-892255.31801516388</v>
      </c>
      <c r="P32" s="162">
        <f>Expenditure!P140</f>
        <v>276600.08489086368</v>
      </c>
      <c r="Q32" s="162">
        <f>Expenditure!Q140</f>
        <v>2007418.7755392271</v>
      </c>
      <c r="R32" s="162">
        <f>Expenditure!R140</f>
        <v>1497919.1591730246</v>
      </c>
      <c r="S32" s="162">
        <f>Expenditure!S140</f>
        <v>8350170.5386006357</v>
      </c>
      <c r="T32" s="162">
        <f>Expenditure!T140</f>
        <v>1425450.5946012223</v>
      </c>
      <c r="U32" s="162">
        <f>Expenditure!U140</f>
        <v>657917.71447563777</v>
      </c>
      <c r="V32" s="162">
        <f>Expenditure!V140</f>
        <v>513842.76798500132</v>
      </c>
      <c r="W32" s="162">
        <f>Expenditure!W140</f>
        <v>486570.18587912148</v>
      </c>
      <c r="X32" s="162">
        <f>Expenditure!X140</f>
        <v>1941862.1435512488</v>
      </c>
      <c r="Y32" s="162">
        <f>Expenditure!Y140</f>
        <v>0</v>
      </c>
      <c r="Z32" s="162">
        <f>Expenditure!Z140</f>
        <v>0</v>
      </c>
      <c r="AA32" s="162">
        <f>Expenditure!AA140</f>
        <v>489981.43760190625</v>
      </c>
      <c r="AB32" s="162">
        <f>Expenditure!AB140</f>
        <v>700170.84316955053</v>
      </c>
      <c r="AC32" s="162">
        <f>Expenditure!AC140</f>
        <v>2777774.1305071553</v>
      </c>
      <c r="AD32" s="162">
        <f>Expenditure!AD140</f>
        <v>548565.19693159324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643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576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644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554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576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15906618.879233668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13832646.380428622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5498780.7296319315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12174362.749891534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15340742.709529389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62753151.44871515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577</v>
      </c>
      <c r="AT49" s="42"/>
    </row>
    <row r="50" spans="1:46" x14ac:dyDescent="0.25">
      <c r="A50" s="73"/>
      <c r="B50" s="73"/>
      <c r="C50" s="73"/>
      <c r="D50" s="73"/>
      <c r="E50" s="115" t="s">
        <v>488</v>
      </c>
      <c r="F50" s="73"/>
      <c r="G50" s="115" t="s">
        <v>471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555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576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16119857.288225366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14036682.372957237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5531101.2345349742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12294608.202271998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14770902.350725571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528</v>
      </c>
      <c r="F59" s="73"/>
      <c r="G59" s="115" t="str">
        <f>Expenditure!G$19</f>
        <v>£ per year</v>
      </c>
      <c r="H59" s="130">
        <f>SUM(H53:H57)</f>
        <v>62753151.448715143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577</v>
      </c>
      <c r="AT59" s="42"/>
    </row>
    <row r="60" spans="1:46" x14ac:dyDescent="0.25">
      <c r="A60" s="73"/>
      <c r="B60" s="73"/>
      <c r="C60" s="73"/>
      <c r="D60" s="73"/>
      <c r="E60" s="115" t="s">
        <v>529</v>
      </c>
      <c r="F60" s="73"/>
      <c r="G60" s="115" t="s">
        <v>471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73"/>
      <c r="D62" s="73"/>
      <c r="E62" s="115" t="s">
        <v>275</v>
      </c>
      <c r="F62" s="73"/>
      <c r="G62" s="115" t="s">
        <v>231</v>
      </c>
      <c r="H62" s="136">
        <f>IF(H49 = H59, 0, 1)</f>
        <v>1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1"/>
      <c r="C64" s="110" t="s">
        <v>645</v>
      </c>
      <c r="D64" s="110"/>
      <c r="E64" s="110"/>
      <c r="F64" s="110"/>
      <c r="G64" s="110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0"/>
      <c r="AT64" s="42"/>
    </row>
    <row r="65" spans="1:46" x14ac:dyDescent="0.25">
      <c r="A65" s="73"/>
      <c r="B65" s="73"/>
      <c r="C65" s="109"/>
      <c r="D65" s="109"/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115"/>
      <c r="B66" s="73"/>
      <c r="C66" s="73"/>
      <c r="D66" s="109"/>
      <c r="E66" s="112" t="s">
        <v>274</v>
      </c>
      <c r="F66" s="73"/>
      <c r="G66" s="73"/>
      <c r="H66" s="74"/>
      <c r="I66" s="132" t="s">
        <v>314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115" t="s">
        <v>577</v>
      </c>
      <c r="AT66" s="42"/>
    </row>
    <row r="67" spans="1:46" x14ac:dyDescent="0.25">
      <c r="A67" s="73"/>
      <c r="B67" s="73"/>
      <c r="C67" s="73"/>
      <c r="D67" s="73"/>
      <c r="E67" s="73"/>
      <c r="F67" s="113" t="s">
        <v>287</v>
      </c>
      <c r="G67" s="113" t="s">
        <v>44</v>
      </c>
      <c r="H67" s="153">
        <f>IF(H$50, H43 / H$49, 0)</f>
        <v>0.25347920402425222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74"/>
      <c r="AS67" s="73"/>
      <c r="AT67" s="42"/>
    </row>
    <row r="68" spans="1:46" x14ac:dyDescent="0.25">
      <c r="A68" s="73"/>
      <c r="B68" s="73"/>
      <c r="C68" s="73"/>
      <c r="D68" s="73"/>
      <c r="E68" s="73"/>
      <c r="F68" s="115" t="s">
        <v>288</v>
      </c>
      <c r="G68" s="115" t="s">
        <v>44</v>
      </c>
      <c r="H68" s="154">
        <f>IF(H$50, H44 / H$49, 0)</f>
        <v>0.22042950929298452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289</v>
      </c>
      <c r="G69" s="115" t="s">
        <v>44</v>
      </c>
      <c r="H69" s="154">
        <f>IF(H$50, H45 / H$49, 0)</f>
        <v>8.7625571030098715E-2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290</v>
      </c>
      <c r="G70" s="115" t="s">
        <v>44</v>
      </c>
      <c r="H70" s="154">
        <f>IF(H$50, H46 / H$49, 0)</f>
        <v>0.19400400567676671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7" t="s">
        <v>291</v>
      </c>
      <c r="G71" s="117" t="s">
        <v>44</v>
      </c>
      <c r="H71" s="155">
        <f>IF(H$50, H47 / H$49, 0)</f>
        <v>0.24446170997589772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73"/>
      <c r="E73" s="115" t="s">
        <v>239</v>
      </c>
      <c r="F73" s="73"/>
      <c r="G73" s="115" t="s">
        <v>231</v>
      </c>
      <c r="H73" s="136">
        <f>IF(SUM(H67:H71)= 1, 0, 1)</f>
        <v>0</v>
      </c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74"/>
      <c r="AS73" s="73"/>
      <c r="AT73" s="42"/>
    </row>
    <row r="74" spans="1:46" x14ac:dyDescent="0.25">
      <c r="A74" s="73"/>
      <c r="B74" s="73"/>
      <c r="C74" s="73"/>
      <c r="D74" s="73"/>
      <c r="E74" s="109"/>
      <c r="F74" s="73"/>
      <c r="G74" s="73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3"/>
      <c r="AT74" s="42"/>
    </row>
    <row r="75" spans="1:46" x14ac:dyDescent="0.25">
      <c r="A75" s="115"/>
      <c r="B75" s="73"/>
      <c r="C75" s="73"/>
      <c r="D75" s="73"/>
      <c r="E75" s="112" t="s">
        <v>266</v>
      </c>
      <c r="F75" s="73"/>
      <c r="G75" s="73"/>
      <c r="H75" s="74"/>
      <c r="I75" s="132" t="s">
        <v>314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115" t="s">
        <v>577</v>
      </c>
      <c r="AT75" s="42"/>
    </row>
    <row r="76" spans="1:46" x14ac:dyDescent="0.25">
      <c r="A76" s="73"/>
      <c r="B76" s="73"/>
      <c r="C76" s="73"/>
      <c r="D76" s="73"/>
      <c r="E76" s="73"/>
      <c r="F76" s="113" t="s">
        <v>282</v>
      </c>
      <c r="G76" s="113" t="s">
        <v>44</v>
      </c>
      <c r="H76" s="153">
        <f>IF(H$60, H53 / H$59, 0)</f>
        <v>0.25687725502358683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">
        <v>283</v>
      </c>
      <c r="G77" s="115" t="s">
        <v>44</v>
      </c>
      <c r="H77" s="154">
        <f>IF(H$60, H54 / H$59, 0)</f>
        <v>0.22368091560196274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284</v>
      </c>
      <c r="G78" s="115" t="s">
        <v>44</v>
      </c>
      <c r="H78" s="154">
        <f>IF(H$60, H55 / H$59, 0)</f>
        <v>8.8140612970732682E-2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285</v>
      </c>
      <c r="G79" s="115" t="s">
        <v>44</v>
      </c>
      <c r="H79" s="154">
        <f>IF(H$60, H56 / H$59, 0)</f>
        <v>0.19592017163185399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7" t="s">
        <v>286</v>
      </c>
      <c r="G80" s="117" t="s">
        <v>44</v>
      </c>
      <c r="H80" s="155">
        <f>IF(H$60, H57 / H$59, 0)</f>
        <v>0.23538104477186383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3"/>
      <c r="AT81" s="42"/>
    </row>
    <row r="82" spans="1:46" x14ac:dyDescent="0.25">
      <c r="A82" s="73"/>
      <c r="B82" s="73"/>
      <c r="C82" s="73"/>
      <c r="D82" s="73"/>
      <c r="E82" s="115" t="s">
        <v>239</v>
      </c>
      <c r="F82" s="73"/>
      <c r="G82" s="115" t="s">
        <v>231</v>
      </c>
      <c r="H82" s="136">
        <f>IF(SUM(H76:H80)= 1, 0, 1)</f>
        <v>0</v>
      </c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74"/>
      <c r="AS82" s="73"/>
      <c r="AT82" s="42"/>
    </row>
    <row r="83" spans="1:46" x14ac:dyDescent="0.25">
      <c r="A83" s="73"/>
      <c r="B83" s="73"/>
      <c r="C83" s="73"/>
      <c r="D83" s="73"/>
      <c r="E83" s="109"/>
      <c r="F83" s="73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3"/>
      <c r="AT83" s="42"/>
    </row>
    <row r="84" spans="1:46" x14ac:dyDescent="0.25">
      <c r="A84" s="73"/>
      <c r="B84" s="107" t="s">
        <v>242</v>
      </c>
      <c r="C84" s="107"/>
      <c r="D84" s="107"/>
      <c r="E84" s="107"/>
      <c r="F84" s="107"/>
      <c r="G84" s="107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7"/>
      <c r="AT84" s="42"/>
    </row>
    <row r="85" spans="1:46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3"/>
      <c r="AT85" s="42"/>
    </row>
    <row r="86" spans="1:46" x14ac:dyDescent="0.25">
      <c r="A86" s="73"/>
      <c r="B86" s="73"/>
      <c r="C86" s="109"/>
      <c r="D86" s="109"/>
      <c r="E86" s="115" t="s">
        <v>232</v>
      </c>
      <c r="F86" s="73"/>
      <c r="G86" s="115" t="s">
        <v>231</v>
      </c>
      <c r="H86" s="159">
        <f>H62 + H73 + H82</f>
        <v>1</v>
      </c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74"/>
      <c r="AS86" s="73"/>
      <c r="AT86" s="42"/>
    </row>
    <row r="87" spans="1:46" x14ac:dyDescent="0.25">
      <c r="A87" s="73"/>
      <c r="B87" s="73"/>
      <c r="C87" s="73"/>
      <c r="D87" s="73"/>
      <c r="E87" s="109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3"/>
      <c r="AT87" s="42"/>
    </row>
    <row r="88" spans="1:46" x14ac:dyDescent="0.25">
      <c r="A88" s="73"/>
      <c r="B88" s="107" t="s">
        <v>30</v>
      </c>
      <c r="C88" s="107"/>
      <c r="D88" s="107"/>
      <c r="E88" s="107"/>
      <c r="F88" s="107"/>
      <c r="G88" s="107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7"/>
      <c r="AT88" s="42"/>
    </row>
  </sheetData>
  <sheetProtection sheet="1" objects="1" formatCells="0" formatColumns="0" formatRows="0" sort="0" autoFilter="0"/>
  <conditionalFormatting sqref="H62">
    <cfRule type="cellIs" dxfId="24" priority="3" stopIfTrue="1" operator="greaterThan">
      <formula>0</formula>
    </cfRule>
  </conditionalFormatting>
  <conditionalFormatting sqref="H73">
    <cfRule type="cellIs" dxfId="23" priority="4" stopIfTrue="1" operator="greaterThan">
      <formula>0</formula>
    </cfRule>
  </conditionalFormatting>
  <conditionalFormatting sqref="H82">
    <cfRule type="cellIs" dxfId="22" priority="5" stopIfTrue="1" operator="greaterThan">
      <formula>0</formula>
    </cfRule>
  </conditionalFormatting>
  <conditionalFormatting sqref="H86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3eda9f60ba35fa792978f47f221bc710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8ab4db3f37c2fb55e352b75920aaf867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39</DocumentCategory>
    <DateLastActivated1 xmlns="c7312139-f4c2-453d-a4c8-c631b6303d87">2018-10-17T10:47:46+00:00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2018-10-15T23:00:00+00:00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v3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35BDF1FF-06AA-4DFC-8CB1-75144B86E2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DC7AB-EBA5-4B21-88A7-5385B9D6A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80C99-3C0B-4AB5-994E-E8879F008BC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086A6F-3AC5-491A-84FE-7E3CBBBDAD6F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830862f3-40c2-43d5-9778-1909aaa95bc7"/>
    <ds:schemaRef ds:uri="c7312139-f4c2-453d-a4c8-c631b6303d8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  <vt:lpstr>'DNO inputs'!Print_Area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PCDM_v3_20181016</dc:title>
  <dc:subject/>
  <dc:creator/>
  <cp:keywords/>
  <dc:description/>
  <cp:lastModifiedBy/>
  <dcterms:created xsi:type="dcterms:W3CDTF">2018-05-04T11:23:25Z</dcterms:created>
  <dcterms:modified xsi:type="dcterms:W3CDTF">2018-12-13T16:33:30Z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