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T:\RevApr22\ChargingModelsFromDCUSA\Broken Links\"/>
    </mc:Choice>
  </mc:AlternateContent>
  <workbookProtection lockStructure="1"/>
  <bookViews>
    <workbookView xWindow="-4056" yWindow="-17388" windowWidth="30936" windowHeight="16896" tabRatio="933" firstSheet="8"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75" i="87" l="1"/>
  <c r="K175" i="87"/>
  <c r="K170" i="87" l="1"/>
  <c r="L180" i="87"/>
  <c r="K176" i="87"/>
  <c r="N175" i="87"/>
  <c r="L170" i="87"/>
  <c r="K180" i="87"/>
  <c r="N170" i="87"/>
  <c r="M180" i="87"/>
  <c r="L176" i="87"/>
  <c r="M170" i="87"/>
  <c r="N180" i="87"/>
  <c r="K171" i="87"/>
  <c r="M175" i="87"/>
  <c r="L181" i="87"/>
  <c r="M171" i="87" l="1"/>
  <c r="K181" i="87"/>
  <c r="M176" i="87"/>
  <c r="L171" i="87"/>
  <c r="M181" i="87"/>
  <c r="N176" i="87"/>
  <c r="N181" i="87"/>
  <c r="N171"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R174" i="105" l="1"/>
  <c r="W174" i="105"/>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AN142" i="105" s="1"/>
  <c r="X26" i="105"/>
  <c r="X170" i="105" s="1"/>
  <c r="AK36" i="105"/>
  <c r="AK141" i="105" s="1"/>
  <c r="AK174" i="105"/>
  <c r="AH47" i="105"/>
  <c r="AH142" i="105" s="1"/>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B20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X23" i="112"/>
  <c r="W23" i="112"/>
  <c r="V23" i="112"/>
  <c r="U23" i="112"/>
  <c r="T23" i="112"/>
  <c r="S23" i="112"/>
  <c r="R23" i="112"/>
  <c r="Q23" i="112"/>
  <c r="P23" i="112"/>
  <c r="O23" i="112"/>
  <c r="N23" i="112"/>
  <c r="M23" i="112"/>
  <c r="L23" i="112"/>
  <c r="K23" i="112"/>
  <c r="J23" i="112"/>
  <c r="J20" i="112" l="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Y37" i="112"/>
  <c r="Y45" i="112"/>
  <c r="P44" i="112"/>
  <c r="P36" i="112"/>
  <c r="X45" i="112"/>
  <c r="X37" i="112"/>
  <c r="P37" i="112"/>
  <c r="W44" i="112"/>
  <c r="W36" i="112"/>
  <c r="O44" i="112"/>
  <c r="O36" i="112"/>
  <c r="U36" i="112"/>
  <c r="U44" i="112"/>
  <c r="Q37" i="112"/>
  <c r="Q45" i="112"/>
  <c r="X44" i="112"/>
  <c r="X36" i="112"/>
  <c r="W45" i="112"/>
  <c r="W37" i="112"/>
  <c r="O37" i="112"/>
  <c r="V44" i="112"/>
  <c r="V36"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U354" i="22"/>
  <c r="U487" i="22" s="1"/>
  <c r="AK54" i="41" s="1"/>
  <c r="X353" i="22"/>
  <c r="X481" i="22" s="1"/>
  <c r="AN53"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60" i="112" s="1"/>
  <c r="X225" i="53"/>
  <c r="T224" i="53"/>
  <c r="Y78" i="83"/>
  <c r="V225" i="53"/>
  <c r="U225" i="53"/>
  <c r="W78" i="83"/>
  <c r="T226" i="53"/>
  <c r="Q226" i="53"/>
  <c r="W225" i="53"/>
  <c r="Y54" i="112" l="1"/>
  <c r="Y60"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47" i="65" l="1"/>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M54" i="112"/>
  <c r="M60" i="112" s="1"/>
  <c r="V54" i="112"/>
  <c r="V60" i="112" s="1"/>
  <c r="T54" i="112"/>
  <c r="T60" i="112" s="1"/>
  <c r="S54" i="112"/>
  <c r="S60" i="112" s="1"/>
  <c r="K54" i="112"/>
  <c r="K60" i="112" s="1"/>
  <c r="W54" i="112"/>
  <c r="W60" i="112" s="1"/>
  <c r="U54" i="112"/>
  <c r="U60" i="112" s="1"/>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A4" i="70"/>
  <c r="J38" i="55"/>
  <c r="P444" i="22" l="1"/>
  <c r="P508" i="22" s="1"/>
  <c r="AE57" i="41" s="1"/>
  <c r="O415" i="22"/>
  <c r="O507" i="22" s="1"/>
  <c r="Y57" i="41" s="1"/>
  <c r="N444" i="22"/>
  <c r="N508" i="22" s="1"/>
  <c r="U57" i="41" s="1"/>
  <c r="P384" i="22"/>
  <c r="P494" i="22" s="1"/>
  <c r="AC55" i="41" s="1"/>
  <c r="N415" i="22"/>
  <c r="N507" i="22" s="1"/>
  <c r="T57" i="41" s="1"/>
  <c r="M358" i="22"/>
  <c r="M511" i="22" s="1"/>
  <c r="Q58" i="41" s="1"/>
  <c r="N357" i="22"/>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N505" i="22"/>
  <c r="R57" i="41" s="1"/>
  <c r="K359" i="22"/>
  <c r="N514" i="22"/>
  <c r="U58" i="41" s="1"/>
  <c r="N511" i="22"/>
  <c r="R58" i="41" s="1"/>
  <c r="P513" i="22"/>
  <c r="AD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H129" i="81"/>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07" i="80"/>
  <c r="W130" i="80"/>
  <c r="W82" i="80"/>
  <c r="W105" i="80"/>
  <c r="U82" i="80"/>
  <c r="Q20" i="31"/>
  <c r="P21" i="31"/>
  <c r="M255" i="80"/>
  <c r="M259" i="80"/>
  <c r="M258" i="80"/>
  <c r="M257" i="80"/>
  <c r="M253" i="80"/>
  <c r="M254" i="80"/>
  <c r="M252" i="80"/>
  <c r="M256" i="80"/>
  <c r="S74" i="74"/>
  <c r="S78" i="74"/>
  <c r="S77" i="74"/>
  <c r="S73" i="74"/>
  <c r="S76" i="74"/>
  <c r="S75" i="74"/>
  <c r="S72" i="74"/>
  <c r="L132" i="74"/>
  <c r="L133" i="74"/>
  <c r="J132" i="74"/>
  <c r="J133" i="74"/>
  <c r="U128" i="80" l="1"/>
  <c r="X166" i="72"/>
  <c r="X201" i="72" s="1"/>
  <c r="X231" i="72" s="1"/>
  <c r="T90" i="80"/>
  <c r="X165" i="72"/>
  <c r="X200" i="72" s="1"/>
  <c r="X230" i="72" s="1"/>
  <c r="U163" i="72"/>
  <c r="U198" i="72" s="1"/>
  <c r="U228" i="72" s="1"/>
  <c r="W218" i="83"/>
  <c r="W90" i="71" s="1"/>
  <c r="W195" i="71" s="1"/>
  <c r="Y131" i="83"/>
  <c r="V132" i="83"/>
  <c r="W84" i="80"/>
  <c r="W144" i="80" s="1"/>
  <c r="W170" i="80" s="1"/>
  <c r="Y164" i="72"/>
  <c r="Y199" i="72" s="1"/>
  <c r="Y229" i="72" s="1"/>
  <c r="X127" i="83"/>
  <c r="V131" i="80"/>
  <c r="V85" i="80"/>
  <c r="X185" i="83"/>
  <c r="X56" i="71" s="1"/>
  <c r="X161" i="71" s="1"/>
  <c r="R127" i="83"/>
  <c r="W156" i="83"/>
  <c r="W26" i="71" s="1"/>
  <c r="W131" i="71" s="1"/>
  <c r="S126" i="83"/>
  <c r="U166" i="72"/>
  <c r="U201" i="72" s="1"/>
  <c r="U231" i="72" s="1"/>
  <c r="T167" i="72"/>
  <c r="T202" i="72" s="1"/>
  <c r="T232" i="72" s="1"/>
  <c r="P202" i="80"/>
  <c r="V164" i="72"/>
  <c r="V199" i="72" s="1"/>
  <c r="V229" i="72" s="1"/>
  <c r="Y160" i="72"/>
  <c r="Y195" i="72" s="1"/>
  <c r="Y225" i="72" s="1"/>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44" i="80" s="1"/>
  <c r="V170" i="80" s="1"/>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P206" i="80"/>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T150" i="80" s="1"/>
  <c r="T176" i="80" s="1"/>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143" i="80" s="1"/>
  <c r="X169" i="80" s="1"/>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V145" i="80"/>
  <c r="V171" i="80" s="1"/>
  <c r="U145" i="80"/>
  <c r="U171" i="80" s="1"/>
  <c r="N145" i="41"/>
  <c r="P145" i="41"/>
  <c r="P147" i="41" s="1" a="1"/>
  <c r="AG145" i="41"/>
  <c r="U145" i="41"/>
  <c r="U147" i="41" s="1" a="1"/>
  <c r="U147" i="41" s="1"/>
  <c r="U149" i="41" s="1"/>
  <c r="Z145" i="4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Z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36" i="112" s="1"/>
  <c r="N258" i="22"/>
  <c r="N260" i="22" s="1"/>
  <c r="N33" i="53" s="1"/>
  <c r="N306" i="22"/>
  <c r="N308" i="22" s="1"/>
  <c r="N247" i="22"/>
  <c r="N249" i="22" s="1"/>
  <c r="N273" i="22"/>
  <c r="N275" i="22" s="1"/>
  <c r="N284" i="22"/>
  <c r="N286" i="22" s="1"/>
  <c r="N236" i="22" l="1"/>
  <c r="N238" i="22" s="1"/>
  <c r="N31" i="53" s="1"/>
  <c r="N37" i="112"/>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35"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43" i="53"/>
  <c r="J49" i="53" s="1"/>
  <c r="J164" i="41"/>
  <c r="J166" i="41" s="1"/>
  <c r="J174" i="41" l="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H101" i="105" l="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L65" i="82"/>
  <c r="Q140" i="105"/>
  <c r="Q62" i="82" l="1"/>
  <c r="Q206" i="105"/>
  <c r="Q73" i="82" s="1"/>
  <c r="Q207" i="105"/>
  <c r="Q74" i="82" s="1"/>
  <c r="W65" i="82"/>
  <c r="AA159" i="65" l="1"/>
  <c r="AA64" i="105" s="1"/>
  <c r="AA182" i="105" l="1"/>
  <c r="AA189" i="105" s="1"/>
  <c r="AA105" i="105"/>
  <c r="AA112" i="105" s="1"/>
  <c r="K194" i="105"/>
  <c r="K140" i="105" l="1"/>
  <c r="K62" i="82" l="1"/>
  <c r="K206" i="105"/>
  <c r="K73" i="82" s="1"/>
  <c r="K207" i="105"/>
  <c r="K74" i="82" s="1"/>
  <c r="AJ141" i="105"/>
  <c r="AJ147" i="105"/>
  <c r="AG142" i="105" l="1"/>
  <c r="AG141" i="105"/>
  <c r="H30" i="112" l="1"/>
  <c r="H40" i="112" s="1"/>
  <c r="J44" i="112" s="1"/>
  <c r="H64" i="41"/>
  <c r="H31" i="112"/>
  <c r="H41" i="112" s="1"/>
  <c r="H65" i="41"/>
  <c r="H44" i="89"/>
  <c r="H45" i="89" s="1"/>
  <c r="H69" i="89"/>
  <c r="H56" i="89"/>
  <c r="N45" i="112" l="1"/>
  <c r="N46" i="112" s="1"/>
  <c r="O45" i="112"/>
  <c r="O46" i="112" s="1"/>
  <c r="L45" i="112"/>
  <c r="L46" i="112" s="1"/>
  <c r="P45" i="112"/>
  <c r="P46" i="112" s="1"/>
  <c r="J45" i="112"/>
  <c r="J46" i="112" s="1"/>
  <c r="P29" i="41" l="1"/>
  <c r="P50" i="112"/>
  <c r="P54" i="112"/>
  <c r="L54" i="112"/>
  <c r="L50" i="112"/>
  <c r="L60" i="112" s="1"/>
  <c r="L29" i="41"/>
  <c r="O54" i="112"/>
  <c r="O29" i="41"/>
  <c r="O50" i="112"/>
  <c r="J29" i="41"/>
  <c r="J48" i="41" s="1"/>
  <c r="J50" i="112"/>
  <c r="J54" i="112"/>
  <c r="N29" i="41"/>
  <c r="N54" i="112"/>
  <c r="N50" i="112"/>
  <c r="N60" i="112" s="1"/>
  <c r="O60" i="112" l="1"/>
  <c r="H56" i="112"/>
  <c r="H87" i="105" s="1"/>
  <c r="H130" i="105" s="1"/>
  <c r="M48" i="41"/>
  <c r="M47" i="65" s="1"/>
  <c r="M43" i="82" s="1"/>
  <c r="P48" i="41"/>
  <c r="P47" i="65" s="1"/>
  <c r="P43" i="82" s="1"/>
  <c r="N48" i="41"/>
  <c r="N47" i="65" s="1"/>
  <c r="N43" i="82" s="1"/>
  <c r="O48" i="41"/>
  <c r="O47" i="65" s="1"/>
  <c r="O43" i="82" s="1"/>
  <c r="L48" i="41"/>
  <c r="L47" i="65" s="1"/>
  <c r="L43" i="82" s="1"/>
  <c r="AA48" i="41"/>
  <c r="AA47" i="65" s="1"/>
  <c r="AA43" i="82" s="1"/>
  <c r="W48" i="41"/>
  <c r="W47" i="65" s="1"/>
  <c r="W43" i="82" s="1"/>
  <c r="X48" i="41"/>
  <c r="X47" i="65" s="1"/>
  <c r="X43" i="82" s="1"/>
  <c r="Y48" i="41"/>
  <c r="Y47" i="65" s="1"/>
  <c r="Y43" i="82" s="1"/>
  <c r="Z48" i="41"/>
  <c r="Z47" i="65" s="1"/>
  <c r="Z43" i="82" s="1"/>
  <c r="T48" i="41"/>
  <c r="T47" i="65" s="1"/>
  <c r="T43" i="82" s="1"/>
  <c r="U48" i="41"/>
  <c r="U47" i="65" s="1"/>
  <c r="U43" i="82" s="1"/>
  <c r="S48" i="41"/>
  <c r="S47" i="65" s="1"/>
  <c r="S43" i="82" s="1"/>
  <c r="V48" i="41"/>
  <c r="V47" i="65" s="1"/>
  <c r="V43" i="82" s="1"/>
  <c r="R48" i="41"/>
  <c r="R47" i="65" s="1"/>
  <c r="R43" i="82" s="1"/>
  <c r="AB48" i="41"/>
  <c r="AB47" i="65" s="1"/>
  <c r="AB43" i="82" s="1"/>
  <c r="AF48" i="41"/>
  <c r="AF47" i="65" s="1"/>
  <c r="AF43" i="82" s="1"/>
  <c r="AD48" i="41"/>
  <c r="AD47" i="65" s="1"/>
  <c r="AD43" i="82" s="1"/>
  <c r="AE48" i="41"/>
  <c r="AE47" i="65" s="1"/>
  <c r="AE43" i="82" s="1"/>
  <c r="AC48" i="41"/>
  <c r="AC47" i="65" s="1"/>
  <c r="AC43" i="82" s="1"/>
  <c r="J60" i="112"/>
  <c r="H52" i="112"/>
  <c r="H86" i="105" s="1"/>
  <c r="H129" i="105" s="1"/>
  <c r="J47" i="65"/>
  <c r="J43" i="82" s="1"/>
  <c r="M222" i="41" a="1"/>
  <c r="M222" i="41" s="1"/>
  <c r="L222" i="41" a="1"/>
  <c r="L222" i="41" s="1"/>
  <c r="L224" i="41" s="1"/>
  <c r="AN222" i="41" a="1"/>
  <c r="AN222" i="41" s="1"/>
  <c r="AN224" i="41" s="1"/>
  <c r="P60" i="112"/>
  <c r="AI222" i="41" l="1" a="1"/>
  <c r="AI222" i="41" s="1"/>
  <c r="AI224" i="41" s="1"/>
  <c r="AI415" i="41" s="1"/>
  <c r="AI35" i="65" s="1"/>
  <c r="AI113" i="65" s="1"/>
  <c r="AM222" i="41" a="1"/>
  <c r="AM222" i="41" s="1"/>
  <c r="AM224" i="41" s="1"/>
  <c r="AM415" i="41" s="1"/>
  <c r="AM35" i="65" s="1"/>
  <c r="AM113" i="65" s="1"/>
  <c r="AM124" i="65" s="1"/>
  <c r="AM153" i="65" s="1"/>
  <c r="AM58" i="105" s="1"/>
  <c r="AM98" i="105" s="1"/>
  <c r="AH222" i="41" a="1"/>
  <c r="AH222" i="41" s="1"/>
  <c r="AH224" i="41" s="1"/>
  <c r="AH226" i="41" s="1"/>
  <c r="AH228" i="41" s="1"/>
  <c r="AO222" i="41" a="1"/>
  <c r="AO222" i="41" s="1"/>
  <c r="AO224" i="41" s="1"/>
  <c r="AO415" i="41" s="1"/>
  <c r="AO35" i="65" s="1"/>
  <c r="AO113" i="65" s="1"/>
  <c r="AO124" i="65" s="1"/>
  <c r="AO153" i="65" s="1"/>
  <c r="AO58" i="105" s="1"/>
  <c r="AO98" i="105" s="1"/>
  <c r="J222" i="41" a="1"/>
  <c r="J222" i="41" s="1"/>
  <c r="AL222" i="41" a="1"/>
  <c r="AL222" i="41" s="1"/>
  <c r="AL224" i="41" s="1"/>
  <c r="AL415" i="41" s="1"/>
  <c r="AL35" i="65" s="1"/>
  <c r="AL113" i="65" s="1"/>
  <c r="W222" i="41" a="1"/>
  <c r="W222" i="41" s="1"/>
  <c r="W224" i="41" s="1"/>
  <c r="W226" i="41" s="1"/>
  <c r="W228" i="41" s="1"/>
  <c r="R222" i="41" a="1"/>
  <c r="R222" i="41" s="1"/>
  <c r="R224" i="41" s="1"/>
  <c r="R415" i="41" s="1"/>
  <c r="R35" i="65" s="1"/>
  <c r="R113" i="65" s="1"/>
  <c r="AB222" i="41" a="1"/>
  <c r="AB222" i="41" s="1"/>
  <c r="AB224" i="41" s="1"/>
  <c r="AB415" i="41" s="1"/>
  <c r="AB35" i="65" s="1"/>
  <c r="AB113" i="65" s="1"/>
  <c r="Q222" i="41" a="1"/>
  <c r="Q222" i="41" s="1"/>
  <c r="Q224" i="41" s="1"/>
  <c r="Q415" i="41" s="1"/>
  <c r="Q35" i="65" s="1"/>
  <c r="Q113" i="65" s="1"/>
  <c r="K222" i="41" a="1"/>
  <c r="K222" i="41" s="1"/>
  <c r="K224" i="41" s="1"/>
  <c r="K226" i="41" s="1"/>
  <c r="K228" i="41" s="1"/>
  <c r="AJ222" i="41" a="1"/>
  <c r="AJ222" i="41" s="1"/>
  <c r="AJ224" i="41" s="1"/>
  <c r="AJ226" i="41" s="1"/>
  <c r="AJ228" i="41" s="1"/>
  <c r="AK222" i="41" a="1"/>
  <c r="AK222" i="41" s="1"/>
  <c r="AK224" i="41" s="1"/>
  <c r="AK226" i="41" s="1"/>
  <c r="AK228" i="41" s="1"/>
  <c r="H62" i="112"/>
  <c r="H64" i="112" s="1"/>
  <c r="AC222" i="41" a="1"/>
  <c r="AC222" i="41" s="1"/>
  <c r="N222" i="41" a="1"/>
  <c r="N222" i="41" s="1"/>
  <c r="AG222" i="41" a="1"/>
  <c r="AG222" i="41" s="1"/>
  <c r="AG224" i="41" s="1"/>
  <c r="AG415" i="41" s="1"/>
  <c r="AG35" i="65" s="1"/>
  <c r="AG113" i="65" s="1"/>
  <c r="Y222" i="41" a="1"/>
  <c r="Y222" i="41" s="1"/>
  <c r="Z222" i="41" a="1"/>
  <c r="Z222" i="41" s="1"/>
  <c r="U222" i="41" a="1"/>
  <c r="U222" i="41" s="1"/>
  <c r="AA222" i="41" a="1"/>
  <c r="AA222" i="41" s="1"/>
  <c r="AF222" i="41" a="1"/>
  <c r="AF222" i="41" s="1"/>
  <c r="O222" i="41" a="1"/>
  <c r="O222" i="41" s="1"/>
  <c r="AN226" i="41"/>
  <c r="AN228" i="41" s="1"/>
  <c r="AN415" i="41"/>
  <c r="AN35" i="65" s="1"/>
  <c r="AN113" i="65" s="1"/>
  <c r="L226" i="41"/>
  <c r="L228" i="41" s="1"/>
  <c r="L415" i="41"/>
  <c r="L35" i="65" s="1"/>
  <c r="L113" i="65" s="1"/>
  <c r="H66" i="112" a="1"/>
  <c r="H66" i="112" s="1"/>
  <c r="AE222" i="41" a="1"/>
  <c r="AE222" i="41" s="1"/>
  <c r="S222" i="41" a="1"/>
  <c r="S222" i="41" s="1"/>
  <c r="AD222" i="41" a="1"/>
  <c r="AD222" i="41" s="1"/>
  <c r="V222" i="41" a="1"/>
  <c r="V222" i="41" s="1"/>
  <c r="P222" i="41" a="1"/>
  <c r="P222" i="41" s="1"/>
  <c r="AM226" i="41"/>
  <c r="AM228" i="41" s="1"/>
  <c r="X222" i="41" a="1"/>
  <c r="X222" i="41" s="1"/>
  <c r="T222" i="41" a="1"/>
  <c r="T222" i="41" s="1"/>
  <c r="AO226" i="41" l="1"/>
  <c r="AO228" i="41" s="1"/>
  <c r="AO424" i="41" s="1"/>
  <c r="AK415" i="41"/>
  <c r="AK35" i="65" s="1"/>
  <c r="AK113" i="65" s="1"/>
  <c r="AK124" i="65" s="1"/>
  <c r="AK153" i="65" s="1"/>
  <c r="AK58" i="105" s="1"/>
  <c r="AK98" i="105" s="1"/>
  <c r="AH415" i="41"/>
  <c r="AH35" i="65" s="1"/>
  <c r="AH113" i="65" s="1"/>
  <c r="AL226" i="41"/>
  <c r="AL228" i="41" s="1"/>
  <c r="AL424" i="41" s="1"/>
  <c r="AI226" i="41"/>
  <c r="AI228" i="41" s="1"/>
  <c r="AI424" i="41" s="1"/>
  <c r="Q226" i="41"/>
  <c r="Q228" i="41" s="1"/>
  <c r="K415" i="41"/>
  <c r="K35" i="65" s="1"/>
  <c r="K113" i="65" s="1"/>
  <c r="K142" i="65" s="1"/>
  <c r="K171" i="65" s="1"/>
  <c r="K76" i="105" s="1"/>
  <c r="AJ415" i="41"/>
  <c r="AJ35" i="65" s="1"/>
  <c r="AJ113" i="65" s="1"/>
  <c r="AJ35" i="82" s="1"/>
  <c r="W415" i="41"/>
  <c r="W35" i="65" s="1"/>
  <c r="W113" i="65" s="1"/>
  <c r="W35" i="82" s="1"/>
  <c r="AB226" i="41"/>
  <c r="AB228" i="41" s="1"/>
  <c r="AB237" i="41" s="1"/>
  <c r="R226" i="41"/>
  <c r="R228" i="41" s="1"/>
  <c r="R424" i="41" s="1"/>
  <c r="AG226" i="41"/>
  <c r="AG228" i="41" s="1"/>
  <c r="AG424" i="41" s="1"/>
  <c r="AH424" i="41"/>
  <c r="AH237" i="41"/>
  <c r="AJ424" i="41"/>
  <c r="AJ237" i="41"/>
  <c r="L35" i="82"/>
  <c r="L124" i="65"/>
  <c r="L153" i="65" s="1"/>
  <c r="L58" i="105" s="1"/>
  <c r="L98" i="105" s="1"/>
  <c r="L133" i="65"/>
  <c r="L162" i="65" s="1"/>
  <c r="L67" i="105" s="1"/>
  <c r="L108" i="105" s="1"/>
  <c r="L142" i="65"/>
  <c r="L171" i="65" s="1"/>
  <c r="L76" i="105" s="1"/>
  <c r="L118" i="105" s="1"/>
  <c r="AK424" i="41"/>
  <c r="AK237" i="41"/>
  <c r="A4" i="112"/>
  <c r="J52" i="55"/>
  <c r="AL35" i="82"/>
  <c r="AN124" i="65"/>
  <c r="AN153" i="65" s="1"/>
  <c r="AN58" i="105" s="1"/>
  <c r="AN98" i="105" s="1"/>
  <c r="AN142" i="65"/>
  <c r="AN171" i="65" s="1"/>
  <c r="AN76" i="105" s="1"/>
  <c r="Q35" i="82"/>
  <c r="Q133" i="65"/>
  <c r="Q162" i="65" s="1"/>
  <c r="Q67" i="105" s="1"/>
  <c r="Q124" i="65"/>
  <c r="Q153" i="65" s="1"/>
  <c r="Q58" i="105" s="1"/>
  <c r="Q98" i="105" s="1"/>
  <c r="Q142" i="65"/>
  <c r="Q171" i="65" s="1"/>
  <c r="Q76" i="105" s="1"/>
  <c r="K424" i="41"/>
  <c r="K237" i="41"/>
  <c r="L424" i="41"/>
  <c r="L237" i="41"/>
  <c r="AN424" i="41"/>
  <c r="AN237" i="41"/>
  <c r="R35" i="82"/>
  <c r="R124" i="65"/>
  <c r="R153" i="65" s="1"/>
  <c r="R58" i="105" s="1"/>
  <c r="R98" i="105" s="1"/>
  <c r="R133" i="65"/>
  <c r="R162" i="65" s="1"/>
  <c r="R67" i="105" s="1"/>
  <c r="R108" i="105" s="1"/>
  <c r="R142" i="65"/>
  <c r="R171" i="65" s="1"/>
  <c r="R76" i="105" s="1"/>
  <c r="R118" i="105" s="1"/>
  <c r="W424" i="41"/>
  <c r="W237" i="41"/>
  <c r="AM424" i="41"/>
  <c r="AM237" i="41"/>
  <c r="AI35" i="82"/>
  <c r="AI142" i="65"/>
  <c r="AI171" i="65" s="1"/>
  <c r="AI76" i="105" s="1"/>
  <c r="AI124" i="65"/>
  <c r="AI153" i="65" s="1"/>
  <c r="AI58" i="105" s="1"/>
  <c r="AI98" i="105" s="1"/>
  <c r="AB35" i="82"/>
  <c r="AB124" i="65"/>
  <c r="AB153" i="65" s="1"/>
  <c r="AB58" i="105" s="1"/>
  <c r="AB98" i="105" s="1"/>
  <c r="AB142" i="65"/>
  <c r="AB171" i="65" s="1"/>
  <c r="AB76" i="105" s="1"/>
  <c r="AB118" i="105" s="1"/>
  <c r="AG35" i="82"/>
  <c r="AG124" i="65"/>
  <c r="AG153" i="65" s="1"/>
  <c r="AG58" i="105" s="1"/>
  <c r="AG98" i="105" s="1"/>
  <c r="AG133" i="65"/>
  <c r="AG162" i="65" s="1"/>
  <c r="AG67" i="105" s="1"/>
  <c r="AG142" i="65"/>
  <c r="AG171" i="65" s="1"/>
  <c r="AG76" i="105" s="1"/>
  <c r="AK35" i="82"/>
  <c r="AL142" i="65"/>
  <c r="AL171" i="65" s="1"/>
  <c r="AL76" i="105" s="1"/>
  <c r="AL124" i="65"/>
  <c r="AL153" i="65" s="1"/>
  <c r="AL58" i="105" s="1"/>
  <c r="AL98" i="105" s="1"/>
  <c r="AH35" i="82"/>
  <c r="AH133" i="65"/>
  <c r="AH162" i="65" s="1"/>
  <c r="AH67" i="105" s="1"/>
  <c r="AH142" i="65"/>
  <c r="AH171" i="65" s="1"/>
  <c r="AH76" i="105" s="1"/>
  <c r="AH124" i="65"/>
  <c r="AH153" i="65" s="1"/>
  <c r="AH58" i="105" s="1"/>
  <c r="AH98" i="105" s="1"/>
  <c r="AO237" i="41" l="1"/>
  <c r="AO269" i="41" s="1"/>
  <c r="K35" i="82"/>
  <c r="AL237" i="41"/>
  <c r="AL267" i="41" s="1"/>
  <c r="AN293" i="41"/>
  <c r="AN295" i="41" s="1"/>
  <c r="K124" i="65"/>
  <c r="K153" i="65" s="1"/>
  <c r="K58" i="105" s="1"/>
  <c r="K98" i="105" s="1"/>
  <c r="K133" i="65"/>
  <c r="K162" i="65" s="1"/>
  <c r="K67" i="105" s="1"/>
  <c r="Q293" i="41"/>
  <c r="Q295" i="41" s="1"/>
  <c r="Q424" i="41"/>
  <c r="AO293" i="41"/>
  <c r="AO295" i="41" s="1"/>
  <c r="Q237" i="41"/>
  <c r="Q268" i="41" s="1"/>
  <c r="AI237" i="41"/>
  <c r="AI273" i="41" s="1"/>
  <c r="K293" i="41"/>
  <c r="K295" i="41" s="1"/>
  <c r="AH293" i="41"/>
  <c r="AH295" i="41" s="1"/>
  <c r="AK293" i="41"/>
  <c r="AK295" i="41" s="1"/>
  <c r="AJ124" i="65"/>
  <c r="AJ153" i="65" s="1"/>
  <c r="AJ58" i="105" s="1"/>
  <c r="AJ98" i="105" s="1"/>
  <c r="AJ142" i="65"/>
  <c r="AJ171" i="65" s="1"/>
  <c r="AJ76" i="105" s="1"/>
  <c r="AJ196" i="105" s="1"/>
  <c r="AJ133" i="65"/>
  <c r="AJ162" i="65" s="1"/>
  <c r="AJ67" i="105" s="1"/>
  <c r="AJ185" i="105" s="1"/>
  <c r="W124" i="65"/>
  <c r="W153" i="65" s="1"/>
  <c r="W58" i="105" s="1"/>
  <c r="W98" i="105" s="1"/>
  <c r="R237" i="41"/>
  <c r="R405" i="41" s="1"/>
  <c r="R414" i="41" s="1"/>
  <c r="R34" i="65" s="1"/>
  <c r="R112" i="65" s="1"/>
  <c r="AJ293" i="41"/>
  <c r="AJ295" i="41" s="1"/>
  <c r="AM293" i="41"/>
  <c r="AM295" i="41" s="1"/>
  <c r="AL293" i="41"/>
  <c r="AL295" i="41" s="1"/>
  <c r="AI293" i="41"/>
  <c r="AI295" i="41" s="1"/>
  <c r="R293" i="41"/>
  <c r="R295" i="41" s="1"/>
  <c r="AB293" i="41"/>
  <c r="AB295" i="41" s="1"/>
  <c r="W142" i="65"/>
  <c r="W171" i="65" s="1"/>
  <c r="W76" i="105" s="1"/>
  <c r="W118" i="105" s="1"/>
  <c r="AG293" i="41"/>
  <c r="AG295" i="41" s="1"/>
  <c r="W293" i="41"/>
  <c r="W295" i="41" s="1"/>
  <c r="L293" i="41"/>
  <c r="L295" i="41" s="1"/>
  <c r="AB424" i="41"/>
  <c r="AG237" i="41"/>
  <c r="AG274" i="41" s="1"/>
  <c r="AG279" i="41" s="1"/>
  <c r="AG284" i="41" s="1"/>
  <c r="AG362" i="41" s="1"/>
  <c r="AG364" i="41" s="1"/>
  <c r="AG366" i="41" s="1"/>
  <c r="AG368" i="41" s="1"/>
  <c r="AG393" i="41" s="1"/>
  <c r="AN196" i="105"/>
  <c r="AN118" i="105"/>
  <c r="AJ272" i="41"/>
  <c r="AJ273" i="41"/>
  <c r="AJ404" i="41"/>
  <c r="AJ413" i="41" s="1"/>
  <c r="AJ33" i="65" s="1"/>
  <c r="AJ111" i="65" s="1"/>
  <c r="AJ274" i="41"/>
  <c r="AJ251" i="41"/>
  <c r="AJ267" i="41"/>
  <c r="AJ403" i="41"/>
  <c r="AJ412" i="41" s="1"/>
  <c r="AJ32" i="65" s="1"/>
  <c r="AJ110" i="65" s="1"/>
  <c r="AJ405" i="41"/>
  <c r="AJ414" i="41" s="1"/>
  <c r="AJ34" i="65" s="1"/>
  <c r="AJ112" i="65" s="1"/>
  <c r="AJ269" i="41"/>
  <c r="AJ268" i="41"/>
  <c r="AJ250" i="41"/>
  <c r="AJ249" i="41"/>
  <c r="AI196" i="105"/>
  <c r="AI118" i="105"/>
  <c r="AH404" i="41"/>
  <c r="AH413" i="41" s="1"/>
  <c r="AH33" i="65" s="1"/>
  <c r="AH111" i="65" s="1"/>
  <c r="AH251" i="41"/>
  <c r="AH273" i="41"/>
  <c r="AH268" i="41"/>
  <c r="AH405" i="41"/>
  <c r="AH414" i="41" s="1"/>
  <c r="AH34" i="65" s="1"/>
  <c r="AH112" i="65" s="1"/>
  <c r="AH272" i="41"/>
  <c r="AH249" i="41"/>
  <c r="AH274" i="41"/>
  <c r="AH267" i="41"/>
  <c r="AH250" i="41"/>
  <c r="AH269" i="41"/>
  <c r="AH403" i="41"/>
  <c r="AH412" i="41" s="1"/>
  <c r="AH32" i="65" s="1"/>
  <c r="AH110" i="65" s="1"/>
  <c r="AB403" i="41"/>
  <c r="AB412" i="41" s="1"/>
  <c r="AB32" i="65" s="1"/>
  <c r="AB110" i="65" s="1"/>
  <c r="AB267" i="41"/>
  <c r="AB273" i="41"/>
  <c r="AB249" i="41"/>
  <c r="AB405" i="41"/>
  <c r="AB414" i="41" s="1"/>
  <c r="AB34" i="65" s="1"/>
  <c r="AB112" i="65" s="1"/>
  <c r="AB268" i="41"/>
  <c r="AB404" i="41"/>
  <c r="AB413" i="41" s="1"/>
  <c r="AB33" i="65" s="1"/>
  <c r="AB111" i="65" s="1"/>
  <c r="AB274" i="41"/>
  <c r="AB250" i="41"/>
  <c r="AB251" i="41"/>
  <c r="AB272" i="41"/>
  <c r="AB269" i="41"/>
  <c r="AG196" i="105"/>
  <c r="AG118" i="105"/>
  <c r="AL272" i="41"/>
  <c r="AL403" i="41"/>
  <c r="AL412" i="41" s="1"/>
  <c r="AL32" i="65" s="1"/>
  <c r="AL110" i="65" s="1"/>
  <c r="AL249" i="41"/>
  <c r="AL251" i="41"/>
  <c r="AL269" i="41"/>
  <c r="AO404" i="41"/>
  <c r="AO413" i="41" s="1"/>
  <c r="AO33" i="65" s="1"/>
  <c r="AO111" i="65" s="1"/>
  <c r="AO122" i="65" s="1"/>
  <c r="AO151" i="65" s="1"/>
  <c r="AO56" i="105" s="1"/>
  <c r="AO96" i="105" s="1"/>
  <c r="AO250" i="41"/>
  <c r="AO249" i="41"/>
  <c r="AO272" i="41"/>
  <c r="AG185" i="105"/>
  <c r="AG108" i="105"/>
  <c r="Q196" i="105"/>
  <c r="Q118" i="105"/>
  <c r="AK403" i="41"/>
  <c r="AK412" i="41" s="1"/>
  <c r="AK32" i="65" s="1"/>
  <c r="AK110" i="65" s="1"/>
  <c r="AK121" i="65" s="1"/>
  <c r="AK150" i="65" s="1"/>
  <c r="AK55" i="105" s="1"/>
  <c r="AK95" i="105" s="1"/>
  <c r="AK405" i="41"/>
  <c r="AK414" i="41" s="1"/>
  <c r="AK34" i="65" s="1"/>
  <c r="AK112" i="65" s="1"/>
  <c r="AK123" i="65" s="1"/>
  <c r="AK152" i="65" s="1"/>
  <c r="AK57" i="105" s="1"/>
  <c r="AK97" i="105" s="1"/>
  <c r="AK404" i="41"/>
  <c r="AK413" i="41" s="1"/>
  <c r="AK33" i="65" s="1"/>
  <c r="AK111" i="65" s="1"/>
  <c r="AK122" i="65" s="1"/>
  <c r="AK151" i="65" s="1"/>
  <c r="AK56" i="105" s="1"/>
  <c r="AK96" i="105" s="1"/>
  <c r="AK249" i="41"/>
  <c r="AK251" i="41"/>
  <c r="AK268" i="41"/>
  <c r="AK272" i="41"/>
  <c r="AK274" i="41"/>
  <c r="AK250" i="41"/>
  <c r="AK267" i="41"/>
  <c r="AK269" i="41"/>
  <c r="AK273" i="41"/>
  <c r="AL196" i="105"/>
  <c r="AL118" i="105"/>
  <c r="K185" i="105"/>
  <c r="K108" i="105"/>
  <c r="AH196" i="105"/>
  <c r="AH118" i="105"/>
  <c r="AH185" i="105"/>
  <c r="AH108" i="105"/>
  <c r="AM272" i="41"/>
  <c r="AM274" i="41"/>
  <c r="AM403" i="41"/>
  <c r="AM412" i="41" s="1"/>
  <c r="AM32" i="65" s="1"/>
  <c r="AM110" i="65" s="1"/>
  <c r="AM121" i="65" s="1"/>
  <c r="AM150" i="65" s="1"/>
  <c r="AM55" i="105" s="1"/>
  <c r="AM95" i="105" s="1"/>
  <c r="AM251" i="41"/>
  <c r="AM249" i="41"/>
  <c r="AM404" i="41"/>
  <c r="AM413" i="41" s="1"/>
  <c r="AM33" i="65" s="1"/>
  <c r="AM111" i="65" s="1"/>
  <c r="AM122" i="65" s="1"/>
  <c r="AM151" i="65" s="1"/>
  <c r="AM56" i="105" s="1"/>
  <c r="AM96" i="105" s="1"/>
  <c r="AM267" i="41"/>
  <c r="AM268" i="41"/>
  <c r="AM269" i="41"/>
  <c r="AM405" i="41"/>
  <c r="AM414" i="41" s="1"/>
  <c r="AM34" i="65" s="1"/>
  <c r="AM112" i="65" s="1"/>
  <c r="AM123" i="65" s="1"/>
  <c r="AM152" i="65" s="1"/>
  <c r="AM57" i="105" s="1"/>
  <c r="AM97" i="105" s="1"/>
  <c r="AM250" i="41"/>
  <c r="AM273" i="41"/>
  <c r="W403" i="41"/>
  <c r="W412" i="41" s="1"/>
  <c r="W32" i="65" s="1"/>
  <c r="W110" i="65" s="1"/>
  <c r="W273" i="41"/>
  <c r="W274" i="41"/>
  <c r="W269" i="41"/>
  <c r="W250" i="41"/>
  <c r="W251" i="41"/>
  <c r="W267" i="41"/>
  <c r="W272" i="41"/>
  <c r="W268" i="41"/>
  <c r="W249" i="41"/>
  <c r="W404" i="41"/>
  <c r="W413" i="41" s="1"/>
  <c r="W33" i="65" s="1"/>
  <c r="W111" i="65" s="1"/>
  <c r="W405" i="41"/>
  <c r="W414" i="41" s="1"/>
  <c r="W34" i="65" s="1"/>
  <c r="W112" i="65" s="1"/>
  <c r="Q185" i="105"/>
  <c r="Q108" i="105"/>
  <c r="K196" i="105"/>
  <c r="K118" i="105"/>
  <c r="R251" i="41"/>
  <c r="R268" i="41"/>
  <c r="AN403" i="41"/>
  <c r="AN412" i="41" s="1"/>
  <c r="AN32" i="65" s="1"/>
  <c r="AN110" i="65" s="1"/>
  <c r="AN251" i="41"/>
  <c r="AN404" i="41"/>
  <c r="AN413" i="41" s="1"/>
  <c r="AN33" i="65" s="1"/>
  <c r="AN111" i="65" s="1"/>
  <c r="AN272" i="41"/>
  <c r="AN274" i="41"/>
  <c r="AN268" i="41"/>
  <c r="AN273" i="41"/>
  <c r="AN250" i="41"/>
  <c r="AN405" i="41"/>
  <c r="AN414" i="41" s="1"/>
  <c r="AN34" i="65" s="1"/>
  <c r="AN112" i="65" s="1"/>
  <c r="AN249" i="41"/>
  <c r="AN267" i="41"/>
  <c r="AN269" i="41"/>
  <c r="L274" i="41"/>
  <c r="L267" i="41"/>
  <c r="L272" i="41"/>
  <c r="L403" i="41"/>
  <c r="L412" i="41" s="1"/>
  <c r="L32" i="65" s="1"/>
  <c r="L110" i="65" s="1"/>
  <c r="L273" i="41"/>
  <c r="L268" i="41"/>
  <c r="L269" i="41"/>
  <c r="L405" i="41"/>
  <c r="L414" i="41" s="1"/>
  <c r="L34" i="65" s="1"/>
  <c r="L112" i="65" s="1"/>
  <c r="L250" i="41"/>
  <c r="L251" i="41"/>
  <c r="L249" i="41"/>
  <c r="L404" i="41"/>
  <c r="L413" i="41" s="1"/>
  <c r="L33" i="65" s="1"/>
  <c r="L111" i="65" s="1"/>
  <c r="K267" i="41"/>
  <c r="K405" i="41"/>
  <c r="K269" i="41"/>
  <c r="K250" i="41"/>
  <c r="K272" i="41"/>
  <c r="K404" i="41"/>
  <c r="K273" i="41"/>
  <c r="K249" i="41"/>
  <c r="K274" i="41"/>
  <c r="K403" i="41"/>
  <c r="K268" i="41"/>
  <c r="K251" i="41"/>
  <c r="AO274" i="41" l="1"/>
  <c r="AO403" i="41"/>
  <c r="AO412" i="41" s="1"/>
  <c r="AO32" i="65" s="1"/>
  <c r="AO110" i="65" s="1"/>
  <c r="AO121" i="65" s="1"/>
  <c r="AO150" i="65" s="1"/>
  <c r="AO55" i="105" s="1"/>
  <c r="AO95" i="105" s="1"/>
  <c r="AO267" i="41"/>
  <c r="AO268" i="41"/>
  <c r="AO251" i="41"/>
  <c r="AO405" i="41"/>
  <c r="AO414" i="41" s="1"/>
  <c r="AO34" i="65" s="1"/>
  <c r="AO112" i="65" s="1"/>
  <c r="AO123" i="65" s="1"/>
  <c r="AO152" i="65" s="1"/>
  <c r="AO57" i="105" s="1"/>
  <c r="AO97" i="105" s="1"/>
  <c r="AO102" i="105" s="1"/>
  <c r="AO273" i="41"/>
  <c r="Q274" i="41"/>
  <c r="Q269" i="41"/>
  <c r="AL268" i="41"/>
  <c r="AL250" i="41"/>
  <c r="AL273" i="41"/>
  <c r="AL274" i="41"/>
  <c r="Q405" i="41"/>
  <c r="Q414" i="41" s="1"/>
  <c r="Q34" i="65" s="1"/>
  <c r="Q112" i="65" s="1"/>
  <c r="Q34" i="82" s="1"/>
  <c r="AJ118" i="105"/>
  <c r="AL404" i="41"/>
  <c r="AL413" i="41" s="1"/>
  <c r="AL33" i="65" s="1"/>
  <c r="AL111" i="65" s="1"/>
  <c r="AK33" i="82" s="1"/>
  <c r="Q273" i="41"/>
  <c r="AL405" i="41"/>
  <c r="AL414" i="41" s="1"/>
  <c r="AL34" i="65" s="1"/>
  <c r="AL112" i="65" s="1"/>
  <c r="AK34" i="82" s="1"/>
  <c r="Q250" i="41"/>
  <c r="AI269" i="41"/>
  <c r="Q272" i="41"/>
  <c r="AI274" i="41"/>
  <c r="R403" i="41"/>
  <c r="R412" i="41" s="1"/>
  <c r="R32" i="65" s="1"/>
  <c r="R110" i="65" s="1"/>
  <c r="R130" i="65" s="1"/>
  <c r="R159" i="65" s="1"/>
  <c r="R64" i="105" s="1"/>
  <c r="R105" i="105" s="1"/>
  <c r="AI405" i="41"/>
  <c r="AI414" i="41" s="1"/>
  <c r="AI34" i="65" s="1"/>
  <c r="AI112" i="65" s="1"/>
  <c r="AI141" i="65" s="1"/>
  <c r="AI170" i="65" s="1"/>
  <c r="AI75" i="105" s="1"/>
  <c r="R269" i="41"/>
  <c r="AI249" i="41"/>
  <c r="Q267" i="41"/>
  <c r="Q251" i="41"/>
  <c r="R272" i="41"/>
  <c r="AI251" i="41"/>
  <c r="AI267" i="41"/>
  <c r="AI403" i="41"/>
  <c r="AI412" i="41" s="1"/>
  <c r="AI32" i="65" s="1"/>
  <c r="AI110" i="65" s="1"/>
  <c r="AI32" i="82" s="1"/>
  <c r="AI268" i="41"/>
  <c r="Q403" i="41"/>
  <c r="Q412" i="41" s="1"/>
  <c r="Q32" i="65" s="1"/>
  <c r="Q110" i="65" s="1"/>
  <c r="Q130" i="65" s="1"/>
  <c r="Q159" i="65" s="1"/>
  <c r="Q64" i="105" s="1"/>
  <c r="Q404" i="41"/>
  <c r="Q413" i="41" s="1"/>
  <c r="Q33" i="65" s="1"/>
  <c r="Q111" i="65" s="1"/>
  <c r="Q140" i="65" s="1"/>
  <c r="Q169" i="65" s="1"/>
  <c r="Q74" i="105" s="1"/>
  <c r="R273" i="41"/>
  <c r="R267" i="41"/>
  <c r="R274" i="41"/>
  <c r="AI272" i="41"/>
  <c r="AI404" i="41"/>
  <c r="AI413" i="41" s="1"/>
  <c r="AI33" i="65" s="1"/>
  <c r="AI111" i="65" s="1"/>
  <c r="AI33" i="82" s="1"/>
  <c r="Q249" i="41"/>
  <c r="AJ108" i="105"/>
  <c r="R250" i="41"/>
  <c r="R249" i="41"/>
  <c r="R404" i="41"/>
  <c r="R413" i="41" s="1"/>
  <c r="R33" i="65" s="1"/>
  <c r="R111" i="65" s="1"/>
  <c r="R33" i="82" s="1"/>
  <c r="AI250" i="41"/>
  <c r="AK102" i="105"/>
  <c r="AM102" i="105"/>
  <c r="AG250" i="41"/>
  <c r="AG405" i="41"/>
  <c r="AG403" i="41"/>
  <c r="AG273" i="41"/>
  <c r="AG278" i="41" s="1"/>
  <c r="AG283" i="41" s="1"/>
  <c r="AG330" i="41" s="1"/>
  <c r="AG332" i="41" s="1"/>
  <c r="AG334" i="41" s="1"/>
  <c r="AG336" i="41" s="1"/>
  <c r="AG392" i="41" s="1"/>
  <c r="AG269" i="41"/>
  <c r="AG404" i="41"/>
  <c r="AG268" i="41"/>
  <c r="AG267" i="41"/>
  <c r="AG272" i="41"/>
  <c r="AG277" i="41" s="1"/>
  <c r="AG282" i="41" s="1"/>
  <c r="AG249" i="41"/>
  <c r="AG251" i="41"/>
  <c r="AH33" i="82"/>
  <c r="AH140" i="65"/>
  <c r="AH169" i="65" s="1"/>
  <c r="AH74" i="105" s="1"/>
  <c r="AH131" i="65"/>
  <c r="AH160" i="65" s="1"/>
  <c r="AH65" i="105" s="1"/>
  <c r="AH122" i="65"/>
  <c r="AH151" i="65" s="1"/>
  <c r="AH56" i="105" s="1"/>
  <c r="AH96" i="105" s="1"/>
  <c r="AJ33" i="82"/>
  <c r="AJ140" i="65"/>
  <c r="AJ169" i="65" s="1"/>
  <c r="AJ74" i="105" s="1"/>
  <c r="AJ122" i="65"/>
  <c r="AJ151" i="65" s="1"/>
  <c r="AJ56" i="105" s="1"/>
  <c r="AJ96" i="105" s="1"/>
  <c r="AJ131" i="65"/>
  <c r="AJ160" i="65" s="1"/>
  <c r="AJ65" i="105" s="1"/>
  <c r="W34" i="82"/>
  <c r="W123" i="65"/>
  <c r="W152" i="65" s="1"/>
  <c r="W57" i="105" s="1"/>
  <c r="W97" i="105" s="1"/>
  <c r="W141" i="65"/>
  <c r="W170" i="65" s="1"/>
  <c r="W75" i="105" s="1"/>
  <c r="W117" i="105" s="1"/>
  <c r="AL141" i="65"/>
  <c r="AL170" i="65" s="1"/>
  <c r="AL75" i="105" s="1"/>
  <c r="L141" i="65"/>
  <c r="L170" i="65" s="1"/>
  <c r="L75" i="105" s="1"/>
  <c r="L117" i="105" s="1"/>
  <c r="L123" i="65"/>
  <c r="L152" i="65" s="1"/>
  <c r="L57" i="105" s="1"/>
  <c r="L97" i="105" s="1"/>
  <c r="L132" i="65"/>
  <c r="L161" i="65" s="1"/>
  <c r="L66" i="105" s="1"/>
  <c r="L107" i="105" s="1"/>
  <c r="L34" i="82"/>
  <c r="AL33" i="82"/>
  <c r="AN140" i="65"/>
  <c r="AN169" i="65" s="1"/>
  <c r="AN74" i="105" s="1"/>
  <c r="AN122" i="65"/>
  <c r="AN151" i="65" s="1"/>
  <c r="AN56" i="105" s="1"/>
  <c r="AN96" i="105" s="1"/>
  <c r="W33" i="82"/>
  <c r="W122" i="65"/>
  <c r="W151" i="65" s="1"/>
  <c r="W56" i="105" s="1"/>
  <c r="W96" i="105" s="1"/>
  <c r="W140" i="65"/>
  <c r="W169" i="65" s="1"/>
  <c r="W74" i="105" s="1"/>
  <c r="W116" i="105" s="1"/>
  <c r="AB32" i="82"/>
  <c r="AB139" i="65"/>
  <c r="AB168" i="65" s="1"/>
  <c r="AB73" i="105" s="1"/>
  <c r="AB115" i="105" s="1"/>
  <c r="AB121" i="65"/>
  <c r="AB150" i="65" s="1"/>
  <c r="AB55" i="105" s="1"/>
  <c r="AB95" i="105" s="1"/>
  <c r="AK32" i="82"/>
  <c r="AL121" i="65"/>
  <c r="AL150" i="65" s="1"/>
  <c r="AL55" i="105" s="1"/>
  <c r="AL95" i="105" s="1"/>
  <c r="AL139" i="65"/>
  <c r="AL168" i="65" s="1"/>
  <c r="AL73" i="105" s="1"/>
  <c r="AH34" i="82"/>
  <c r="AH132" i="65"/>
  <c r="AH161" i="65" s="1"/>
  <c r="AH66" i="105" s="1"/>
  <c r="AH123" i="65"/>
  <c r="AH152" i="65" s="1"/>
  <c r="AH57" i="105" s="1"/>
  <c r="AH97" i="105" s="1"/>
  <c r="AH141" i="65"/>
  <c r="AH170" i="65" s="1"/>
  <c r="AH75" i="105" s="1"/>
  <c r="AJ34" i="82"/>
  <c r="AJ123" i="65"/>
  <c r="AJ152" i="65" s="1"/>
  <c r="AJ57" i="105" s="1"/>
  <c r="AJ97" i="105" s="1"/>
  <c r="AJ132" i="65"/>
  <c r="AJ161" i="65" s="1"/>
  <c r="AJ66" i="105" s="1"/>
  <c r="AJ141" i="65"/>
  <c r="AJ170" i="65" s="1"/>
  <c r="AJ75" i="105" s="1"/>
  <c r="AL34" i="82"/>
  <c r="AN123" i="65"/>
  <c r="AN152" i="65" s="1"/>
  <c r="AN57" i="105" s="1"/>
  <c r="AN97" i="105" s="1"/>
  <c r="AN141" i="65"/>
  <c r="AN170" i="65" s="1"/>
  <c r="AN75" i="105" s="1"/>
  <c r="AL32" i="82"/>
  <c r="AN139" i="65"/>
  <c r="AN168" i="65" s="1"/>
  <c r="AN73" i="105" s="1"/>
  <c r="AN121" i="65"/>
  <c r="AN150" i="65" s="1"/>
  <c r="AN55" i="105" s="1"/>
  <c r="AN95" i="105" s="1"/>
  <c r="R34" i="82"/>
  <c r="R132" i="65"/>
  <c r="R161" i="65" s="1"/>
  <c r="R66" i="105" s="1"/>
  <c r="R107" i="105" s="1"/>
  <c r="R123" i="65"/>
  <c r="R152" i="65" s="1"/>
  <c r="R57" i="105" s="1"/>
  <c r="R97" i="105" s="1"/>
  <c r="R141" i="65"/>
  <c r="R170" i="65" s="1"/>
  <c r="R75" i="105" s="1"/>
  <c r="R117" i="105" s="1"/>
  <c r="W32" i="82"/>
  <c r="W139" i="65"/>
  <c r="W168" i="65" s="1"/>
  <c r="W73" i="105" s="1"/>
  <c r="W115" i="105" s="1"/>
  <c r="W121" i="65"/>
  <c r="W150" i="65" s="1"/>
  <c r="W55" i="105" s="1"/>
  <c r="W95" i="105" s="1"/>
  <c r="AB33" i="82"/>
  <c r="AB122" i="65"/>
  <c r="AB151" i="65" s="1"/>
  <c r="AB56" i="105" s="1"/>
  <c r="AB96" i="105" s="1"/>
  <c r="AB140" i="65"/>
  <c r="AB169" i="65" s="1"/>
  <c r="AB74" i="105" s="1"/>
  <c r="AB116" i="105" s="1"/>
  <c r="AH32" i="82"/>
  <c r="AH139" i="65"/>
  <c r="AH168" i="65" s="1"/>
  <c r="AH73" i="105" s="1"/>
  <c r="AH130" i="65"/>
  <c r="AH159" i="65" s="1"/>
  <c r="AH64" i="105" s="1"/>
  <c r="AH121" i="65"/>
  <c r="AH150" i="65" s="1"/>
  <c r="AH55" i="105" s="1"/>
  <c r="AH95" i="105" s="1"/>
  <c r="AJ32" i="82"/>
  <c r="AJ130" i="65"/>
  <c r="AJ159" i="65" s="1"/>
  <c r="AJ64" i="105" s="1"/>
  <c r="AJ121" i="65"/>
  <c r="AJ150" i="65" s="1"/>
  <c r="AJ55" i="105" s="1"/>
  <c r="AJ95" i="105" s="1"/>
  <c r="AJ139" i="65"/>
  <c r="AJ168" i="65" s="1"/>
  <c r="AJ73" i="105" s="1"/>
  <c r="L130" i="65"/>
  <c r="L159" i="65" s="1"/>
  <c r="L64" i="105" s="1"/>
  <c r="L105" i="105" s="1"/>
  <c r="L139" i="65"/>
  <c r="L168" i="65" s="1"/>
  <c r="L73" i="105" s="1"/>
  <c r="L115" i="105" s="1"/>
  <c r="L32" i="82"/>
  <c r="L121" i="65"/>
  <c r="L150" i="65" s="1"/>
  <c r="L55" i="105" s="1"/>
  <c r="L95" i="105" s="1"/>
  <c r="Q123" i="65"/>
  <c r="Q152" i="65" s="1"/>
  <c r="Q57" i="105" s="1"/>
  <c r="Q97" i="105" s="1"/>
  <c r="L33" i="82"/>
  <c r="L131" i="65"/>
  <c r="L160" i="65" s="1"/>
  <c r="L65" i="105" s="1"/>
  <c r="L106" i="105" s="1"/>
  <c r="L122" i="65"/>
  <c r="L151" i="65" s="1"/>
  <c r="L56" i="105" s="1"/>
  <c r="L96" i="105" s="1"/>
  <c r="L140" i="65"/>
  <c r="L169" i="65" s="1"/>
  <c r="L74" i="105" s="1"/>
  <c r="L116" i="105" s="1"/>
  <c r="AB141" i="65"/>
  <c r="AB170" i="65" s="1"/>
  <c r="AB75" i="105" s="1"/>
  <c r="AB117" i="105" s="1"/>
  <c r="AB123" i="65"/>
  <c r="AB152" i="65" s="1"/>
  <c r="AB57" i="105" s="1"/>
  <c r="AB97" i="105" s="1"/>
  <c r="AB34" i="82"/>
  <c r="AL123" i="65" l="1"/>
  <c r="AL152" i="65" s="1"/>
  <c r="AL57" i="105" s="1"/>
  <c r="AL97" i="105" s="1"/>
  <c r="Q121" i="65"/>
  <c r="Q150" i="65" s="1"/>
  <c r="Q55" i="105" s="1"/>
  <c r="Q95" i="105" s="1"/>
  <c r="AL278" i="41"/>
  <c r="AL283" i="41" s="1"/>
  <c r="Q32" i="82"/>
  <c r="AI140" i="65"/>
  <c r="AI169" i="65" s="1"/>
  <c r="AI74" i="105" s="1"/>
  <c r="AI121" i="65"/>
  <c r="AI150" i="65" s="1"/>
  <c r="AI55" i="105" s="1"/>
  <c r="AI95" i="105" s="1"/>
  <c r="AI123" i="65"/>
  <c r="AI152" i="65" s="1"/>
  <c r="AI57" i="105" s="1"/>
  <c r="AI97" i="105" s="1"/>
  <c r="Q139" i="65"/>
  <c r="Q168" i="65" s="1"/>
  <c r="Q73" i="105" s="1"/>
  <c r="Q115" i="105" s="1"/>
  <c r="AH278" i="41"/>
  <c r="AH283" i="41" s="1"/>
  <c r="AI34" i="82"/>
  <c r="R277" i="41"/>
  <c r="R282" i="41" s="1"/>
  <c r="AI122" i="65"/>
  <c r="AI151" i="65" s="1"/>
  <c r="AI56" i="105" s="1"/>
  <c r="AI96" i="105" s="1"/>
  <c r="AI139" i="65"/>
  <c r="AI168" i="65" s="1"/>
  <c r="AI73" i="105" s="1"/>
  <c r="AO279" i="41"/>
  <c r="AO284" i="41" s="1"/>
  <c r="AO362" i="41" s="1"/>
  <c r="K278" i="41"/>
  <c r="K283" i="41" s="1"/>
  <c r="AL122" i="65"/>
  <c r="AL151" i="65" s="1"/>
  <c r="AL56" i="105" s="1"/>
  <c r="AL96" i="105" s="1"/>
  <c r="AL102" i="105" s="1"/>
  <c r="AL146" i="105" s="1"/>
  <c r="AK63" i="82" s="1"/>
  <c r="AL140" i="65"/>
  <c r="AL169" i="65" s="1"/>
  <c r="AL74" i="105" s="1"/>
  <c r="AL194" i="105" s="1"/>
  <c r="R278" i="41"/>
  <c r="R283" i="41" s="1"/>
  <c r="AN279" i="41"/>
  <c r="AN284" i="41" s="1"/>
  <c r="AN362" i="41" s="1"/>
  <c r="R131" i="65"/>
  <c r="R160" i="65" s="1"/>
  <c r="R65" i="105" s="1"/>
  <c r="R106" i="105" s="1"/>
  <c r="R112" i="105" s="1"/>
  <c r="R279" i="41"/>
  <c r="R284" i="41" s="1"/>
  <c r="R362" i="41" s="1"/>
  <c r="AL279" i="41"/>
  <c r="AL284" i="41" s="1"/>
  <c r="AL362" i="41" s="1"/>
  <c r="Q277" i="41"/>
  <c r="Q282" i="41" s="1"/>
  <c r="Q132" i="65"/>
  <c r="Q161" i="65" s="1"/>
  <c r="Q66" i="105" s="1"/>
  <c r="Q107" i="105" s="1"/>
  <c r="Q279" i="41"/>
  <c r="Q284" i="41" s="1"/>
  <c r="Q362" i="41" s="1"/>
  <c r="AB279" i="41"/>
  <c r="AB284" i="41" s="1"/>
  <c r="AB362" i="41" s="1"/>
  <c r="AH279" i="41"/>
  <c r="AH284" i="41" s="1"/>
  <c r="AH362" i="41" s="1"/>
  <c r="AK279" i="41"/>
  <c r="AK284" i="41" s="1"/>
  <c r="AK362" i="41" s="1"/>
  <c r="Q141" i="65"/>
  <c r="Q170" i="65" s="1"/>
  <c r="Q75" i="105" s="1"/>
  <c r="AI279" i="41"/>
  <c r="AI284" i="41" s="1"/>
  <c r="AI362" i="41" s="1"/>
  <c r="W279" i="41"/>
  <c r="W284" i="41" s="1"/>
  <c r="W362" i="41" s="1"/>
  <c r="AM279" i="41"/>
  <c r="AM284" i="41" s="1"/>
  <c r="AM362" i="41" s="1"/>
  <c r="AJ279" i="41"/>
  <c r="AJ284" i="41" s="1"/>
  <c r="AJ362" i="41" s="1"/>
  <c r="L279" i="41"/>
  <c r="L284" i="41" s="1"/>
  <c r="L362" i="41" s="1"/>
  <c r="R32" i="82"/>
  <c r="R139" i="65"/>
  <c r="R168" i="65" s="1"/>
  <c r="R73" i="105" s="1"/>
  <c r="R115" i="105" s="1"/>
  <c r="K279" i="41"/>
  <c r="K284" i="41" s="1"/>
  <c r="K362" i="41" s="1"/>
  <c r="L278" i="41"/>
  <c r="L283" i="41" s="1"/>
  <c r="AB278" i="41"/>
  <c r="AB283" i="41" s="1"/>
  <c r="AM278" i="41"/>
  <c r="AM283" i="41" s="1"/>
  <c r="AM330" i="41" s="1"/>
  <c r="Q278" i="41"/>
  <c r="Q283" i="41" s="1"/>
  <c r="W277" i="41"/>
  <c r="W282" i="41" s="1"/>
  <c r="AI278" i="41"/>
  <c r="AI283" i="41" s="1"/>
  <c r="AK277" i="41"/>
  <c r="AK282" i="41" s="1"/>
  <c r="R121" i="65"/>
  <c r="R150" i="65" s="1"/>
  <c r="R55" i="105" s="1"/>
  <c r="R95" i="105" s="1"/>
  <c r="L277" i="41"/>
  <c r="L282" i="41" s="1"/>
  <c r="AO278" i="41"/>
  <c r="AO283" i="41" s="1"/>
  <c r="AO330" i="41" s="1"/>
  <c r="W278" i="41"/>
  <c r="W283" i="41" s="1"/>
  <c r="W330" i="41" s="1"/>
  <c r="AN277" i="41"/>
  <c r="AN282" i="41" s="1"/>
  <c r="AN278" i="41"/>
  <c r="AN283" i="41" s="1"/>
  <c r="AK278" i="41"/>
  <c r="AK283" i="41" s="1"/>
  <c r="AJ278" i="41"/>
  <c r="AJ283" i="41" s="1"/>
  <c r="R140" i="65"/>
  <c r="R169" i="65" s="1"/>
  <c r="R74" i="105" s="1"/>
  <c r="R116" i="105" s="1"/>
  <c r="AL277" i="41"/>
  <c r="AL282" i="41" s="1"/>
  <c r="AJ277" i="41"/>
  <c r="AJ282" i="41" s="1"/>
  <c r="R122" i="65"/>
  <c r="R151" i="65" s="1"/>
  <c r="R56" i="105" s="1"/>
  <c r="R96" i="105" s="1"/>
  <c r="AB277" i="41"/>
  <c r="AB282" i="41" s="1"/>
  <c r="AI277" i="41"/>
  <c r="AI282" i="41" s="1"/>
  <c r="AO277" i="41"/>
  <c r="AO282" i="41" s="1"/>
  <c r="Q131" i="65"/>
  <c r="Q160" i="65" s="1"/>
  <c r="Q65" i="105" s="1"/>
  <c r="Q106" i="105" s="1"/>
  <c r="Q33" i="82"/>
  <c r="K277" i="41"/>
  <c r="K282" i="41" s="1"/>
  <c r="AH277" i="41"/>
  <c r="AH282" i="41" s="1"/>
  <c r="Q122" i="65"/>
  <c r="Q151" i="65" s="1"/>
  <c r="Q56" i="105" s="1"/>
  <c r="Q96" i="105" s="1"/>
  <c r="AM277" i="41"/>
  <c r="AM282" i="41" s="1"/>
  <c r="AH102" i="105"/>
  <c r="AH174" i="105" s="1"/>
  <c r="AH65" i="82" s="1"/>
  <c r="AN102" i="105"/>
  <c r="AN174" i="105" s="1"/>
  <c r="AL65" i="82" s="1"/>
  <c r="AG298" i="41"/>
  <c r="AB102" i="105"/>
  <c r="AB65" i="82" s="1"/>
  <c r="AB122" i="105"/>
  <c r="L102" i="105"/>
  <c r="AH195" i="105"/>
  <c r="AH117" i="105"/>
  <c r="AJ183" i="105"/>
  <c r="AJ106" i="105"/>
  <c r="Q184" i="105"/>
  <c r="L122" i="105"/>
  <c r="AJ102" i="105"/>
  <c r="AH182" i="105"/>
  <c r="AH105" i="105"/>
  <c r="AH184" i="105"/>
  <c r="AH107" i="105"/>
  <c r="W122" i="105"/>
  <c r="AJ194" i="105"/>
  <c r="AJ116" i="105"/>
  <c r="Q193" i="105"/>
  <c r="Q195" i="105"/>
  <c r="Q117" i="105"/>
  <c r="AH193" i="105"/>
  <c r="AH115" i="105"/>
  <c r="AN194" i="105"/>
  <c r="AN116" i="105"/>
  <c r="W102" i="105"/>
  <c r="Q182" i="105"/>
  <c r="Q105" i="105"/>
  <c r="AI194" i="105"/>
  <c r="AI116" i="105"/>
  <c r="AJ193" i="105"/>
  <c r="AJ115" i="105"/>
  <c r="AN193" i="105"/>
  <c r="AN115" i="105"/>
  <c r="AL195" i="105"/>
  <c r="AL117" i="105"/>
  <c r="Q183" i="105"/>
  <c r="AJ182" i="105"/>
  <c r="AJ105" i="105"/>
  <c r="AN195" i="105"/>
  <c r="AN117" i="105"/>
  <c r="AJ195" i="105"/>
  <c r="AJ117" i="105"/>
  <c r="AL193" i="105"/>
  <c r="AL115" i="105"/>
  <c r="AI195" i="105"/>
  <c r="AI117" i="105"/>
  <c r="AH194" i="105"/>
  <c r="AH116" i="105"/>
  <c r="AI193" i="105"/>
  <c r="AI115" i="105"/>
  <c r="AJ184" i="105"/>
  <c r="AJ107" i="105"/>
  <c r="L112" i="105"/>
  <c r="Q194" i="105"/>
  <c r="Q116" i="105"/>
  <c r="AH183" i="105"/>
  <c r="AH106" i="105"/>
  <c r="Q102" i="105" l="1"/>
  <c r="AL330" i="41"/>
  <c r="AM298" i="41"/>
  <c r="AM304" i="41" s="1"/>
  <c r="AM391" i="41" s="1"/>
  <c r="AM395" i="41" s="1"/>
  <c r="AL298" i="41"/>
  <c r="AL304" i="41" s="1"/>
  <c r="AL391" i="41" s="1"/>
  <c r="AL395" i="41" s="1"/>
  <c r="L330" i="41"/>
  <c r="Q298" i="41"/>
  <c r="Q304" i="41" s="1"/>
  <c r="Q391" i="41" s="1"/>
  <c r="Q395" i="41" s="1"/>
  <c r="AI330" i="41"/>
  <c r="R330" i="41"/>
  <c r="AH298" i="41"/>
  <c r="AH304" i="41" s="1"/>
  <c r="AH391" i="41" s="1"/>
  <c r="AH395" i="41" s="1"/>
  <c r="AK298" i="41"/>
  <c r="AK304" i="41" s="1"/>
  <c r="AK391" i="41" s="1"/>
  <c r="AK395" i="41" s="1"/>
  <c r="R122" i="105"/>
  <c r="AI102" i="105"/>
  <c r="AI174" i="105" s="1"/>
  <c r="AI65" i="82" s="1"/>
  <c r="AO298" i="41"/>
  <c r="AO304" i="41" s="1"/>
  <c r="AO391" i="41" s="1"/>
  <c r="AO395" i="41" s="1"/>
  <c r="R298" i="41"/>
  <c r="R304" i="41" s="1"/>
  <c r="R391" i="41" s="1"/>
  <c r="R395" i="41" s="1"/>
  <c r="AB298" i="41"/>
  <c r="AB304" i="41" s="1"/>
  <c r="AB391" i="41" s="1"/>
  <c r="AB395" i="41" s="1"/>
  <c r="AB330" i="41"/>
  <c r="AH330" i="41"/>
  <c r="AI298" i="41"/>
  <c r="AI304" i="41" s="1"/>
  <c r="AI391" i="41" s="1"/>
  <c r="AI395" i="41" s="1"/>
  <c r="AN330" i="41"/>
  <c r="AH146" i="105"/>
  <c r="AH63" i="82" s="1"/>
  <c r="K364" i="41"/>
  <c r="K366" i="41" s="1"/>
  <c r="K368" i="41" s="1"/>
  <c r="K393" i="41" s="1"/>
  <c r="AL116" i="105"/>
  <c r="AL122" i="105" s="1"/>
  <c r="R102" i="105"/>
  <c r="R65" i="82" s="1"/>
  <c r="AJ364" i="41"/>
  <c r="AJ366" i="41" s="1"/>
  <c r="AJ368" i="41" s="1"/>
  <c r="AJ393" i="41" s="1"/>
  <c r="Q330" i="41"/>
  <c r="AJ330" i="41"/>
  <c r="R364" i="41"/>
  <c r="R366" i="41" s="1"/>
  <c r="R368" i="41" s="1"/>
  <c r="R393" i="41" s="1"/>
  <c r="K330" i="41"/>
  <c r="L364" i="41"/>
  <c r="L366" i="41" s="1"/>
  <c r="L368" i="41" s="1"/>
  <c r="L393" i="41" s="1"/>
  <c r="AK330" i="41"/>
  <c r="AN364" i="41"/>
  <c r="AN366" i="41" s="1"/>
  <c r="AN368" i="41" s="1"/>
  <c r="AN393" i="41" s="1"/>
  <c r="AB364" i="41"/>
  <c r="AB366" i="41" s="1"/>
  <c r="AB368" i="41" s="1"/>
  <c r="AB393" i="41" s="1"/>
  <c r="AO364" i="41"/>
  <c r="AO366" i="41" s="1"/>
  <c r="AO368" i="41" s="1"/>
  <c r="AO393" i="41" s="1"/>
  <c r="W298" i="41"/>
  <c r="W304" i="41" s="1"/>
  <c r="W391" i="41" s="1"/>
  <c r="W395" i="41" s="1"/>
  <c r="AH364" i="41"/>
  <c r="AH366" i="41" s="1"/>
  <c r="AH368" i="41" s="1"/>
  <c r="AH393" i="41" s="1"/>
  <c r="AL364" i="41"/>
  <c r="AL366" i="41" s="1"/>
  <c r="AL368" i="41" s="1"/>
  <c r="AL393" i="41" s="1"/>
  <c r="AK364" i="41"/>
  <c r="AK366" i="41" s="1"/>
  <c r="AK368" i="41" s="1"/>
  <c r="AK393" i="41" s="1"/>
  <c r="Q364" i="41"/>
  <c r="Q366" i="41" s="1"/>
  <c r="Q368" i="41" s="1"/>
  <c r="Q393" i="41" s="1"/>
  <c r="AM364" i="41"/>
  <c r="AM366" i="41" s="1"/>
  <c r="AM368" i="41" s="1"/>
  <c r="AM393" i="41" s="1"/>
  <c r="W364" i="41"/>
  <c r="W366" i="41" s="1"/>
  <c r="W368" i="41" s="1"/>
  <c r="W393" i="41" s="1"/>
  <c r="AI364" i="41"/>
  <c r="AI366" i="41" s="1"/>
  <c r="AI368" i="41" s="1"/>
  <c r="AI393" i="41" s="1"/>
  <c r="K298" i="41"/>
  <c r="K304" i="41" s="1"/>
  <c r="K391" i="41" s="1"/>
  <c r="K395" i="41" s="1"/>
  <c r="L298" i="41"/>
  <c r="L304" i="41" s="1"/>
  <c r="L391" i="41" s="1"/>
  <c r="L395" i="41" s="1"/>
  <c r="AN298" i="41"/>
  <c r="AN304" i="41" s="1"/>
  <c r="AN391" i="41" s="1"/>
  <c r="AN395" i="41" s="1"/>
  <c r="AJ298" i="41"/>
  <c r="AJ304" i="41" s="1"/>
  <c r="AJ391" i="41" s="1"/>
  <c r="AJ395" i="41" s="1"/>
  <c r="AL140" i="105"/>
  <c r="AK62" i="82" s="1"/>
  <c r="AL174" i="105"/>
  <c r="AK65" i="82" s="1"/>
  <c r="AN146" i="105"/>
  <c r="AL63" i="82" s="1"/>
  <c r="AN140" i="105"/>
  <c r="AL62" i="82" s="1"/>
  <c r="AI122" i="105"/>
  <c r="AL200" i="105"/>
  <c r="AG304" i="41"/>
  <c r="AG391" i="41" s="1"/>
  <c r="AG300" i="41"/>
  <c r="AG302" i="41" s="1"/>
  <c r="AH112" i="105"/>
  <c r="AH147" i="105" s="1"/>
  <c r="AN122" i="105"/>
  <c r="AH122" i="105"/>
  <c r="AH148" i="105" s="1"/>
  <c r="AN200" i="105"/>
  <c r="Q122" i="105"/>
  <c r="AJ200" i="105"/>
  <c r="AI200" i="105"/>
  <c r="AH200" i="105"/>
  <c r="AJ174" i="105"/>
  <c r="AJ65" i="82" s="1"/>
  <c r="AJ146" i="105"/>
  <c r="AJ63" i="82" s="1"/>
  <c r="AJ140" i="105"/>
  <c r="AH189" i="105"/>
  <c r="Q174" i="105"/>
  <c r="Q65" i="82" s="1"/>
  <c r="Q146" i="105"/>
  <c r="Q63" i="82" s="1"/>
  <c r="Q112" i="105"/>
  <c r="AJ112" i="105"/>
  <c r="Q189" i="105"/>
  <c r="AJ189" i="105"/>
  <c r="Q200" i="105"/>
  <c r="AJ122" i="105"/>
  <c r="AH332" i="41" l="1"/>
  <c r="AH334" i="41" s="1"/>
  <c r="AH336" i="41" s="1"/>
  <c r="AH392" i="41" s="1"/>
  <c r="L332" i="41"/>
  <c r="L334" i="41" s="1"/>
  <c r="L336" i="41" s="1"/>
  <c r="L392" i="41" s="1"/>
  <c r="AM332" i="41"/>
  <c r="AM334" i="41" s="1"/>
  <c r="AM336" i="41" s="1"/>
  <c r="AM392" i="41" s="1"/>
  <c r="AO332" i="41"/>
  <c r="AO334" i="41" s="1"/>
  <c r="AO336" i="41" s="1"/>
  <c r="AO392" i="41" s="1"/>
  <c r="AL207" i="105"/>
  <c r="AK74" i="82" s="1"/>
  <c r="AN332" i="41"/>
  <c r="AN334" i="41" s="1"/>
  <c r="AN336" i="41" s="1"/>
  <c r="AN392" i="41" s="1"/>
  <c r="K332" i="41"/>
  <c r="K334" i="41" s="1"/>
  <c r="K336" i="41" s="1"/>
  <c r="K392" i="41" s="1"/>
  <c r="AJ332" i="41"/>
  <c r="AJ334" i="41" s="1"/>
  <c r="AJ336" i="41" s="1"/>
  <c r="AJ392" i="41" s="1"/>
  <c r="Q332" i="41"/>
  <c r="Q334" i="41" s="1"/>
  <c r="Q336" i="41" s="1"/>
  <c r="Q392" i="41" s="1"/>
  <c r="AI332" i="41"/>
  <c r="AI334" i="41" s="1"/>
  <c r="AI336" i="41" s="1"/>
  <c r="AI392" i="41" s="1"/>
  <c r="AI300" i="41"/>
  <c r="AI302" i="41" s="1"/>
  <c r="AL332" i="41"/>
  <c r="AL334" i="41" s="1"/>
  <c r="AL336" i="41" s="1"/>
  <c r="AL392" i="41" s="1"/>
  <c r="R332" i="41"/>
  <c r="R334" i="41" s="1"/>
  <c r="R336" i="41" s="1"/>
  <c r="R392" i="41" s="1"/>
  <c r="W300" i="41"/>
  <c r="W302" i="41" s="1"/>
  <c r="AK332" i="41"/>
  <c r="AK334" i="41" s="1"/>
  <c r="AK336" i="41" s="1"/>
  <c r="AK392" i="41" s="1"/>
  <c r="AB332" i="41"/>
  <c r="AB334" i="41" s="1"/>
  <c r="AB336" i="41" s="1"/>
  <c r="AB392" i="41" s="1"/>
  <c r="W332" i="41"/>
  <c r="W334" i="41" s="1"/>
  <c r="W336" i="41" s="1"/>
  <c r="W392" i="41" s="1"/>
  <c r="L300" i="41"/>
  <c r="L302" i="41" s="1"/>
  <c r="AO300" i="41"/>
  <c r="AO302" i="41" s="1"/>
  <c r="AL300" i="41"/>
  <c r="AL302" i="41" s="1"/>
  <c r="AK300" i="41"/>
  <c r="AK302" i="41" s="1"/>
  <c r="AH300" i="41"/>
  <c r="AH302" i="41" s="1"/>
  <c r="Q300" i="41"/>
  <c r="Q302" i="41" s="1"/>
  <c r="AJ300" i="41"/>
  <c r="AJ302" i="41" s="1"/>
  <c r="K300" i="41"/>
  <c r="K302" i="41" s="1"/>
  <c r="AN300" i="41"/>
  <c r="AN302" i="41" s="1"/>
  <c r="AM300" i="41"/>
  <c r="AM302" i="41" s="1"/>
  <c r="AB300" i="41"/>
  <c r="AB302" i="41" s="1"/>
  <c r="R300" i="41"/>
  <c r="R302" i="41" s="1"/>
  <c r="AN207" i="105"/>
  <c r="AL74" i="82" s="1"/>
  <c r="AJ148" i="105"/>
  <c r="AJ142" i="105"/>
  <c r="AJ62" i="82"/>
  <c r="AJ207" i="105"/>
  <c r="AJ74" i="82" s="1"/>
  <c r="AJ206" i="105"/>
  <c r="AJ73" i="82" s="1"/>
  <c r="H72" i="89" l="1"/>
  <c r="H80" i="89" l="1"/>
  <c r="H87" i="89" l="1"/>
  <c r="H61" i="41" l="1"/>
  <c r="H83" i="105"/>
  <c r="H126" i="105" s="1"/>
  <c r="H108" i="89" a="1"/>
  <c r="H108" i="89" s="1"/>
  <c r="H114" i="89" s="1"/>
  <c r="J37" i="55" l="1"/>
  <c r="A4" i="89"/>
  <c r="H67" i="41"/>
  <c r="H84" i="41" s="1"/>
  <c r="H88" i="105" l="1"/>
  <c r="H131" i="105" s="1"/>
  <c r="AA190" i="41"/>
  <c r="AA196" i="41" s="1"/>
  <c r="AA198" i="41" s="1"/>
  <c r="R190" i="41"/>
  <c r="AF190" i="41"/>
  <c r="AF196" i="41" s="1"/>
  <c r="AF198" i="41" s="1"/>
  <c r="T190" i="41"/>
  <c r="T196" i="41" s="1"/>
  <c r="T198" i="41" s="1"/>
  <c r="Q190" i="41"/>
  <c r="AL190" i="41"/>
  <c r="AG190" i="41"/>
  <c r="AG205" i="41" s="1"/>
  <c r="AG207" i="41" s="1"/>
  <c r="AD190" i="41"/>
  <c r="AD196" i="41" s="1"/>
  <c r="AD198" i="41" s="1"/>
  <c r="O190" i="41"/>
  <c r="O196" i="41" s="1"/>
  <c r="O198" i="41" s="1"/>
  <c r="AC190" i="41"/>
  <c r="AC196" i="41" s="1"/>
  <c r="AC198" i="41" s="1"/>
  <c r="S190" i="41"/>
  <c r="S196" i="41" s="1"/>
  <c r="S198" i="41" s="1"/>
  <c r="AJ190" i="41"/>
  <c r="W190" i="41"/>
  <c r="Z190" i="41"/>
  <c r="Z196" i="41" s="1"/>
  <c r="Z198" i="41" s="1"/>
  <c r="AO190" i="41"/>
  <c r="V190" i="41"/>
  <c r="V196" i="41" s="1"/>
  <c r="V198" i="41" s="1"/>
  <c r="AI190" i="41"/>
  <c r="AN190" i="41"/>
  <c r="N190" i="41"/>
  <c r="N196" i="41" s="1"/>
  <c r="N198" i="41" s="1"/>
  <c r="AK190" i="41"/>
  <c r="L190" i="41"/>
  <c r="AE190" i="41"/>
  <c r="AE196" i="41" s="1"/>
  <c r="AE198" i="41" s="1"/>
  <c r="X190" i="41"/>
  <c r="X196" i="41" s="1"/>
  <c r="X198" i="41" s="1"/>
  <c r="P190" i="41"/>
  <c r="P196" i="41" s="1"/>
  <c r="P198" i="41" s="1"/>
  <c r="M190" i="41"/>
  <c r="M196" i="41" s="1"/>
  <c r="M198" i="41" s="1"/>
  <c r="J190" i="41"/>
  <c r="J196" i="41" s="1"/>
  <c r="J198" i="41" s="1"/>
  <c r="Y190" i="41"/>
  <c r="Y196" i="41" s="1"/>
  <c r="Y198" i="41" s="1"/>
  <c r="K190" i="41"/>
  <c r="K207" i="41" s="1"/>
  <c r="U190" i="41"/>
  <c r="U196" i="41" s="1"/>
  <c r="U198" i="41" s="1"/>
  <c r="AB190" i="41"/>
  <c r="AH190" i="41"/>
  <c r="AM190" i="41"/>
  <c r="AC224" i="41" l="1"/>
  <c r="AC415" i="41" s="1"/>
  <c r="AC35" i="65" s="1"/>
  <c r="AC113" i="65" s="1"/>
  <c r="M224" i="41"/>
  <c r="M415" i="41" s="1"/>
  <c r="M35" i="65" s="1"/>
  <c r="M113" i="65" s="1"/>
  <c r="O224" i="41"/>
  <c r="O415" i="41" s="1"/>
  <c r="O35" i="65" s="1"/>
  <c r="O113" i="65" s="1"/>
  <c r="AA224" i="41"/>
  <c r="AA415" i="41" s="1"/>
  <c r="AA35" i="65" s="1"/>
  <c r="AA113" i="65" s="1"/>
  <c r="P224" i="41"/>
  <c r="P415" i="41" s="1"/>
  <c r="P35" i="65" s="1"/>
  <c r="P113" i="65" s="1"/>
  <c r="V224" i="41"/>
  <c r="V415" i="41" s="1"/>
  <c r="V35" i="65" s="1"/>
  <c r="V113" i="65" s="1"/>
  <c r="AD224" i="41"/>
  <c r="AD415" i="41" s="1"/>
  <c r="AD35" i="65" s="1"/>
  <c r="AD113" i="65" s="1"/>
  <c r="X224" i="41"/>
  <c r="X415" i="41" s="1"/>
  <c r="X35" i="65" s="1"/>
  <c r="X113" i="65" s="1"/>
  <c r="AE224" i="41"/>
  <c r="AE415" i="41" s="1"/>
  <c r="AE35" i="65" s="1"/>
  <c r="AE113" i="65" s="1"/>
  <c r="Z224" i="41"/>
  <c r="Z415" i="41" s="1"/>
  <c r="Z35" i="65" s="1"/>
  <c r="Z113" i="65" s="1"/>
  <c r="U224" i="41"/>
  <c r="U415" i="41" s="1"/>
  <c r="U35" i="65" s="1"/>
  <c r="U113" i="65" s="1"/>
  <c r="J224" i="41"/>
  <c r="J415" i="41" s="1"/>
  <c r="J35" i="65" s="1"/>
  <c r="J113" i="65" s="1"/>
  <c r="T224" i="41"/>
  <c r="T415" i="41" s="1"/>
  <c r="T35" i="65" s="1"/>
  <c r="T113" i="65" s="1"/>
  <c r="Y224" i="41"/>
  <c r="Y415" i="41" s="1"/>
  <c r="Y35" i="65" s="1"/>
  <c r="Y113" i="65" s="1"/>
  <c r="N224" i="41"/>
  <c r="N415" i="41" s="1"/>
  <c r="N35" i="65" s="1"/>
  <c r="N113" i="65" s="1"/>
  <c r="S224" i="41"/>
  <c r="S415" i="41" s="1"/>
  <c r="S35" i="65" s="1"/>
  <c r="S113" i="65" s="1"/>
  <c r="AF224" i="41"/>
  <c r="AF415" i="41" s="1"/>
  <c r="AF35" i="65" s="1"/>
  <c r="AF113" i="65" s="1"/>
  <c r="AG414" i="41"/>
  <c r="AG34" i="65" s="1"/>
  <c r="AG112" i="65" s="1"/>
  <c r="AG412" i="41"/>
  <c r="AG32" i="65" s="1"/>
  <c r="AG110" i="65" s="1"/>
  <c r="AG413" i="41"/>
  <c r="AG33" i="65" s="1"/>
  <c r="AG111" i="65" s="1"/>
  <c r="K412" i="41"/>
  <c r="K32" i="65" s="1"/>
  <c r="K110" i="65" s="1"/>
  <c r="K413" i="41"/>
  <c r="K33" i="65" s="1"/>
  <c r="K111" i="65" s="1"/>
  <c r="K414" i="41"/>
  <c r="K34" i="65" s="1"/>
  <c r="K112" i="65" s="1"/>
  <c r="AA142" i="65" l="1"/>
  <c r="AA171" i="65" s="1"/>
  <c r="AA76" i="105" s="1"/>
  <c r="AA124" i="65"/>
  <c r="AA153" i="65" s="1"/>
  <c r="AA58" i="105" s="1"/>
  <c r="AA98" i="105" s="1"/>
  <c r="AA35" i="82"/>
  <c r="S226" i="41"/>
  <c r="S228" i="41" s="1"/>
  <c r="J226" i="41"/>
  <c r="J228" i="41" s="1"/>
  <c r="X226" i="41"/>
  <c r="X228" i="41" s="1"/>
  <c r="AA226" i="41"/>
  <c r="AA228" i="41" s="1"/>
  <c r="J35" i="82"/>
  <c r="J124" i="65"/>
  <c r="J153" i="65" s="1"/>
  <c r="J58" i="105" s="1"/>
  <c r="J98" i="105" s="1"/>
  <c r="J142" i="65"/>
  <c r="J171" i="65" s="1"/>
  <c r="J76" i="105" s="1"/>
  <c r="J133" i="65"/>
  <c r="J162" i="65" s="1"/>
  <c r="J67" i="105" s="1"/>
  <c r="N124" i="65"/>
  <c r="N153" i="65" s="1"/>
  <c r="N58" i="105" s="1"/>
  <c r="N98" i="105" s="1"/>
  <c r="N142" i="65"/>
  <c r="N171" i="65" s="1"/>
  <c r="N76" i="105" s="1"/>
  <c r="N35" i="82"/>
  <c r="N133" i="65"/>
  <c r="N162" i="65" s="1"/>
  <c r="N67" i="105" s="1"/>
  <c r="AD35" i="82"/>
  <c r="AD142" i="65"/>
  <c r="AD171" i="65" s="1"/>
  <c r="AD76" i="105" s="1"/>
  <c r="AD124" i="65"/>
  <c r="AD153" i="65" s="1"/>
  <c r="AD58" i="105" s="1"/>
  <c r="AD98" i="105" s="1"/>
  <c r="O124" i="65"/>
  <c r="O153" i="65" s="1"/>
  <c r="O58" i="105" s="1"/>
  <c r="O98" i="105" s="1"/>
  <c r="O133" i="65"/>
  <c r="O162" i="65" s="1"/>
  <c r="O67" i="105" s="1"/>
  <c r="O35" i="82"/>
  <c r="O142" i="65"/>
  <c r="O171" i="65" s="1"/>
  <c r="O76" i="105" s="1"/>
  <c r="S142" i="65"/>
  <c r="S171" i="65" s="1"/>
  <c r="S76" i="105" s="1"/>
  <c r="S133" i="65"/>
  <c r="S162" i="65" s="1"/>
  <c r="S67" i="105" s="1"/>
  <c r="S35" i="82"/>
  <c r="S124" i="65"/>
  <c r="S153" i="65" s="1"/>
  <c r="S58" i="105" s="1"/>
  <c r="S98" i="105" s="1"/>
  <c r="U35" i="82"/>
  <c r="U124" i="65"/>
  <c r="U153" i="65" s="1"/>
  <c r="U58" i="105" s="1"/>
  <c r="U98" i="105" s="1"/>
  <c r="U142" i="65"/>
  <c r="U171" i="65" s="1"/>
  <c r="U76" i="105" s="1"/>
  <c r="U133" i="65"/>
  <c r="U162" i="65" s="1"/>
  <c r="U67" i="105" s="1"/>
  <c r="N226" i="41"/>
  <c r="N228" i="41" s="1"/>
  <c r="U226" i="41"/>
  <c r="U228" i="41" s="1"/>
  <c r="AD226" i="41"/>
  <c r="AD228" i="41" s="1"/>
  <c r="O226" i="41"/>
  <c r="O228" i="41" s="1"/>
  <c r="X124" i="65"/>
  <c r="X153" i="65" s="1"/>
  <c r="X58" i="105" s="1"/>
  <c r="X98" i="105" s="1"/>
  <c r="X142" i="65"/>
  <c r="X171" i="65" s="1"/>
  <c r="X76" i="105" s="1"/>
  <c r="X35" i="82"/>
  <c r="Y124" i="65"/>
  <c r="Y153" i="65" s="1"/>
  <c r="Y58" i="105" s="1"/>
  <c r="Y98" i="105" s="1"/>
  <c r="Y142" i="65"/>
  <c r="Y171" i="65" s="1"/>
  <c r="Y76" i="105" s="1"/>
  <c r="Y35" i="82"/>
  <c r="Z35" i="82"/>
  <c r="Z124" i="65"/>
  <c r="Z153" i="65" s="1"/>
  <c r="Z58" i="105" s="1"/>
  <c r="Z98" i="105" s="1"/>
  <c r="Z142" i="65"/>
  <c r="Z171" i="65" s="1"/>
  <c r="Z76" i="105" s="1"/>
  <c r="V133" i="65"/>
  <c r="V162" i="65" s="1"/>
  <c r="V67" i="105" s="1"/>
  <c r="V142" i="65"/>
  <c r="V171" i="65" s="1"/>
  <c r="V76" i="105" s="1"/>
  <c r="V35" i="82"/>
  <c r="V124" i="65"/>
  <c r="V153" i="65" s="1"/>
  <c r="V58" i="105" s="1"/>
  <c r="V98" i="105" s="1"/>
  <c r="M35" i="82"/>
  <c r="M124" i="65"/>
  <c r="M153" i="65" s="1"/>
  <c r="M58" i="105" s="1"/>
  <c r="M98" i="105" s="1"/>
  <c r="M142" i="65"/>
  <c r="M171" i="65" s="1"/>
  <c r="M76" i="105" s="1"/>
  <c r="M133" i="65"/>
  <c r="M162" i="65" s="1"/>
  <c r="M67" i="105" s="1"/>
  <c r="Y226" i="41"/>
  <c r="Y228" i="41" s="1"/>
  <c r="Z226" i="41"/>
  <c r="Z228" i="41" s="1"/>
  <c r="V226" i="41"/>
  <c r="V228" i="41" s="1"/>
  <c r="M226" i="41"/>
  <c r="M228" i="41" s="1"/>
  <c r="AF35" i="82"/>
  <c r="AF124" i="65"/>
  <c r="AF153" i="65" s="1"/>
  <c r="AF58" i="105" s="1"/>
  <c r="AF98" i="105" s="1"/>
  <c r="AF142" i="65"/>
  <c r="AF171" i="65" s="1"/>
  <c r="AF76" i="105" s="1"/>
  <c r="T133" i="65"/>
  <c r="T162" i="65" s="1"/>
  <c r="T67" i="105" s="1"/>
  <c r="T124" i="65"/>
  <c r="T153" i="65" s="1"/>
  <c r="T58" i="105" s="1"/>
  <c r="T98" i="105" s="1"/>
  <c r="T142" i="65"/>
  <c r="T171" i="65" s="1"/>
  <c r="T76" i="105" s="1"/>
  <c r="T35" i="82"/>
  <c r="AE35" i="82"/>
  <c r="AE142" i="65"/>
  <c r="AE171" i="65" s="1"/>
  <c r="AE76" i="105" s="1"/>
  <c r="AE124" i="65"/>
  <c r="AE153" i="65" s="1"/>
  <c r="AE58" i="105" s="1"/>
  <c r="AE98" i="105" s="1"/>
  <c r="P35" i="82"/>
  <c r="P142" i="65"/>
  <c r="P171" i="65" s="1"/>
  <c r="P76" i="105" s="1"/>
  <c r="P133" i="65"/>
  <c r="P162" i="65" s="1"/>
  <c r="P67" i="105" s="1"/>
  <c r="P124" i="65"/>
  <c r="P153" i="65" s="1"/>
  <c r="P58" i="105" s="1"/>
  <c r="P98" i="105" s="1"/>
  <c r="AC124" i="65"/>
  <c r="AC153" i="65" s="1"/>
  <c r="AC58" i="105" s="1"/>
  <c r="AC98" i="105" s="1"/>
  <c r="AC35" i="82"/>
  <c r="AC142" i="65"/>
  <c r="AC171" i="65" s="1"/>
  <c r="AC76" i="105" s="1"/>
  <c r="AF226" i="41"/>
  <c r="AF228" i="41" s="1"/>
  <c r="T226" i="41"/>
  <c r="T228" i="41" s="1"/>
  <c r="AE226" i="41"/>
  <c r="AE228" i="41" s="1"/>
  <c r="P226" i="41"/>
  <c r="P228" i="41" s="1"/>
  <c r="AC226" i="41"/>
  <c r="AC228" i="41" s="1"/>
  <c r="K139" i="65"/>
  <c r="K168" i="65" s="1"/>
  <c r="K73" i="105" s="1"/>
  <c r="K121" i="65"/>
  <c r="K150" i="65" s="1"/>
  <c r="K55" i="105" s="1"/>
  <c r="K95" i="105" s="1"/>
  <c r="K130" i="65"/>
  <c r="K159" i="65" s="1"/>
  <c r="K64" i="105" s="1"/>
  <c r="K32" i="82"/>
  <c r="AG33" i="82"/>
  <c r="AG140" i="65"/>
  <c r="AG169" i="65" s="1"/>
  <c r="AG74" i="105" s="1"/>
  <c r="AG122" i="65"/>
  <c r="AG151" i="65" s="1"/>
  <c r="AG56" i="105" s="1"/>
  <c r="AG96" i="105" s="1"/>
  <c r="AG131" i="65"/>
  <c r="AG160" i="65" s="1"/>
  <c r="AG65" i="105" s="1"/>
  <c r="AG139" i="65"/>
  <c r="AG168" i="65" s="1"/>
  <c r="AG73" i="105" s="1"/>
  <c r="AG130" i="65"/>
  <c r="AG159" i="65" s="1"/>
  <c r="AG64" i="105" s="1"/>
  <c r="AG32" i="82"/>
  <c r="AG121" i="65"/>
  <c r="AG150" i="65" s="1"/>
  <c r="AG55" i="105" s="1"/>
  <c r="AG95" i="105" s="1"/>
  <c r="AG34" i="82"/>
  <c r="AG132" i="65"/>
  <c r="AG161" i="65" s="1"/>
  <c r="AG66" i="105" s="1"/>
  <c r="AG141" i="65"/>
  <c r="AG170" i="65" s="1"/>
  <c r="AG75" i="105" s="1"/>
  <c r="AG123" i="65"/>
  <c r="AG152" i="65" s="1"/>
  <c r="AG57" i="105" s="1"/>
  <c r="AG97" i="105" s="1"/>
  <c r="K34" i="82"/>
  <c r="K123" i="65"/>
  <c r="K152" i="65" s="1"/>
  <c r="K57" i="105" s="1"/>
  <c r="K97" i="105" s="1"/>
  <c r="K141" i="65"/>
  <c r="K170" i="65" s="1"/>
  <c r="K75" i="105" s="1"/>
  <c r="K132" i="65"/>
  <c r="K161" i="65" s="1"/>
  <c r="K66" i="105" s="1"/>
  <c r="K122" i="65"/>
  <c r="K151" i="65" s="1"/>
  <c r="K56" i="105" s="1"/>
  <c r="K96" i="105" s="1"/>
  <c r="K131" i="65"/>
  <c r="K160" i="65" s="1"/>
  <c r="K65" i="105" s="1"/>
  <c r="K33" i="82"/>
  <c r="K140" i="65"/>
  <c r="K169" i="65" s="1"/>
  <c r="K74" i="105" s="1"/>
  <c r="K116" i="105" s="1"/>
  <c r="U237" i="41" l="1"/>
  <c r="Z293" i="41"/>
  <c r="Z295" i="41" s="1"/>
  <c r="U293" i="41"/>
  <c r="U295" i="41" s="1"/>
  <c r="U424" i="41"/>
  <c r="M424" i="41"/>
  <c r="M293" i="41"/>
  <c r="M295" i="41" s="1"/>
  <c r="M237" i="41"/>
  <c r="Y196" i="105"/>
  <c r="Y118" i="105"/>
  <c r="N424" i="41"/>
  <c r="N237" i="41"/>
  <c r="N293" i="41"/>
  <c r="N295" i="41" s="1"/>
  <c r="S118" i="105"/>
  <c r="S196" i="105"/>
  <c r="N185" i="105"/>
  <c r="N108" i="105"/>
  <c r="AA424" i="41"/>
  <c r="AA237" i="41"/>
  <c r="S185" i="105"/>
  <c r="S108" i="105"/>
  <c r="V237" i="41"/>
  <c r="V424" i="41"/>
  <c r="AA293" i="41"/>
  <c r="AA295" i="41" s="1"/>
  <c r="V293" i="41"/>
  <c r="V295" i="41" s="1"/>
  <c r="U185" i="105"/>
  <c r="U108" i="105"/>
  <c r="O196" i="105"/>
  <c r="O118" i="105"/>
  <c r="X237" i="41"/>
  <c r="X424" i="41"/>
  <c r="AC196" i="105"/>
  <c r="AC118" i="105"/>
  <c r="AC424" i="41"/>
  <c r="AC237" i="41"/>
  <c r="AC293" i="41"/>
  <c r="AC295" i="41" s="1"/>
  <c r="T196" i="105"/>
  <c r="T118" i="105"/>
  <c r="Z424" i="41"/>
  <c r="Z237" i="41"/>
  <c r="V196" i="105"/>
  <c r="V118" i="105"/>
  <c r="U118" i="105"/>
  <c r="U196" i="105"/>
  <c r="N196" i="105"/>
  <c r="N118" i="105"/>
  <c r="J424" i="41"/>
  <c r="J293" i="41"/>
  <c r="J295" i="41" s="1"/>
  <c r="J237" i="41"/>
  <c r="H230" i="41"/>
  <c r="AE196" i="105"/>
  <c r="AE118" i="105"/>
  <c r="P424" i="41"/>
  <c r="P237" i="41"/>
  <c r="P293" i="41"/>
  <c r="P295" i="41" s="1"/>
  <c r="P185" i="105"/>
  <c r="P108" i="105"/>
  <c r="Y424" i="41"/>
  <c r="Y237" i="41"/>
  <c r="V185" i="105"/>
  <c r="V108" i="105"/>
  <c r="X196" i="105"/>
  <c r="X118" i="105"/>
  <c r="O108" i="105"/>
  <c r="O185" i="105"/>
  <c r="S424" i="41"/>
  <c r="S237" i="41"/>
  <c r="X293" i="41"/>
  <c r="X295" i="41" s="1"/>
  <c r="S293" i="41"/>
  <c r="S295" i="41" s="1"/>
  <c r="J185" i="105"/>
  <c r="J108" i="105"/>
  <c r="AE293" i="41"/>
  <c r="AE295" i="41" s="1"/>
  <c r="AE424" i="41"/>
  <c r="AE237" i="41"/>
  <c r="T185" i="105"/>
  <c r="T108" i="105"/>
  <c r="Z196" i="105"/>
  <c r="Z118" i="105"/>
  <c r="T237" i="41"/>
  <c r="T424" i="41"/>
  <c r="Y293" i="41"/>
  <c r="Y295" i="41" s="1"/>
  <c r="T293" i="41"/>
  <c r="T295" i="41" s="1"/>
  <c r="AF196" i="105"/>
  <c r="AF118" i="105"/>
  <c r="M118" i="105"/>
  <c r="M196" i="105"/>
  <c r="O237" i="41"/>
  <c r="O424" i="41"/>
  <c r="O293" i="41"/>
  <c r="O295" i="41" s="1"/>
  <c r="J196" i="105"/>
  <c r="J118" i="105"/>
  <c r="P196" i="105"/>
  <c r="P118" i="105"/>
  <c r="M185" i="105"/>
  <c r="M108" i="105"/>
  <c r="AG102" i="105"/>
  <c r="AG174" i="105" s="1"/>
  <c r="AG65" i="82" s="1"/>
  <c r="AF293" i="41"/>
  <c r="AF295" i="41" s="1"/>
  <c r="AF424" i="41"/>
  <c r="AF237" i="41"/>
  <c r="AD424" i="41"/>
  <c r="AD293" i="41"/>
  <c r="AD295" i="41" s="1"/>
  <c r="AD237" i="41"/>
  <c r="AD196" i="105"/>
  <c r="AD118" i="105"/>
  <c r="H98" i="105"/>
  <c r="AA118" i="105"/>
  <c r="AA196" i="105"/>
  <c r="K102" i="105"/>
  <c r="K174" i="105" s="1"/>
  <c r="K65" i="82" s="1"/>
  <c r="K182" i="105"/>
  <c r="K105" i="105"/>
  <c r="AG195" i="105"/>
  <c r="AG117" i="105"/>
  <c r="AG183" i="105"/>
  <c r="AG106" i="105"/>
  <c r="K183" i="105"/>
  <c r="K106" i="105"/>
  <c r="K195" i="105"/>
  <c r="K117" i="105"/>
  <c r="AG184" i="105"/>
  <c r="AG107" i="105"/>
  <c r="K193" i="105"/>
  <c r="K115" i="105"/>
  <c r="K184" i="105"/>
  <c r="K107" i="105"/>
  <c r="AG182" i="105"/>
  <c r="AG105" i="105"/>
  <c r="AG194" i="105"/>
  <c r="AG116" i="105"/>
  <c r="AG193" i="105"/>
  <c r="AG115" i="105"/>
  <c r="AG146" i="105" l="1"/>
  <c r="AG63" i="82" s="1"/>
  <c r="AG140" i="105"/>
  <c r="AG62" i="82" s="1"/>
  <c r="AG112" i="105"/>
  <c r="AG147" i="105" s="1"/>
  <c r="Z249" i="41"/>
  <c r="Z267" i="41" s="1"/>
  <c r="Z272" i="41" s="1"/>
  <c r="Z250" i="41"/>
  <c r="Z268" i="41" s="1"/>
  <c r="Z273" i="41" s="1"/>
  <c r="Z251" i="41"/>
  <c r="Z269" i="41" s="1"/>
  <c r="Z274" i="41" s="1"/>
  <c r="M251" i="41"/>
  <c r="M269" i="41" s="1"/>
  <c r="M274" i="41" s="1"/>
  <c r="M279" i="41" s="1"/>
  <c r="M284" i="41" s="1"/>
  <c r="M362" i="41" s="1"/>
  <c r="M364" i="41" s="1"/>
  <c r="M366" i="41" s="1"/>
  <c r="M249" i="41"/>
  <c r="M267" i="41" s="1"/>
  <c r="M272" i="41" s="1"/>
  <c r="M277" i="41" s="1"/>
  <c r="M282" i="41" s="1"/>
  <c r="M405" i="41"/>
  <c r="M414" i="41" s="1"/>
  <c r="M34" i="65" s="1"/>
  <c r="M112" i="65" s="1"/>
  <c r="M250" i="41"/>
  <c r="M268" i="41" s="1"/>
  <c r="M273" i="41" s="1"/>
  <c r="M278" i="41" s="1"/>
  <c r="M283" i="41" s="1"/>
  <c r="O249" i="41"/>
  <c r="O267" i="41" s="1"/>
  <c r="O272" i="41" s="1"/>
  <c r="O277" i="41" s="1"/>
  <c r="O282" i="41" s="1"/>
  <c r="O251" i="41"/>
  <c r="O269" i="41" s="1"/>
  <c r="O274" i="41" s="1"/>
  <c r="O279" i="41" s="1"/>
  <c r="O284" i="41" s="1"/>
  <c r="O362" i="41" s="1"/>
  <c r="O364" i="41" s="1"/>
  <c r="O366" i="41" s="1"/>
  <c r="O250" i="41"/>
  <c r="O268" i="41" s="1"/>
  <c r="O273" i="41" s="1"/>
  <c r="O278" i="41" s="1"/>
  <c r="O283" i="41" s="1"/>
  <c r="T250" i="41"/>
  <c r="T268" i="41" s="1"/>
  <c r="T273" i="41" s="1"/>
  <c r="T251" i="41"/>
  <c r="T269" i="41" s="1"/>
  <c r="T274" i="41" s="1"/>
  <c r="T249" i="41"/>
  <c r="T267" i="41" s="1"/>
  <c r="T272" i="41" s="1"/>
  <c r="H108" i="105"/>
  <c r="H424" i="41"/>
  <c r="AG122" i="105"/>
  <c r="AG148" i="105" s="1"/>
  <c r="AD250" i="41"/>
  <c r="AD268" i="41" s="1"/>
  <c r="AD273" i="41" s="1"/>
  <c r="AD278" i="41" s="1"/>
  <c r="AD283" i="41" s="1"/>
  <c r="AD249" i="41"/>
  <c r="AD267" i="41" s="1"/>
  <c r="AD272" i="41" s="1"/>
  <c r="AD277" i="41" s="1"/>
  <c r="AD282" i="41" s="1"/>
  <c r="AD251" i="41"/>
  <c r="AD269" i="41" s="1"/>
  <c r="P251" i="41"/>
  <c r="P269" i="41" s="1"/>
  <c r="P249" i="41"/>
  <c r="P267" i="41" s="1"/>
  <c r="P272" i="41" s="1"/>
  <c r="P277" i="41" s="1"/>
  <c r="P282" i="41" s="1"/>
  <c r="P250" i="41"/>
  <c r="P268" i="41" s="1"/>
  <c r="P273" i="41" s="1"/>
  <c r="P278" i="41" s="1"/>
  <c r="P283" i="41" s="1"/>
  <c r="X251" i="41"/>
  <c r="X269" i="41" s="1"/>
  <c r="X274" i="41" s="1"/>
  <c r="X249" i="41"/>
  <c r="X267" i="41" s="1"/>
  <c r="X272" i="41" s="1"/>
  <c r="X250" i="41"/>
  <c r="X268" i="41" s="1"/>
  <c r="X273" i="41" s="1"/>
  <c r="V250" i="41"/>
  <c r="V268" i="41" s="1"/>
  <c r="V273" i="41" s="1"/>
  <c r="V251" i="41"/>
  <c r="V269" i="41" s="1"/>
  <c r="V274" i="41" s="1"/>
  <c r="V249" i="41"/>
  <c r="V267" i="41" s="1"/>
  <c r="V272" i="41" s="1"/>
  <c r="J249" i="41"/>
  <c r="J250" i="41"/>
  <c r="J251" i="41"/>
  <c r="J269" i="41" s="1"/>
  <c r="J274" i="41" s="1"/>
  <c r="J279" i="41" s="1"/>
  <c r="J284" i="41" s="1"/>
  <c r="J362" i="41" s="1"/>
  <c r="J364" i="41" s="1"/>
  <c r="J366" i="41" s="1"/>
  <c r="AG200" i="105"/>
  <c r="N249" i="41"/>
  <c r="N267" i="41" s="1"/>
  <c r="N272" i="41" s="1"/>
  <c r="N277" i="41" s="1"/>
  <c r="N282" i="41" s="1"/>
  <c r="N250" i="41"/>
  <c r="N268" i="41" s="1"/>
  <c r="N273" i="41" s="1"/>
  <c r="N278" i="41" s="1"/>
  <c r="N283" i="41" s="1"/>
  <c r="N251" i="41"/>
  <c r="N269" i="41" s="1"/>
  <c r="N274" i="41" s="1"/>
  <c r="N279" i="41" s="1"/>
  <c r="N284" i="41" s="1"/>
  <c r="N362" i="41" s="1"/>
  <c r="N364" i="41" s="1"/>
  <c r="N366" i="41" s="1"/>
  <c r="AG189" i="105"/>
  <c r="AF251" i="41"/>
  <c r="AF269" i="41" s="1"/>
  <c r="AF274" i="41" s="1"/>
  <c r="AF279" i="41" s="1"/>
  <c r="AF284" i="41" s="1"/>
  <c r="AF362" i="41" s="1"/>
  <c r="AF364" i="41" s="1"/>
  <c r="AF366" i="41" s="1"/>
  <c r="AF249" i="41"/>
  <c r="AF267" i="41" s="1"/>
  <c r="AF272" i="41" s="1"/>
  <c r="AF277" i="41" s="1"/>
  <c r="AF282" i="41" s="1"/>
  <c r="AF250" i="41"/>
  <c r="AF268" i="41" s="1"/>
  <c r="AF273" i="41" s="1"/>
  <c r="AF278" i="41" s="1"/>
  <c r="AF283" i="41" s="1"/>
  <c r="H118" i="105"/>
  <c r="S249" i="41"/>
  <c r="S267" i="41" s="1"/>
  <c r="S272" i="41" s="1"/>
  <c r="S251" i="41"/>
  <c r="S269" i="41" s="1"/>
  <c r="S274" i="41" s="1"/>
  <c r="S250" i="41"/>
  <c r="S268" i="41" s="1"/>
  <c r="S273" i="41" s="1"/>
  <c r="Y250" i="41"/>
  <c r="Y268" i="41" s="1"/>
  <c r="Y273" i="41" s="1"/>
  <c r="Y249" i="41"/>
  <c r="Y267" i="41" s="1"/>
  <c r="Y272" i="41" s="1"/>
  <c r="Y251" i="41"/>
  <c r="Y269" i="41" s="1"/>
  <c r="Y274" i="41" s="1"/>
  <c r="AC249" i="41"/>
  <c r="AC267" i="41" s="1"/>
  <c r="AC272" i="41" s="1"/>
  <c r="AC277" i="41" s="1"/>
  <c r="AC282" i="41" s="1"/>
  <c r="AC251" i="41"/>
  <c r="AC269" i="41" s="1"/>
  <c r="AC274" i="41"/>
  <c r="AC279" i="41" s="1"/>
  <c r="AC284" i="41" s="1"/>
  <c r="AC362" i="41" s="1"/>
  <c r="AC364" i="41" s="1"/>
  <c r="AC366" i="41" s="1"/>
  <c r="AC250" i="41"/>
  <c r="AC268" i="41" s="1"/>
  <c r="AC273" i="41" s="1"/>
  <c r="AC278" i="41" s="1"/>
  <c r="AC283" i="41" s="1"/>
  <c r="AA251" i="41"/>
  <c r="AA269" i="41" s="1"/>
  <c r="AA274" i="41" s="1"/>
  <c r="AA249" i="41"/>
  <c r="AA267" i="41" s="1"/>
  <c r="AA272" i="41" s="1"/>
  <c r="AA250" i="41"/>
  <c r="AA268" i="41" s="1"/>
  <c r="AA273" i="41" s="1"/>
  <c r="J268" i="41"/>
  <c r="J273" i="41" s="1"/>
  <c r="J278" i="41" s="1"/>
  <c r="J283" i="41" s="1"/>
  <c r="AE249" i="41"/>
  <c r="AE267" i="41" s="1"/>
  <c r="AE272" i="41" s="1"/>
  <c r="AE277" i="41" s="1"/>
  <c r="AE282" i="41" s="1"/>
  <c r="AE251" i="41"/>
  <c r="AE269" i="41" s="1"/>
  <c r="AE274" i="41" s="1"/>
  <c r="AE279" i="41" s="1"/>
  <c r="AE284" i="41" s="1"/>
  <c r="AE362" i="41" s="1"/>
  <c r="AE364" i="41" s="1"/>
  <c r="AE366" i="41" s="1"/>
  <c r="AE250" i="41"/>
  <c r="AE268" i="41" s="1"/>
  <c r="AE273" i="41" s="1"/>
  <c r="AE278" i="41" s="1"/>
  <c r="AE283" i="41" s="1"/>
  <c r="U249" i="41"/>
  <c r="U267" i="41" s="1"/>
  <c r="U272" i="41" s="1"/>
  <c r="U251" i="41"/>
  <c r="U269" i="41" s="1"/>
  <c r="U274" i="41" s="1"/>
  <c r="U250" i="41"/>
  <c r="U268" i="41" s="1"/>
  <c r="U273" i="41" s="1"/>
  <c r="K189" i="105"/>
  <c r="K146" i="105"/>
  <c r="K63" i="82" s="1"/>
  <c r="K112" i="105"/>
  <c r="K122" i="105"/>
  <c r="K200" i="105"/>
  <c r="AG206" i="105" l="1"/>
  <c r="AG73" i="82" s="1"/>
  <c r="AG207" i="105"/>
  <c r="AG74" i="82" s="1"/>
  <c r="M298" i="41"/>
  <c r="M300" i="41" s="1"/>
  <c r="M302" i="41" s="1"/>
  <c r="M304" i="41" s="1"/>
  <c r="M391" i="41" s="1"/>
  <c r="AC330" i="41"/>
  <c r="AC332" i="41" s="1"/>
  <c r="AC334" i="41" s="1"/>
  <c r="N330" i="41"/>
  <c r="N332" i="41" s="1"/>
  <c r="N334" i="41" s="1"/>
  <c r="AA278" i="41"/>
  <c r="AA283" i="41" s="1"/>
  <c r="V278" i="41"/>
  <c r="V283" i="41" s="1"/>
  <c r="AC298" i="41"/>
  <c r="AC300" i="41" s="1"/>
  <c r="AC302" i="41" s="1"/>
  <c r="AC304" i="41" s="1"/>
  <c r="AC391" i="41" s="1"/>
  <c r="U279" i="41"/>
  <c r="U284" i="41" s="1"/>
  <c r="U362" i="41" s="1"/>
  <c r="Z279" i="41"/>
  <c r="Z284" i="41" s="1"/>
  <c r="Z362" i="41" s="1"/>
  <c r="Z278" i="41"/>
  <c r="Z283" i="41" s="1"/>
  <c r="U278" i="41"/>
  <c r="U283" i="41" s="1"/>
  <c r="AE298" i="41"/>
  <c r="AE300" i="41" s="1"/>
  <c r="AE302" i="41" s="1"/>
  <c r="AE304" i="41" s="1"/>
  <c r="AE391" i="41" s="1"/>
  <c r="J330" i="41"/>
  <c r="J332" i="41" s="1"/>
  <c r="J334" i="41" s="1"/>
  <c r="N298" i="41"/>
  <c r="N300" i="41" s="1"/>
  <c r="N302" i="41" s="1"/>
  <c r="N304" i="41" s="1"/>
  <c r="N391" i="41" s="1"/>
  <c r="AD274" i="41"/>
  <c r="AD279" i="41" s="1"/>
  <c r="AD284" i="41" s="1"/>
  <c r="AD362" i="41" s="1"/>
  <c r="AD364" i="41" s="1"/>
  <c r="AD366" i="41" s="1"/>
  <c r="O330" i="41"/>
  <c r="O332" i="41" s="1"/>
  <c r="O334" i="41" s="1"/>
  <c r="U277" i="41"/>
  <c r="U282" i="41" s="1"/>
  <c r="Z277" i="41"/>
  <c r="Z282" i="41" s="1"/>
  <c r="AF330" i="41"/>
  <c r="AF332" i="41" s="1"/>
  <c r="AF334" i="41" s="1"/>
  <c r="AA277" i="41"/>
  <c r="AA282" i="41" s="1"/>
  <c r="V277" i="41"/>
  <c r="V282" i="41" s="1"/>
  <c r="S277" i="41"/>
  <c r="S282" i="41" s="1"/>
  <c r="X277" i="41"/>
  <c r="X282" i="41" s="1"/>
  <c r="T278" i="41"/>
  <c r="T283" i="41" s="1"/>
  <c r="Y278" i="41"/>
  <c r="Y283" i="41" s="1"/>
  <c r="AF298" i="41"/>
  <c r="AF300" i="41" s="1"/>
  <c r="AF302" i="41" s="1"/>
  <c r="AF304" i="41" s="1"/>
  <c r="AF391" i="41" s="1"/>
  <c r="V279" i="41"/>
  <c r="V284" i="41" s="1"/>
  <c r="V362" i="41" s="1"/>
  <c r="AA279" i="41"/>
  <c r="AA284" i="41" s="1"/>
  <c r="AA362" i="41" s="1"/>
  <c r="Z259" i="41" a="1"/>
  <c r="Z259" i="41" s="1"/>
  <c r="Z264" i="41" s="1"/>
  <c r="AB259" i="41" a="1"/>
  <c r="AB259" i="41" s="1"/>
  <c r="AB264" i="41" s="1"/>
  <c r="AB400" i="41" s="1"/>
  <c r="K259" i="41" a="1"/>
  <c r="K259" i="41" s="1"/>
  <c r="K264" i="41" s="1"/>
  <c r="K400" i="41" s="1"/>
  <c r="T259" i="41" a="1"/>
  <c r="T259" i="41" s="1"/>
  <c r="T264" i="41" s="1"/>
  <c r="N259" i="41" a="1"/>
  <c r="N259" i="41" s="1"/>
  <c r="N264" i="41" s="1"/>
  <c r="AM259" i="41" a="1"/>
  <c r="AM259" i="41" s="1"/>
  <c r="AM264" i="41" s="1"/>
  <c r="AM400" i="41" s="1"/>
  <c r="AJ259" i="41" a="1"/>
  <c r="AJ259" i="41" s="1"/>
  <c r="AJ264" i="41" s="1"/>
  <c r="AJ400" i="41" s="1"/>
  <c r="W259" i="41" a="1"/>
  <c r="W259" i="41" s="1"/>
  <c r="W264" i="41" s="1"/>
  <c r="W400" i="41" s="1"/>
  <c r="Y259" i="41" a="1"/>
  <c r="Y259" i="41" s="1"/>
  <c r="Y264" i="41" s="1"/>
  <c r="V259" i="41" a="1"/>
  <c r="V259" i="41" s="1"/>
  <c r="V264" i="41" s="1"/>
  <c r="AL259" i="41" a="1"/>
  <c r="AL259" i="41" s="1"/>
  <c r="AL264" i="41" s="1"/>
  <c r="AL400" i="41" s="1"/>
  <c r="X259" i="41" a="1"/>
  <c r="X259" i="41" s="1"/>
  <c r="X264" i="41" s="1"/>
  <c r="AE259" i="41" a="1"/>
  <c r="AE259" i="41" s="1"/>
  <c r="AE264" i="41" s="1"/>
  <c r="J259" i="41" a="1"/>
  <c r="J259" i="41" s="1"/>
  <c r="J264" i="41" s="1"/>
  <c r="O259" i="41" a="1"/>
  <c r="O259" i="41" s="1"/>
  <c r="O264" i="41" s="1"/>
  <c r="P259" i="41" a="1"/>
  <c r="P259" i="41" s="1"/>
  <c r="P264" i="41" s="1"/>
  <c r="AH259" i="41" a="1"/>
  <c r="AH259" i="41" s="1"/>
  <c r="AH264" i="41" s="1"/>
  <c r="AH400" i="41" s="1"/>
  <c r="AI259" i="41" a="1"/>
  <c r="AI259" i="41" s="1"/>
  <c r="AI264" i="41" s="1"/>
  <c r="AI400" i="41" s="1"/>
  <c r="AF259" i="41" a="1"/>
  <c r="AF259" i="41" s="1"/>
  <c r="AF264" i="41" s="1"/>
  <c r="L259" i="41" a="1"/>
  <c r="L259" i="41" s="1"/>
  <c r="L264" i="41" s="1"/>
  <c r="L400" i="41" s="1"/>
  <c r="AK259" i="41" a="1"/>
  <c r="AK259" i="41" s="1"/>
  <c r="AK264" i="41" s="1"/>
  <c r="AK400" i="41" s="1"/>
  <c r="AG259" i="41" a="1"/>
  <c r="AG259" i="41" s="1"/>
  <c r="AG264" i="41" s="1"/>
  <c r="M259" i="41" a="1"/>
  <c r="M259" i="41" s="1"/>
  <c r="M264" i="41" s="1"/>
  <c r="M309" i="41" s="1"/>
  <c r="S259" i="41" a="1"/>
  <c r="S259" i="41" s="1"/>
  <c r="S264" i="41" s="1"/>
  <c r="AA259" i="41" a="1"/>
  <c r="AA259" i="41" s="1"/>
  <c r="AA264" i="41" s="1"/>
  <c r="U259" i="41" a="1"/>
  <c r="U259" i="41" s="1"/>
  <c r="U264" i="41" s="1"/>
  <c r="AD259" i="41" a="1"/>
  <c r="AD259" i="41" s="1"/>
  <c r="AD264" i="41" s="1"/>
  <c r="AN259" i="41" a="1"/>
  <c r="AN259" i="41" s="1"/>
  <c r="AN264" i="41" s="1"/>
  <c r="AN400" i="41" s="1"/>
  <c r="AO259" i="41" a="1"/>
  <c r="AO259" i="41" s="1"/>
  <c r="AO264" i="41" s="1"/>
  <c r="AO400" i="41" s="1"/>
  <c r="AC259" i="41" a="1"/>
  <c r="AC259" i="41" s="1"/>
  <c r="AC264" i="41" s="1"/>
  <c r="Q259" i="41" a="1"/>
  <c r="Q259" i="41" s="1"/>
  <c r="Q264" i="41" s="1"/>
  <c r="Q400" i="41" s="1"/>
  <c r="R259" i="41" a="1"/>
  <c r="R259" i="41" s="1"/>
  <c r="R264" i="41" s="1"/>
  <c r="R400" i="41" s="1"/>
  <c r="P274" i="41"/>
  <c r="P279" i="41" s="1"/>
  <c r="P284" i="41" s="1"/>
  <c r="P362" i="41" s="1"/>
  <c r="P364" i="41" s="1"/>
  <c r="P366" i="41" s="1"/>
  <c r="Y277" i="41"/>
  <c r="Y282" i="41" s="1"/>
  <c r="T277" i="41"/>
  <c r="T282" i="41" s="1"/>
  <c r="O298" i="41"/>
  <c r="O300" i="41" s="1"/>
  <c r="O302" i="41" s="1"/>
  <c r="O304" i="41" s="1"/>
  <c r="O391" i="41" s="1"/>
  <c r="S278" i="41"/>
  <c r="S283" i="41" s="1"/>
  <c r="X278" i="41"/>
  <c r="X283" i="41" s="1"/>
  <c r="AE330" i="41"/>
  <c r="AE332" i="41" s="1"/>
  <c r="AE334" i="41" s="1"/>
  <c r="T258" i="41" a="1"/>
  <c r="T258" i="41" s="1"/>
  <c r="T263" i="41" s="1"/>
  <c r="V258" i="41" a="1"/>
  <c r="V258" i="41" s="1"/>
  <c r="V263" i="41" s="1"/>
  <c r="W258" i="41" a="1"/>
  <c r="W258" i="41" s="1"/>
  <c r="W263" i="41" s="1"/>
  <c r="W399" i="41" s="1"/>
  <c r="AG258" i="41" a="1"/>
  <c r="AG258" i="41" s="1"/>
  <c r="AG263" i="41" s="1"/>
  <c r="AN258" i="41" a="1"/>
  <c r="AN258" i="41" s="1"/>
  <c r="AN263" i="41" s="1"/>
  <c r="AN399" i="41" s="1"/>
  <c r="AO258" i="41" a="1"/>
  <c r="AO258" i="41" s="1"/>
  <c r="AO263" i="41" s="1"/>
  <c r="AO399" i="41" s="1"/>
  <c r="AK258" i="41" a="1"/>
  <c r="AK258" i="41" s="1"/>
  <c r="AK263" i="41" s="1"/>
  <c r="AK399" i="41" s="1"/>
  <c r="R258" i="41" a="1"/>
  <c r="R258" i="41" s="1"/>
  <c r="R263" i="41" s="1"/>
  <c r="R399" i="41" s="1"/>
  <c r="U258" i="41" a="1"/>
  <c r="U258" i="41" s="1"/>
  <c r="U263" i="41" s="1"/>
  <c r="AH258" i="41" a="1"/>
  <c r="AH258" i="41" s="1"/>
  <c r="AH263" i="41" s="1"/>
  <c r="AH399" i="41" s="1"/>
  <c r="AL258" i="41" a="1"/>
  <c r="AL258" i="41" s="1"/>
  <c r="AL263" i="41" s="1"/>
  <c r="AL399" i="41" s="1"/>
  <c r="O258" i="41" a="1"/>
  <c r="O258" i="41" s="1"/>
  <c r="O263" i="41" s="1"/>
  <c r="L258" i="41" a="1"/>
  <c r="L258" i="41" s="1"/>
  <c r="L263" i="41" s="1"/>
  <c r="L399" i="41" s="1"/>
  <c r="AE258" i="41" a="1"/>
  <c r="AE258" i="41" s="1"/>
  <c r="AE263" i="41" s="1"/>
  <c r="Q258" i="41" a="1"/>
  <c r="Q258" i="41" s="1"/>
  <c r="Q263" i="41" s="1"/>
  <c r="Q399" i="41" s="1"/>
  <c r="AJ258" i="41" a="1"/>
  <c r="AJ258" i="41" s="1"/>
  <c r="AJ263" i="41" s="1"/>
  <c r="AJ399" i="41" s="1"/>
  <c r="AA258" i="41" a="1"/>
  <c r="AA258" i="41" s="1"/>
  <c r="AA263" i="41" s="1"/>
  <c r="AB258" i="41" a="1"/>
  <c r="AB258" i="41" s="1"/>
  <c r="AB263" i="41" s="1"/>
  <c r="AB399" i="41" s="1"/>
  <c r="AF258" i="41" a="1"/>
  <c r="AF258" i="41" s="1"/>
  <c r="AF263" i="41" s="1"/>
  <c r="P258" i="41" a="1"/>
  <c r="P258" i="41" s="1"/>
  <c r="P263" i="41" s="1"/>
  <c r="AI258" i="41" a="1"/>
  <c r="AI258" i="41" s="1"/>
  <c r="AI263" i="41" s="1"/>
  <c r="AI399" i="41" s="1"/>
  <c r="AM258" i="41" a="1"/>
  <c r="AM258" i="41" s="1"/>
  <c r="AM263" i="41" s="1"/>
  <c r="AM399" i="41" s="1"/>
  <c r="J258" i="41" a="1"/>
  <c r="J258" i="41" s="1"/>
  <c r="J263" i="41" s="1"/>
  <c r="Z258" i="41" a="1"/>
  <c r="Z258" i="41" s="1"/>
  <c r="Z263" i="41" s="1"/>
  <c r="AD258" i="41" a="1"/>
  <c r="AD258" i="41" s="1"/>
  <c r="AD263" i="41" s="1"/>
  <c r="X258" i="41" a="1"/>
  <c r="X258" i="41" s="1"/>
  <c r="X263" i="41" s="1"/>
  <c r="K258" i="41" a="1"/>
  <c r="K258" i="41" s="1"/>
  <c r="K263" i="41" s="1"/>
  <c r="K399" i="41" s="1"/>
  <c r="M258" i="41" a="1"/>
  <c r="M258" i="41" s="1"/>
  <c r="M263" i="41" s="1"/>
  <c r="M308" i="41" s="1"/>
  <c r="S258" i="41" a="1"/>
  <c r="S258" i="41" s="1"/>
  <c r="S263" i="41" s="1"/>
  <c r="N258" i="41" a="1"/>
  <c r="N258" i="41" s="1"/>
  <c r="N263" i="41" s="1"/>
  <c r="AC258" i="41" a="1"/>
  <c r="AC258" i="41" s="1"/>
  <c r="AC263" i="41" s="1"/>
  <c r="Y258" i="41" a="1"/>
  <c r="Y258" i="41" s="1"/>
  <c r="Y263" i="41" s="1"/>
  <c r="M330" i="41"/>
  <c r="M332" i="41" s="1"/>
  <c r="M334" i="41" s="1"/>
  <c r="X279" i="41"/>
  <c r="X284" i="41" s="1"/>
  <c r="X362" i="41" s="1"/>
  <c r="S279" i="41"/>
  <c r="S284" i="41" s="1"/>
  <c r="S362" i="41" s="1"/>
  <c r="Y257" i="41" a="1"/>
  <c r="Y257" i="41" s="1"/>
  <c r="Y262" i="41" s="1"/>
  <c r="AF257" i="41" a="1"/>
  <c r="AF257" i="41" s="1"/>
  <c r="AF262" i="41" s="1"/>
  <c r="AE257" i="41" a="1"/>
  <c r="AE257" i="41" s="1"/>
  <c r="AE262" i="41" s="1"/>
  <c r="M257" i="41" a="1"/>
  <c r="M257" i="41" s="1"/>
  <c r="M262" i="41" s="1"/>
  <c r="Z257" i="41" a="1"/>
  <c r="Z257" i="41" s="1"/>
  <c r="Z262" i="41" s="1"/>
  <c r="X257" i="41" a="1"/>
  <c r="X257" i="41" s="1"/>
  <c r="X262" i="41" s="1"/>
  <c r="P257" i="41" a="1"/>
  <c r="P257" i="41" s="1"/>
  <c r="P262" i="41" s="1"/>
  <c r="AL257" i="41" a="1"/>
  <c r="AL257" i="41" s="1"/>
  <c r="AL262" i="41" s="1"/>
  <c r="AG257" i="41" a="1"/>
  <c r="AG257" i="41" s="1"/>
  <c r="AG262" i="41" s="1"/>
  <c r="N257" i="41" a="1"/>
  <c r="N257" i="41" s="1"/>
  <c r="N262" i="41" s="1"/>
  <c r="AD257" i="41" a="1"/>
  <c r="AD257" i="41" s="1"/>
  <c r="AD262" i="41" s="1"/>
  <c r="U257" i="41" a="1"/>
  <c r="U257" i="41" s="1"/>
  <c r="U262" i="41" s="1"/>
  <c r="O257" i="41" a="1"/>
  <c r="O257" i="41" s="1"/>
  <c r="O262" i="41" s="1"/>
  <c r="Q257" i="41" a="1"/>
  <c r="Q257" i="41" s="1"/>
  <c r="Q262" i="41" s="1"/>
  <c r="AM257" i="41" a="1"/>
  <c r="AM257" i="41" s="1"/>
  <c r="AM262" i="41" s="1"/>
  <c r="J257" i="41" a="1"/>
  <c r="J257" i="41" s="1"/>
  <c r="J262" i="41" s="1"/>
  <c r="AH257" i="41" a="1"/>
  <c r="AH257" i="41" s="1"/>
  <c r="AH262" i="41" s="1"/>
  <c r="AB257" i="41" a="1"/>
  <c r="AB257" i="41" s="1"/>
  <c r="AB262" i="41" s="1"/>
  <c r="T257" i="41" a="1"/>
  <c r="T257" i="41" s="1"/>
  <c r="T262" i="41" s="1"/>
  <c r="K257" i="41" a="1"/>
  <c r="K257" i="41" s="1"/>
  <c r="K262" i="41" s="1"/>
  <c r="W257" i="41" a="1"/>
  <c r="W257" i="41" s="1"/>
  <c r="W262" i="41" s="1"/>
  <c r="L257" i="41" a="1"/>
  <c r="L257" i="41" s="1"/>
  <c r="L262" i="41" s="1"/>
  <c r="AN257" i="41" a="1"/>
  <c r="AN257" i="41" s="1"/>
  <c r="AN262" i="41" s="1"/>
  <c r="V257" i="41" a="1"/>
  <c r="V257" i="41" s="1"/>
  <c r="V262" i="41" s="1"/>
  <c r="S257" i="41" a="1"/>
  <c r="S257" i="41" s="1"/>
  <c r="S262" i="41" s="1"/>
  <c r="AI257" i="41" a="1"/>
  <c r="AI257" i="41" s="1"/>
  <c r="AI262" i="41" s="1"/>
  <c r="AA257" i="41" a="1"/>
  <c r="AA257" i="41" s="1"/>
  <c r="AA262" i="41" s="1"/>
  <c r="AC257" i="41" a="1"/>
  <c r="AC257" i="41" s="1"/>
  <c r="AC262" i="41" s="1"/>
  <c r="AK257" i="41" a="1"/>
  <c r="AK257" i="41" s="1"/>
  <c r="AK262" i="41" s="1"/>
  <c r="R257" i="41" a="1"/>
  <c r="R257" i="41" s="1"/>
  <c r="R262" i="41" s="1"/>
  <c r="AO257" i="41" a="1"/>
  <c r="AO257" i="41" s="1"/>
  <c r="AO262" i="41" s="1"/>
  <c r="AJ257" i="41" a="1"/>
  <c r="AJ257" i="41" s="1"/>
  <c r="AJ262" i="41" s="1"/>
  <c r="Y279" i="41"/>
  <c r="Y284" i="41" s="1"/>
  <c r="Y362" i="41" s="1"/>
  <c r="T279" i="41"/>
  <c r="T284" i="41" s="1"/>
  <c r="T362" i="41" s="1"/>
  <c r="M141" i="65"/>
  <c r="M170" i="65" s="1"/>
  <c r="M75" i="105" s="1"/>
  <c r="M123" i="65"/>
  <c r="M152" i="65" s="1"/>
  <c r="M57" i="105" s="1"/>
  <c r="M97" i="105" s="1"/>
  <c r="M34" i="82"/>
  <c r="M132" i="65"/>
  <c r="M161" i="65" s="1"/>
  <c r="M66" i="105" s="1"/>
  <c r="J267" i="41"/>
  <c r="J272" i="41" s="1"/>
  <c r="J277" i="41" s="1"/>
  <c r="J282" i="41" s="1"/>
  <c r="J298" i="41" s="1"/>
  <c r="J300" i="41" s="1"/>
  <c r="J302" i="41" s="1"/>
  <c r="J304" i="41" s="1"/>
  <c r="J391" i="41" s="1"/>
  <c r="P330" i="41" l="1"/>
  <c r="P332" i="41" s="1"/>
  <c r="P334" i="41" s="1"/>
  <c r="U330" i="41"/>
  <c r="Z330" i="41"/>
  <c r="N308" i="41"/>
  <c r="N309" i="41"/>
  <c r="X298" i="41"/>
  <c r="L398" i="41"/>
  <c r="L422" i="41" s="1"/>
  <c r="L426" i="41" s="1"/>
  <c r="L321" i="41"/>
  <c r="L323" i="41" s="1"/>
  <c r="L353" i="41"/>
  <c r="L355" i="41" s="1"/>
  <c r="AK398" i="41"/>
  <c r="AK422" i="41" s="1"/>
  <c r="AK426" i="41" s="1"/>
  <c r="AK353" i="41"/>
  <c r="AK355" i="41" s="1"/>
  <c r="AK321" i="41"/>
  <c r="AK323" i="41" s="1"/>
  <c r="W398" i="41"/>
  <c r="W422" i="41" s="1"/>
  <c r="W426" i="41" s="1"/>
  <c r="W321" i="41"/>
  <c r="W323" i="41" s="1"/>
  <c r="W353" i="41"/>
  <c r="W355" i="41" s="1"/>
  <c r="O353" i="41"/>
  <c r="O355" i="41" s="1"/>
  <c r="O357" i="41" s="1"/>
  <c r="O359" i="41" s="1"/>
  <c r="O368" i="41" s="1"/>
  <c r="O321" i="41"/>
  <c r="O323" i="41" s="1"/>
  <c r="O325" i="41" s="1"/>
  <c r="O327" i="41" s="1"/>
  <c r="O336" i="41" s="1"/>
  <c r="O307" i="41"/>
  <c r="Z321" i="41"/>
  <c r="Z323" i="41" s="1"/>
  <c r="Z353" i="41"/>
  <c r="Z355" i="41" s="1"/>
  <c r="O309" i="41"/>
  <c r="S298" i="41"/>
  <c r="V330" i="41"/>
  <c r="X353" i="41"/>
  <c r="X355" i="41" s="1"/>
  <c r="X321" i="41"/>
  <c r="X323" i="41" s="1"/>
  <c r="M195" i="105"/>
  <c r="M117" i="105"/>
  <c r="AC353" i="41"/>
  <c r="AC355" i="41" s="1"/>
  <c r="AC357" i="41" s="1"/>
  <c r="AC359" i="41" s="1"/>
  <c r="AC368" i="41" s="1"/>
  <c r="AC307" i="41"/>
  <c r="AC321" i="41"/>
  <c r="AC323" i="41" s="1"/>
  <c r="AC325" i="41" s="1"/>
  <c r="AC327" i="41" s="1"/>
  <c r="AC336" i="41" s="1"/>
  <c r="AC392" i="41" s="1"/>
  <c r="K398" i="41"/>
  <c r="K422" i="41" s="1"/>
  <c r="K426" i="41" s="1"/>
  <c r="K353" i="41"/>
  <c r="K355" i="41" s="1"/>
  <c r="K321" i="41"/>
  <c r="K323" i="41" s="1"/>
  <c r="U321" i="41"/>
  <c r="U323" i="41" s="1"/>
  <c r="U353" i="41"/>
  <c r="U355" i="41" s="1"/>
  <c r="M321" i="41"/>
  <c r="M323" i="41" s="1"/>
  <c r="M325" i="41" s="1"/>
  <c r="M327" i="41" s="1"/>
  <c r="M336" i="41" s="1"/>
  <c r="M353" i="41"/>
  <c r="M355" i="41" s="1"/>
  <c r="M357" i="41" s="1"/>
  <c r="M359" i="41" s="1"/>
  <c r="M368" i="41" s="1"/>
  <c r="M307" i="41"/>
  <c r="M311" i="41" s="1"/>
  <c r="M384" i="41" s="1"/>
  <c r="AC308" i="41"/>
  <c r="J308" i="41"/>
  <c r="X330" i="41"/>
  <c r="AC309" i="41"/>
  <c r="AG373" i="41"/>
  <c r="AG375" i="41" s="1"/>
  <c r="AG386" i="41" s="1"/>
  <c r="AG341" i="41"/>
  <c r="AG309" i="41"/>
  <c r="J309" i="41"/>
  <c r="P298" i="41"/>
  <c r="AA330" i="41"/>
  <c r="Q353" i="41"/>
  <c r="Q355" i="41" s="1"/>
  <c r="Q398" i="41"/>
  <c r="Q422" i="41" s="1"/>
  <c r="Q426" i="41" s="1"/>
  <c r="Q321" i="41"/>
  <c r="Q323" i="41" s="1"/>
  <c r="Y364" i="41"/>
  <c r="Y366" i="41" s="1"/>
  <c r="T364" i="41"/>
  <c r="T366" i="41" s="1"/>
  <c r="AA353" i="41"/>
  <c r="AA355" i="41" s="1"/>
  <c r="AA321" i="41"/>
  <c r="AA323" i="41" s="1"/>
  <c r="T321" i="41"/>
  <c r="T323" i="41" s="1"/>
  <c r="T353" i="41"/>
  <c r="T355" i="41" s="1"/>
  <c r="AD321" i="41"/>
  <c r="AD323" i="41" s="1"/>
  <c r="AD325" i="41" s="1"/>
  <c r="AD327" i="41" s="1"/>
  <c r="AD353" i="41"/>
  <c r="AD355" i="41" s="1"/>
  <c r="AD357" i="41" s="1"/>
  <c r="AD359" i="41" s="1"/>
  <c r="AD368" i="41" s="1"/>
  <c r="AE321" i="41"/>
  <c r="AE323" i="41" s="1"/>
  <c r="AE325" i="41" s="1"/>
  <c r="AE327" i="41" s="1"/>
  <c r="AE336" i="41" s="1"/>
  <c r="AE353" i="41"/>
  <c r="AE355" i="41" s="1"/>
  <c r="AE357" i="41" s="1"/>
  <c r="AE359" i="41" s="1"/>
  <c r="AE368" i="41" s="1"/>
  <c r="AE393" i="41" s="1"/>
  <c r="AE307" i="41"/>
  <c r="AE308" i="41"/>
  <c r="S330" i="41"/>
  <c r="AE309" i="41"/>
  <c r="AA364" i="41"/>
  <c r="AA366" i="41" s="1"/>
  <c r="V364" i="41"/>
  <c r="V366" i="41" s="1"/>
  <c r="V298" i="41"/>
  <c r="R398" i="41"/>
  <c r="R422" i="41" s="1"/>
  <c r="R426" i="41" s="1"/>
  <c r="R321" i="41"/>
  <c r="R323" i="41" s="1"/>
  <c r="R353" i="41"/>
  <c r="R355" i="41" s="1"/>
  <c r="AI398" i="41"/>
  <c r="AI422" i="41" s="1"/>
  <c r="AI426" i="41" s="1"/>
  <c r="AI321" i="41"/>
  <c r="AI323" i="41" s="1"/>
  <c r="AI353" i="41"/>
  <c r="AI355" i="41" s="1"/>
  <c r="AB398" i="41"/>
  <c r="AB422" i="41" s="1"/>
  <c r="AB426" i="41" s="1"/>
  <c r="AB321" i="41"/>
  <c r="AB323" i="41" s="1"/>
  <c r="AB353" i="41"/>
  <c r="AB355" i="41" s="1"/>
  <c r="N353" i="41"/>
  <c r="N355" i="41" s="1"/>
  <c r="N357" i="41" s="1"/>
  <c r="N359" i="41" s="1"/>
  <c r="N368" i="41" s="1"/>
  <c r="N321" i="41"/>
  <c r="N323" i="41" s="1"/>
  <c r="N325" i="41" s="1"/>
  <c r="N327" i="41" s="1"/>
  <c r="N336" i="41" s="1"/>
  <c r="N307" i="41"/>
  <c r="AF353" i="41"/>
  <c r="AF355" i="41" s="1"/>
  <c r="AF357" i="41" s="1"/>
  <c r="AF359" i="41" s="1"/>
  <c r="AF368" i="41" s="1"/>
  <c r="AF321" i="41"/>
  <c r="AF323" i="41" s="1"/>
  <c r="AF325" i="41" s="1"/>
  <c r="AF327" i="41" s="1"/>
  <c r="AF336" i="41" s="1"/>
  <c r="AF392" i="41" s="1"/>
  <c r="AF307" i="41"/>
  <c r="AA298" i="41"/>
  <c r="Z364" i="41"/>
  <c r="Z366" i="41" s="1"/>
  <c r="U364" i="41"/>
  <c r="U366" i="41" s="1"/>
  <c r="AD298" i="41"/>
  <c r="AD300" i="41" s="1"/>
  <c r="AD302" i="41" s="1"/>
  <c r="AD304" i="41" s="1"/>
  <c r="AD391" i="41" s="1"/>
  <c r="AH398" i="41"/>
  <c r="AH422" i="41" s="1"/>
  <c r="AH426" i="41" s="1"/>
  <c r="AH321" i="41"/>
  <c r="AH323" i="41" s="1"/>
  <c r="AH353" i="41"/>
  <c r="AH355" i="41" s="1"/>
  <c r="O308" i="41"/>
  <c r="AG308" i="41"/>
  <c r="AG340" i="41"/>
  <c r="T298" i="41"/>
  <c r="AF309" i="41"/>
  <c r="AD330" i="41"/>
  <c r="AD332" i="41" s="1"/>
  <c r="AD334" i="41" s="1"/>
  <c r="S321" i="41"/>
  <c r="S323" i="41" s="1"/>
  <c r="S353" i="41"/>
  <c r="S355" i="41" s="1"/>
  <c r="Y321" i="41"/>
  <c r="Y323" i="41" s="1"/>
  <c r="Y353" i="41"/>
  <c r="Y355" i="41" s="1"/>
  <c r="AJ398" i="41"/>
  <c r="AJ422" i="41" s="1"/>
  <c r="AJ426" i="41" s="1"/>
  <c r="AJ353" i="41"/>
  <c r="AJ355" i="41" s="1"/>
  <c r="AJ321" i="41"/>
  <c r="AJ323" i="41" s="1"/>
  <c r="V321" i="41"/>
  <c r="V323" i="41" s="1"/>
  <c r="V353" i="41"/>
  <c r="V355" i="41" s="1"/>
  <c r="J321" i="41"/>
  <c r="J323" i="41" s="1"/>
  <c r="J325" i="41" s="1"/>
  <c r="J327" i="41" s="1"/>
  <c r="J336" i="41" s="1"/>
  <c r="J392" i="41" s="1"/>
  <c r="J353" i="41"/>
  <c r="J355" i="41" s="1"/>
  <c r="J357" i="41" s="1"/>
  <c r="J359" i="41" s="1"/>
  <c r="J368" i="41" s="1"/>
  <c r="J393" i="41" s="1"/>
  <c r="J307" i="41"/>
  <c r="AL398" i="41"/>
  <c r="AL422" i="41" s="1"/>
  <c r="AL426" i="41" s="1"/>
  <c r="AL321" i="41"/>
  <c r="AL323" i="41" s="1"/>
  <c r="AL353" i="41"/>
  <c r="AL355" i="41" s="1"/>
  <c r="S364" i="41"/>
  <c r="S366" i="41" s="1"/>
  <c r="X364" i="41"/>
  <c r="X366" i="41" s="1"/>
  <c r="AF308" i="41"/>
  <c r="Y298" i="41"/>
  <c r="Y330" i="41"/>
  <c r="Z298" i="41"/>
  <c r="AG321" i="41"/>
  <c r="AG323" i="41" s="1"/>
  <c r="AG325" i="41" s="1"/>
  <c r="AG327" i="41" s="1"/>
  <c r="AG307" i="41"/>
  <c r="AG353" i="41"/>
  <c r="AG355" i="41" s="1"/>
  <c r="AG357" i="41" s="1"/>
  <c r="AG359" i="41" s="1"/>
  <c r="M107" i="105"/>
  <c r="M184" i="105"/>
  <c r="AO398" i="41"/>
  <c r="AO422" i="41" s="1"/>
  <c r="AO426" i="41" s="1"/>
  <c r="AO353" i="41"/>
  <c r="AO355" i="41" s="1"/>
  <c r="AO321" i="41"/>
  <c r="AO323" i="41" s="1"/>
  <c r="AN398" i="41"/>
  <c r="AN422" i="41" s="1"/>
  <c r="AN426" i="41" s="1"/>
  <c r="AN321" i="41"/>
  <c r="AN323" i="41" s="1"/>
  <c r="AN353" i="41"/>
  <c r="AN355" i="41" s="1"/>
  <c r="AM353" i="41"/>
  <c r="AM355" i="41" s="1"/>
  <c r="AM321" i="41"/>
  <c r="AM323" i="41" s="1"/>
  <c r="AM398" i="41"/>
  <c r="AM422" i="41" s="1"/>
  <c r="AM426" i="41" s="1"/>
  <c r="P321" i="41"/>
  <c r="P323" i="41" s="1"/>
  <c r="P325" i="41" s="1"/>
  <c r="P327" i="41" s="1"/>
  <c r="P353" i="41"/>
  <c r="P355" i="41" s="1"/>
  <c r="P357" i="41" s="1"/>
  <c r="P359" i="41" s="1"/>
  <c r="P368" i="41" s="1"/>
  <c r="T330" i="41"/>
  <c r="U298" i="41"/>
  <c r="P336" i="41" l="1"/>
  <c r="P392" i="41" s="1"/>
  <c r="U332" i="41"/>
  <c r="U334" i="41" s="1"/>
  <c r="N311" i="41"/>
  <c r="N384" i="41" s="1"/>
  <c r="AD336" i="41"/>
  <c r="AD392" i="41" s="1"/>
  <c r="AC340" i="41"/>
  <c r="J311" i="41"/>
  <c r="J384" i="41" s="1"/>
  <c r="Z332" i="41"/>
  <c r="Z334" i="41" s="1"/>
  <c r="AF341" i="41"/>
  <c r="AE373" i="41"/>
  <c r="AE375" i="41" s="1"/>
  <c r="AE386" i="41" s="1"/>
  <c r="O392" i="41"/>
  <c r="O340" i="41"/>
  <c r="O341" i="41"/>
  <c r="AE392" i="41"/>
  <c r="AE341" i="41"/>
  <c r="AE340" i="41"/>
  <c r="T332" i="41"/>
  <c r="T334" i="41" s="1"/>
  <c r="Y332" i="41"/>
  <c r="Y334" i="41" s="1"/>
  <c r="AD309" i="41"/>
  <c r="X300" i="41"/>
  <c r="X302" i="41" s="1"/>
  <c r="X304" i="41" s="1"/>
  <c r="S300" i="41"/>
  <c r="S302" i="41" s="1"/>
  <c r="S304" i="41" s="1"/>
  <c r="O393" i="41"/>
  <c r="O373" i="41"/>
  <c r="O375" i="41" s="1"/>
  <c r="O386" i="41" s="1"/>
  <c r="Z300" i="41"/>
  <c r="Z302" i="41" s="1"/>
  <c r="Z304" i="41" s="1"/>
  <c r="U300" i="41"/>
  <c r="U302" i="41" s="1"/>
  <c r="U304" i="41" s="1"/>
  <c r="V332" i="41"/>
  <c r="V334" i="41" s="1"/>
  <c r="AA332" i="41"/>
  <c r="AA334" i="41" s="1"/>
  <c r="AG311" i="41"/>
  <c r="AG384" i="41" s="1"/>
  <c r="AF340" i="41"/>
  <c r="S332" i="41"/>
  <c r="S334" i="41" s="1"/>
  <c r="X332" i="41"/>
  <c r="X334" i="41" s="1"/>
  <c r="AD307" i="41"/>
  <c r="AC341" i="41"/>
  <c r="M393" i="41"/>
  <c r="M373" i="41"/>
  <c r="M375" i="41" s="1"/>
  <c r="M386" i="41" s="1"/>
  <c r="AC311" i="41"/>
  <c r="AC384" i="41" s="1"/>
  <c r="N393" i="41"/>
  <c r="N373" i="41"/>
  <c r="N375" i="41" s="1"/>
  <c r="N386" i="41" s="1"/>
  <c r="AA357" i="41"/>
  <c r="AA359" i="41" s="1"/>
  <c r="AA368" i="41" s="1"/>
  <c r="V357" i="41"/>
  <c r="V359" i="41" s="1"/>
  <c r="V368" i="41" s="1"/>
  <c r="S357" i="41"/>
  <c r="S359" i="41" s="1"/>
  <c r="S368" i="41" s="1"/>
  <c r="X357" i="41"/>
  <c r="X359" i="41" s="1"/>
  <c r="X368" i="41" s="1"/>
  <c r="Y300" i="41"/>
  <c r="Y302" i="41" s="1"/>
  <c r="Y304" i="41" s="1"/>
  <c r="T300" i="41"/>
  <c r="T302" i="41" s="1"/>
  <c r="T304" i="41" s="1"/>
  <c r="AF311" i="41"/>
  <c r="AF384" i="41" s="1"/>
  <c r="T357" i="41"/>
  <c r="T359" i="41" s="1"/>
  <c r="T368" i="41" s="1"/>
  <c r="Y357" i="41"/>
  <c r="Y359" i="41" s="1"/>
  <c r="Y368" i="41" s="1"/>
  <c r="P300" i="41"/>
  <c r="P302" i="41" s="1"/>
  <c r="P304" i="41" s="1"/>
  <c r="M392" i="41"/>
  <c r="M341" i="41"/>
  <c r="M340" i="41"/>
  <c r="AC393" i="41"/>
  <c r="AC373" i="41"/>
  <c r="AC375" i="41" s="1"/>
  <c r="AC386" i="41" s="1"/>
  <c r="AD393" i="41"/>
  <c r="AD373" i="41"/>
  <c r="AD375" i="41" s="1"/>
  <c r="AD386" i="41" s="1"/>
  <c r="P393" i="41"/>
  <c r="P373" i="41"/>
  <c r="P375" i="41" s="1"/>
  <c r="P386" i="41" s="1"/>
  <c r="V325" i="41"/>
  <c r="V327" i="41" s="1"/>
  <c r="AA325" i="41"/>
  <c r="AA327" i="41" s="1"/>
  <c r="X325" i="41"/>
  <c r="X327" i="41" s="1"/>
  <c r="S325" i="41"/>
  <c r="S327" i="41" s="1"/>
  <c r="AG343" i="41"/>
  <c r="AG385" i="41" s="1"/>
  <c r="AA300" i="41"/>
  <c r="AA302" i="41" s="1"/>
  <c r="AA304" i="41" s="1"/>
  <c r="V300" i="41"/>
  <c r="V302" i="41" s="1"/>
  <c r="V304" i="41" s="1"/>
  <c r="T325" i="41"/>
  <c r="T327" i="41" s="1"/>
  <c r="Y325" i="41"/>
  <c r="Y327" i="41" s="1"/>
  <c r="J341" i="41"/>
  <c r="Z357" i="41"/>
  <c r="Z359" i="41" s="1"/>
  <c r="Z368" i="41" s="1"/>
  <c r="U357" i="41"/>
  <c r="U359" i="41" s="1"/>
  <c r="U368" i="41" s="1"/>
  <c r="AE311" i="41"/>
  <c r="AE384" i="41" s="1"/>
  <c r="J373" i="41"/>
  <c r="J375" i="41" s="1"/>
  <c r="J386" i="41" s="1"/>
  <c r="J340" i="41"/>
  <c r="Z325" i="41"/>
  <c r="Z327" i="41" s="1"/>
  <c r="U325" i="41"/>
  <c r="U327" i="41" s="1"/>
  <c r="U336" i="41" s="1"/>
  <c r="AD308" i="41"/>
  <c r="AH325" i="41"/>
  <c r="AH327" i="41" s="1"/>
  <c r="W325" i="41"/>
  <c r="W327" i="41" s="1"/>
  <c r="Q325" i="41"/>
  <c r="Q327" i="41" s="1"/>
  <c r="K325" i="41"/>
  <c r="K327" i="41" s="1"/>
  <c r="AM325" i="41"/>
  <c r="AM327" i="41" s="1"/>
  <c r="L325" i="41"/>
  <c r="L327" i="41" s="1"/>
  <c r="AI325" i="41"/>
  <c r="AI327" i="41" s="1"/>
  <c r="AN325" i="41"/>
  <c r="AN327" i="41" s="1"/>
  <c r="AK325" i="41"/>
  <c r="AK327" i="41" s="1"/>
  <c r="AB325" i="41"/>
  <c r="AB327" i="41" s="1"/>
  <c r="AO325" i="41"/>
  <c r="AO327" i="41" s="1"/>
  <c r="AL325" i="41"/>
  <c r="AL327" i="41" s="1"/>
  <c r="AJ325" i="41"/>
  <c r="AJ327" i="41" s="1"/>
  <c r="R325" i="41"/>
  <c r="R327" i="41" s="1"/>
  <c r="AF393" i="41"/>
  <c r="AF373" i="41"/>
  <c r="AF375" i="41" s="1"/>
  <c r="AF386" i="41" s="1"/>
  <c r="N392" i="41"/>
  <c r="N341" i="41"/>
  <c r="N340" i="41"/>
  <c r="K357" i="41"/>
  <c r="K359" i="41" s="1"/>
  <c r="AB357" i="41"/>
  <c r="AB359" i="41" s="1"/>
  <c r="W357" i="41"/>
  <c r="W359" i="41" s="1"/>
  <c r="AJ357" i="41"/>
  <c r="AJ359" i="41" s="1"/>
  <c r="L357" i="41"/>
  <c r="L359" i="41" s="1"/>
  <c r="AO357" i="41"/>
  <c r="AO359" i="41" s="1"/>
  <c r="AN357" i="41"/>
  <c r="AN359" i="41" s="1"/>
  <c r="AK357" i="41"/>
  <c r="AK359" i="41" s="1"/>
  <c r="AI357" i="41"/>
  <c r="AI359" i="41" s="1"/>
  <c r="R357" i="41"/>
  <c r="R359" i="41" s="1"/>
  <c r="AH357" i="41"/>
  <c r="AH359" i="41" s="1"/>
  <c r="AM357" i="41"/>
  <c r="AM359" i="41" s="1"/>
  <c r="Q357" i="41"/>
  <c r="Q359" i="41" s="1"/>
  <c r="AL357" i="41"/>
  <c r="AL359" i="41" s="1"/>
  <c r="O311" i="41"/>
  <c r="O384" i="41" s="1"/>
  <c r="P340" i="41" l="1"/>
  <c r="P341" i="41"/>
  <c r="AD341" i="41"/>
  <c r="Y336" i="41"/>
  <c r="Y340" i="41" s="1"/>
  <c r="AD340" i="41"/>
  <c r="Z336" i="41"/>
  <c r="Z392" i="41" s="1"/>
  <c r="AC343" i="41"/>
  <c r="AC385" i="41" s="1"/>
  <c r="AC388" i="41" s="1"/>
  <c r="AC395" i="41" s="1"/>
  <c r="P343" i="41"/>
  <c r="P385" i="41" s="1"/>
  <c r="AF343" i="41"/>
  <c r="AF385" i="41" s="1"/>
  <c r="AF388" i="41" s="1"/>
  <c r="AF395" i="41" s="1"/>
  <c r="M343" i="41"/>
  <c r="M385" i="41" s="1"/>
  <c r="M388" i="41" s="1"/>
  <c r="M395" i="41" s="1"/>
  <c r="M399" i="41" s="1"/>
  <c r="M404" i="41" s="1"/>
  <c r="M413" i="41" s="1"/>
  <c r="M33" i="65" s="1"/>
  <c r="M111" i="65" s="1"/>
  <c r="M140" i="65" s="1"/>
  <c r="M169" i="65" s="1"/>
  <c r="M74" i="105" s="1"/>
  <c r="AG388" i="41"/>
  <c r="AG395" i="41" s="1"/>
  <c r="AG400" i="41" s="1"/>
  <c r="U392" i="41"/>
  <c r="U341" i="41"/>
  <c r="U340" i="41"/>
  <c r="Y391" i="41"/>
  <c r="Y308" i="41"/>
  <c r="Y307" i="41"/>
  <c r="Y309" i="41"/>
  <c r="S393" i="41"/>
  <c r="S373" i="41"/>
  <c r="S375" i="41" s="1"/>
  <c r="P391" i="41"/>
  <c r="P309" i="41"/>
  <c r="P307" i="41"/>
  <c r="P308" i="41"/>
  <c r="V373" i="41"/>
  <c r="V375" i="41" s="1"/>
  <c r="V386" i="41" s="1"/>
  <c r="V393" i="41"/>
  <c r="AA336" i="41"/>
  <c r="X391" i="41"/>
  <c r="X308" i="41"/>
  <c r="X309" i="41"/>
  <c r="X307" i="41"/>
  <c r="S307" i="41"/>
  <c r="S391" i="41"/>
  <c r="S309" i="41"/>
  <c r="S308" i="41"/>
  <c r="Z393" i="41"/>
  <c r="Z373" i="41"/>
  <c r="Z375" i="41" s="1"/>
  <c r="Z386" i="41" s="1"/>
  <c r="U393" i="41"/>
  <c r="U373" i="41"/>
  <c r="U375" i="41" s="1"/>
  <c r="U386" i="41" s="1"/>
  <c r="Y373" i="41"/>
  <c r="Y375" i="41" s="1"/>
  <c r="Y386" i="41" s="1"/>
  <c r="Y393" i="41"/>
  <c r="AA393" i="41"/>
  <c r="AA373" i="41"/>
  <c r="AA375" i="41" s="1"/>
  <c r="AA386" i="41" s="1"/>
  <c r="V336" i="41"/>
  <c r="O343" i="41"/>
  <c r="O385" i="41" s="1"/>
  <c r="O388" i="41" s="1"/>
  <c r="O395" i="41" s="1"/>
  <c r="AA391" i="41"/>
  <c r="AA307" i="41"/>
  <c r="AA309" i="41"/>
  <c r="AA308" i="41"/>
  <c r="T393" i="41"/>
  <c r="T373" i="41"/>
  <c r="T375" i="41" s="1"/>
  <c r="T386" i="41" s="1"/>
  <c r="AD311" i="41"/>
  <c r="AD384" i="41" s="1"/>
  <c r="X336" i="41"/>
  <c r="U391" i="41"/>
  <c r="U308" i="41"/>
  <c r="U307" i="41"/>
  <c r="U309" i="41"/>
  <c r="T391" i="41"/>
  <c r="T307" i="41"/>
  <c r="T309" i="41"/>
  <c r="T308" i="41"/>
  <c r="S336" i="41"/>
  <c r="Z391" i="41"/>
  <c r="Z307" i="41"/>
  <c r="Z308" i="41"/>
  <c r="Z309" i="41"/>
  <c r="T336" i="41"/>
  <c r="J343" i="41"/>
  <c r="J385" i="41" s="1"/>
  <c r="J388" i="41" s="1"/>
  <c r="J395" i="41" s="1"/>
  <c r="N343" i="41"/>
  <c r="N385" i="41" s="1"/>
  <c r="N388" i="41" s="1"/>
  <c r="N395" i="41" s="1"/>
  <c r="V391" i="41"/>
  <c r="V307" i="41"/>
  <c r="V308" i="41"/>
  <c r="V309" i="41"/>
  <c r="X393" i="41"/>
  <c r="X373" i="41"/>
  <c r="X375" i="41" s="1"/>
  <c r="X386" i="41" s="1"/>
  <c r="AE343" i="41"/>
  <c r="AE385" i="41" s="1"/>
  <c r="AE388" i="41" s="1"/>
  <c r="AE395" i="41" s="1"/>
  <c r="Y341" i="41" l="1"/>
  <c r="Y343" i="41" s="1"/>
  <c r="Y385" i="41" s="1"/>
  <c r="Y392" i="41"/>
  <c r="AD343" i="41"/>
  <c r="AD385" i="41" s="1"/>
  <c r="AD388" i="41" s="1"/>
  <c r="AD395" i="41" s="1"/>
  <c r="Z340" i="41"/>
  <c r="Z341" i="41"/>
  <c r="AG399" i="41"/>
  <c r="M33" i="82"/>
  <c r="M122" i="65"/>
  <c r="M151" i="65" s="1"/>
  <c r="M56" i="105" s="1"/>
  <c r="M96" i="105" s="1"/>
  <c r="AG398" i="41"/>
  <c r="U343" i="41"/>
  <c r="U385" i="41" s="1"/>
  <c r="M131" i="65"/>
  <c r="M160" i="65" s="1"/>
  <c r="M65" i="105" s="1"/>
  <c r="M106" i="105" s="1"/>
  <c r="M398" i="41"/>
  <c r="X311" i="41"/>
  <c r="X384" i="41" s="1"/>
  <c r="M400" i="41"/>
  <c r="M403" i="41" s="1"/>
  <c r="M412" i="41" s="1"/>
  <c r="M32" i="65" s="1"/>
  <c r="M110" i="65" s="1"/>
  <c r="U311" i="41"/>
  <c r="U384" i="41" s="1"/>
  <c r="O400" i="41"/>
  <c r="O403" i="41" s="1"/>
  <c r="O412" i="41" s="1"/>
  <c r="O32" i="65" s="1"/>
  <c r="O110" i="65" s="1"/>
  <c r="O398" i="41"/>
  <c r="O399" i="41"/>
  <c r="O404" i="41" s="1"/>
  <c r="O413" i="41" s="1"/>
  <c r="O33" i="65" s="1"/>
  <c r="O111" i="65" s="1"/>
  <c r="AE400" i="41"/>
  <c r="AE403" i="41" s="1"/>
  <c r="AE412" i="41" s="1"/>
  <c r="AE32" i="65" s="1"/>
  <c r="AE110" i="65" s="1"/>
  <c r="AE399" i="41"/>
  <c r="AE404" i="41" s="1"/>
  <c r="AE413" i="41" s="1"/>
  <c r="AE33" i="65" s="1"/>
  <c r="AE111" i="65" s="1"/>
  <c r="AE398" i="41"/>
  <c r="AC400" i="41"/>
  <c r="AC403" i="41" s="1"/>
  <c r="AC412" i="41" s="1"/>
  <c r="AC32" i="65" s="1"/>
  <c r="AC110" i="65" s="1"/>
  <c r="AC399" i="41"/>
  <c r="AC404" i="41" s="1"/>
  <c r="AC413" i="41" s="1"/>
  <c r="AC33" i="65" s="1"/>
  <c r="AC111" i="65" s="1"/>
  <c r="AC398" i="41"/>
  <c r="S392" i="41"/>
  <c r="S340" i="41"/>
  <c r="S341" i="41"/>
  <c r="P311" i="41"/>
  <c r="P384" i="41" s="1"/>
  <c r="P388" i="41" s="1"/>
  <c r="P395" i="41" s="1"/>
  <c r="J400" i="41"/>
  <c r="J403" i="41" s="1"/>
  <c r="J412" i="41" s="1"/>
  <c r="J32" i="65" s="1"/>
  <c r="J110" i="65" s="1"/>
  <c r="J399" i="41"/>
  <c r="J404" i="41" s="1"/>
  <c r="J413" i="41" s="1"/>
  <c r="J33" i="65" s="1"/>
  <c r="J111" i="65" s="1"/>
  <c r="J398" i="41"/>
  <c r="V392" i="41"/>
  <c r="V341" i="41"/>
  <c r="V340" i="41"/>
  <c r="Y311" i="41"/>
  <c r="Y384" i="41" s="1"/>
  <c r="AA392" i="41"/>
  <c r="AA340" i="41"/>
  <c r="AA341" i="41"/>
  <c r="N398" i="41"/>
  <c r="N400" i="41"/>
  <c r="N403" i="41" s="1"/>
  <c r="N412" i="41" s="1"/>
  <c r="N32" i="65" s="1"/>
  <c r="N110" i="65" s="1"/>
  <c r="N399" i="41"/>
  <c r="N404" i="41" s="1"/>
  <c r="N413" i="41" s="1"/>
  <c r="N33" i="65" s="1"/>
  <c r="N111" i="65" s="1"/>
  <c r="T392" i="41"/>
  <c r="T341" i="41"/>
  <c r="T340" i="41"/>
  <c r="T311" i="41"/>
  <c r="T384" i="41" s="1"/>
  <c r="S386" i="41"/>
  <c r="H428" i="41"/>
  <c r="X392" i="41"/>
  <c r="X340" i="41"/>
  <c r="X341" i="41"/>
  <c r="V311" i="41"/>
  <c r="V384" i="41" s="1"/>
  <c r="AF400" i="41"/>
  <c r="AF403" i="41" s="1"/>
  <c r="AF412" i="41" s="1"/>
  <c r="AF32" i="65" s="1"/>
  <c r="AF110" i="65" s="1"/>
  <c r="AF399" i="41"/>
  <c r="AF404" i="41" s="1"/>
  <c r="AF413" i="41" s="1"/>
  <c r="AF33" i="65" s="1"/>
  <c r="AF111" i="65" s="1"/>
  <c r="AF398" i="41"/>
  <c r="S311" i="41"/>
  <c r="S384" i="41" s="1"/>
  <c r="Z311" i="41"/>
  <c r="Z384" i="41" s="1"/>
  <c r="AA311" i="41"/>
  <c r="AA384" i="41" s="1"/>
  <c r="M194" i="105"/>
  <c r="M116" i="105"/>
  <c r="AD399" i="41" l="1"/>
  <c r="AD404" i="41" s="1"/>
  <c r="AD413" i="41" s="1"/>
  <c r="AD33" i="65" s="1"/>
  <c r="AD111" i="65" s="1"/>
  <c r="AD140" i="65" s="1"/>
  <c r="AD169" i="65" s="1"/>
  <c r="AD74" i="105" s="1"/>
  <c r="AD400" i="41"/>
  <c r="AD403" i="41" s="1"/>
  <c r="AD412" i="41" s="1"/>
  <c r="AD32" i="65" s="1"/>
  <c r="AD110" i="65" s="1"/>
  <c r="AD398" i="41"/>
  <c r="Z343" i="41"/>
  <c r="Z385" i="41" s="1"/>
  <c r="Z388" i="41" s="1"/>
  <c r="Z395" i="41" s="1"/>
  <c r="AG422" i="41"/>
  <c r="AG426" i="41" s="1"/>
  <c r="M183" i="105"/>
  <c r="U388" i="41"/>
  <c r="U395" i="41" s="1"/>
  <c r="U399" i="41" s="1"/>
  <c r="U404" i="41" s="1"/>
  <c r="U413" i="41" s="1"/>
  <c r="U33" i="65" s="1"/>
  <c r="U111" i="65" s="1"/>
  <c r="Y388" i="41"/>
  <c r="Y395" i="41" s="1"/>
  <c r="Y398" i="41" s="1"/>
  <c r="S343" i="41"/>
  <c r="S385" i="41" s="1"/>
  <c r="S388" i="41" s="1"/>
  <c r="S395" i="41" s="1"/>
  <c r="M130" i="65"/>
  <c r="M159" i="65" s="1"/>
  <c r="M64" i="105" s="1"/>
  <c r="M139" i="65"/>
  <c r="M168" i="65" s="1"/>
  <c r="M73" i="105" s="1"/>
  <c r="M32" i="82"/>
  <c r="M121" i="65"/>
  <c r="M150" i="65" s="1"/>
  <c r="M55" i="105" s="1"/>
  <c r="M95" i="105" s="1"/>
  <c r="M422" i="41"/>
  <c r="M426" i="41" s="1"/>
  <c r="T343" i="41"/>
  <c r="T385" i="41" s="1"/>
  <c r="T388" i="41" s="1"/>
  <c r="T395" i="41" s="1"/>
  <c r="X343" i="41"/>
  <c r="X385" i="41" s="1"/>
  <c r="X388" i="41" s="1"/>
  <c r="X395" i="41" s="1"/>
  <c r="X400" i="41" s="1"/>
  <c r="X403" i="41" s="1"/>
  <c r="X412" i="41" s="1"/>
  <c r="X32" i="65" s="1"/>
  <c r="X110" i="65" s="1"/>
  <c r="AC32" i="82"/>
  <c r="AC121" i="65"/>
  <c r="AC150" i="65" s="1"/>
  <c r="AC55" i="105" s="1"/>
  <c r="AC95" i="105" s="1"/>
  <c r="AC139" i="65"/>
  <c r="AC168" i="65" s="1"/>
  <c r="AC73" i="105" s="1"/>
  <c r="AD32" i="82"/>
  <c r="AD139" i="65"/>
  <c r="AD168" i="65" s="1"/>
  <c r="AD73" i="105" s="1"/>
  <c r="AD121" i="65"/>
  <c r="AD150" i="65" s="1"/>
  <c r="AD55" i="105" s="1"/>
  <c r="AD95" i="105" s="1"/>
  <c r="V343" i="41"/>
  <c r="J130" i="65"/>
  <c r="J159" i="65" s="1"/>
  <c r="J64" i="105" s="1"/>
  <c r="J105" i="105" s="1"/>
  <c r="J32" i="82"/>
  <c r="J121" i="65"/>
  <c r="J150" i="65" s="1"/>
  <c r="J55" i="105" s="1"/>
  <c r="J95" i="105" s="1"/>
  <c r="J139" i="65"/>
  <c r="J168" i="65" s="1"/>
  <c r="J73" i="105" s="1"/>
  <c r="J115" i="105" s="1"/>
  <c r="N140" i="65"/>
  <c r="N169" i="65" s="1"/>
  <c r="N74" i="105" s="1"/>
  <c r="N131" i="65"/>
  <c r="N160" i="65" s="1"/>
  <c r="N65" i="105" s="1"/>
  <c r="N122" i="65"/>
  <c r="N151" i="65" s="1"/>
  <c r="N56" i="105" s="1"/>
  <c r="N96" i="105" s="1"/>
  <c r="N33" i="82"/>
  <c r="P398" i="41"/>
  <c r="P400" i="41"/>
  <c r="P403" i="41" s="1"/>
  <c r="P412" i="41" s="1"/>
  <c r="P32" i="65" s="1"/>
  <c r="P399" i="41"/>
  <c r="P404" i="41" s="1"/>
  <c r="P413" i="41" s="1"/>
  <c r="P33" i="65" s="1"/>
  <c r="P111" i="65" s="1"/>
  <c r="AE422" i="41"/>
  <c r="AE426" i="41" s="1"/>
  <c r="AE405" i="41"/>
  <c r="AE414" i="41" s="1"/>
  <c r="AE34" i="65" s="1"/>
  <c r="AE112" i="65" s="1"/>
  <c r="N32" i="82"/>
  <c r="N139" i="65"/>
  <c r="N168" i="65" s="1"/>
  <c r="N73" i="105" s="1"/>
  <c r="N121" i="65"/>
  <c r="N150" i="65" s="1"/>
  <c r="N55" i="105" s="1"/>
  <c r="N95" i="105" s="1"/>
  <c r="N130" i="65"/>
  <c r="N159" i="65" s="1"/>
  <c r="N64" i="105" s="1"/>
  <c r="AE33" i="82"/>
  <c r="AE140" i="65"/>
  <c r="AE169" i="65" s="1"/>
  <c r="AE74" i="105" s="1"/>
  <c r="AE122" i="65"/>
  <c r="AE151" i="65" s="1"/>
  <c r="AE56" i="105" s="1"/>
  <c r="AE96" i="105" s="1"/>
  <c r="N405" i="41"/>
  <c r="N414" i="41" s="1"/>
  <c r="N34" i="65" s="1"/>
  <c r="N112" i="65" s="1"/>
  <c r="N422" i="41"/>
  <c r="N426" i="41" s="1"/>
  <c r="AE32" i="82"/>
  <c r="AE121" i="65"/>
  <c r="AE150" i="65" s="1"/>
  <c r="AE55" i="105" s="1"/>
  <c r="AE95" i="105" s="1"/>
  <c r="AE139" i="65"/>
  <c r="AE168" i="65" s="1"/>
  <c r="AE73" i="105" s="1"/>
  <c r="AF422" i="41"/>
  <c r="AF426" i="41" s="1"/>
  <c r="AF405" i="41"/>
  <c r="AF414" i="41" s="1"/>
  <c r="AF34" i="65" s="1"/>
  <c r="AF112" i="65" s="1"/>
  <c r="O140" i="65"/>
  <c r="O169" i="65" s="1"/>
  <c r="O74" i="105" s="1"/>
  <c r="O131" i="65"/>
  <c r="O160" i="65" s="1"/>
  <c r="O65" i="105" s="1"/>
  <c r="O122" i="65"/>
  <c r="O151" i="65" s="1"/>
  <c r="O56" i="105" s="1"/>
  <c r="O96" i="105" s="1"/>
  <c r="O33" i="82"/>
  <c r="AF33" i="82"/>
  <c r="AF140" i="65"/>
  <c r="AF169" i="65" s="1"/>
  <c r="AF74" i="105" s="1"/>
  <c r="AF122" i="65"/>
  <c r="AF151" i="65" s="1"/>
  <c r="AF56" i="105" s="1"/>
  <c r="AF96" i="105" s="1"/>
  <c r="AA343" i="41"/>
  <c r="AA385" i="41" s="1"/>
  <c r="AA388" i="41" s="1"/>
  <c r="AA395" i="41" s="1"/>
  <c r="J422" i="41"/>
  <c r="J405" i="41"/>
  <c r="J414" i="41" s="1"/>
  <c r="J34" i="65" s="1"/>
  <c r="J112" i="65" s="1"/>
  <c r="AC422" i="41"/>
  <c r="AC426" i="41" s="1"/>
  <c r="AC405" i="41"/>
  <c r="AC414" i="41" s="1"/>
  <c r="AC34" i="65" s="1"/>
  <c r="AC112" i="65" s="1"/>
  <c r="O422" i="41"/>
  <c r="O426" i="41" s="1"/>
  <c r="O405" i="41"/>
  <c r="O414" i="41" s="1"/>
  <c r="O34" i="65" s="1"/>
  <c r="O112" i="65" s="1"/>
  <c r="AD405" i="41"/>
  <c r="AD414" i="41" s="1"/>
  <c r="AD34" i="65" s="1"/>
  <c r="AD112" i="65" s="1"/>
  <c r="AF32" i="82"/>
  <c r="AF139" i="65"/>
  <c r="AF168" i="65" s="1"/>
  <c r="AF73" i="105" s="1"/>
  <c r="AF121" i="65"/>
  <c r="AF150" i="65" s="1"/>
  <c r="AF55" i="105" s="1"/>
  <c r="AF95" i="105" s="1"/>
  <c r="J131" i="65"/>
  <c r="J160" i="65" s="1"/>
  <c r="J65" i="105" s="1"/>
  <c r="J140" i="65"/>
  <c r="J169" i="65" s="1"/>
  <c r="J74" i="105" s="1"/>
  <c r="J122" i="65"/>
  <c r="J151" i="65" s="1"/>
  <c r="J56" i="105" s="1"/>
  <c r="J96" i="105" s="1"/>
  <c r="J33" i="82"/>
  <c r="AC33" i="82"/>
  <c r="AC140" i="65"/>
  <c r="AC169" i="65" s="1"/>
  <c r="AC74" i="105" s="1"/>
  <c r="AC122" i="65"/>
  <c r="AC151" i="65" s="1"/>
  <c r="AC56" i="105" s="1"/>
  <c r="AC96" i="105" s="1"/>
  <c r="O32" i="82"/>
  <c r="O130" i="65"/>
  <c r="O159" i="65" s="1"/>
  <c r="O64" i="105" s="1"/>
  <c r="O121" i="65"/>
  <c r="O150" i="65" s="1"/>
  <c r="O55" i="105" s="1"/>
  <c r="O95" i="105" s="1"/>
  <c r="O139" i="65"/>
  <c r="O168" i="65" s="1"/>
  <c r="O73" i="105" s="1"/>
  <c r="M102" i="105" l="1"/>
  <c r="M174" i="105" s="1"/>
  <c r="M65" i="82" s="1"/>
  <c r="AD33" i="82"/>
  <c r="AD422" i="41"/>
  <c r="AD426" i="41" s="1"/>
  <c r="AD122" i="65"/>
  <c r="AD151" i="65" s="1"/>
  <c r="AD56" i="105" s="1"/>
  <c r="AD96" i="105" s="1"/>
  <c r="Y400" i="41"/>
  <c r="Y403" i="41" s="1"/>
  <c r="Y412" i="41" s="1"/>
  <c r="Y32" i="65" s="1"/>
  <c r="Y110" i="65" s="1"/>
  <c r="Y32" i="82" s="1"/>
  <c r="Y399" i="41"/>
  <c r="Y404" i="41" s="1"/>
  <c r="Y413" i="41" s="1"/>
  <c r="Y33" i="65" s="1"/>
  <c r="Y111" i="65" s="1"/>
  <c r="Y33" i="82" s="1"/>
  <c r="U398" i="41"/>
  <c r="J182" i="105"/>
  <c r="U400" i="41"/>
  <c r="U403" i="41" s="1"/>
  <c r="U412" i="41" s="1"/>
  <c r="U32" i="65" s="1"/>
  <c r="U110" i="65" s="1"/>
  <c r="U130" i="65" s="1"/>
  <c r="U159" i="65" s="1"/>
  <c r="U64" i="105" s="1"/>
  <c r="S398" i="41"/>
  <c r="S399" i="41"/>
  <c r="S404" i="41" s="1"/>
  <c r="S413" i="41" s="1"/>
  <c r="S33" i="65" s="1"/>
  <c r="S111" i="65" s="1"/>
  <c r="S131" i="65" s="1"/>
  <c r="S160" i="65" s="1"/>
  <c r="S65" i="105" s="1"/>
  <c r="X398" i="41"/>
  <c r="X399" i="41"/>
  <c r="X404" i="41" s="1"/>
  <c r="X413" i="41" s="1"/>
  <c r="X33" i="65" s="1"/>
  <c r="X111" i="65" s="1"/>
  <c r="X33" i="82" s="1"/>
  <c r="M115" i="105"/>
  <c r="M122" i="105" s="1"/>
  <c r="M193" i="105"/>
  <c r="M200" i="105" s="1"/>
  <c r="M146" i="105"/>
  <c r="M63" i="82" s="1"/>
  <c r="M182" i="105"/>
  <c r="M189" i="105" s="1"/>
  <c r="M105" i="105"/>
  <c r="M112" i="105" s="1"/>
  <c r="M141" i="105" s="1"/>
  <c r="M140" i="105"/>
  <c r="J193" i="105"/>
  <c r="S400" i="41"/>
  <c r="S403" i="41" s="1"/>
  <c r="S412" i="41" s="1"/>
  <c r="S32" i="65" s="1"/>
  <c r="S110" i="65" s="1"/>
  <c r="S139" i="65" s="1"/>
  <c r="S168" i="65" s="1"/>
  <c r="S73" i="105" s="1"/>
  <c r="U33" i="82"/>
  <c r="U122" i="65"/>
  <c r="U151" i="65" s="1"/>
  <c r="U56" i="105" s="1"/>
  <c r="U96" i="105" s="1"/>
  <c r="U131" i="65"/>
  <c r="U160" i="65" s="1"/>
  <c r="U65" i="105" s="1"/>
  <c r="U140" i="65"/>
  <c r="U169" i="65" s="1"/>
  <c r="U74" i="105" s="1"/>
  <c r="U405" i="41"/>
  <c r="U414" i="41" s="1"/>
  <c r="U34" i="65" s="1"/>
  <c r="U112" i="65" s="1"/>
  <c r="AF194" i="105"/>
  <c r="AF116" i="105"/>
  <c r="P110" i="65"/>
  <c r="AD123" i="65"/>
  <c r="AD152" i="65" s="1"/>
  <c r="AD57" i="105" s="1"/>
  <c r="AD97" i="105" s="1"/>
  <c r="AD34" i="82"/>
  <c r="AD141" i="65"/>
  <c r="AD170" i="65" s="1"/>
  <c r="AD75" i="105" s="1"/>
  <c r="J132" i="65"/>
  <c r="J161" i="65" s="1"/>
  <c r="J34" i="82"/>
  <c r="J123" i="65"/>
  <c r="J152" i="65" s="1"/>
  <c r="J57" i="105" s="1"/>
  <c r="J97" i="105" s="1"/>
  <c r="J102" i="105" s="1"/>
  <c r="J141" i="65"/>
  <c r="J170" i="65" s="1"/>
  <c r="S405" i="41"/>
  <c r="S414" i="41" s="1"/>
  <c r="S34" i="65" s="1"/>
  <c r="S112" i="65" s="1"/>
  <c r="N193" i="105"/>
  <c r="N115" i="105"/>
  <c r="V385" i="41"/>
  <c r="V388" i="41" s="1"/>
  <c r="V395" i="41" s="1"/>
  <c r="AD116" i="105"/>
  <c r="AD194" i="105"/>
  <c r="J426" i="41"/>
  <c r="N183" i="105"/>
  <c r="N106" i="105"/>
  <c r="O193" i="105"/>
  <c r="O115" i="105"/>
  <c r="O183" i="105"/>
  <c r="O106" i="105"/>
  <c r="AE34" i="82"/>
  <c r="AE141" i="65"/>
  <c r="AE170" i="65" s="1"/>
  <c r="AE75" i="105" s="1"/>
  <c r="AE123" i="65"/>
  <c r="AE152" i="65" s="1"/>
  <c r="AE57" i="105" s="1"/>
  <c r="AE97" i="105" s="1"/>
  <c r="AE102" i="105" s="1"/>
  <c r="N194" i="105"/>
  <c r="N116" i="105"/>
  <c r="AD193" i="105"/>
  <c r="AD115" i="105"/>
  <c r="X405" i="41"/>
  <c r="X414" i="41" s="1"/>
  <c r="X34" i="65" s="1"/>
  <c r="X112" i="65" s="1"/>
  <c r="J116" i="105"/>
  <c r="J194" i="105"/>
  <c r="T400" i="41"/>
  <c r="T403" i="41" s="1"/>
  <c r="T412" i="41" s="1"/>
  <c r="T32" i="65" s="1"/>
  <c r="T110" i="65" s="1"/>
  <c r="T399" i="41"/>
  <c r="T404" i="41" s="1"/>
  <c r="T413" i="41" s="1"/>
  <c r="T33" i="65" s="1"/>
  <c r="T111" i="65" s="1"/>
  <c r="T398" i="41"/>
  <c r="O194" i="105"/>
  <c r="O116" i="105"/>
  <c r="Z399" i="41"/>
  <c r="Z404" i="41" s="1"/>
  <c r="Z413" i="41" s="1"/>
  <c r="Z33" i="65" s="1"/>
  <c r="Z111" i="65" s="1"/>
  <c r="Z398" i="41"/>
  <c r="Z400" i="41"/>
  <c r="Z403" i="41" s="1"/>
  <c r="Z412" i="41" s="1"/>
  <c r="Z32" i="65" s="1"/>
  <c r="Z110" i="65" s="1"/>
  <c r="O182" i="105"/>
  <c r="O105" i="105"/>
  <c r="J183" i="105"/>
  <c r="J106" i="105"/>
  <c r="O141" i="65"/>
  <c r="O170" i="65" s="1"/>
  <c r="O75" i="105" s="1"/>
  <c r="O132" i="65"/>
  <c r="O161" i="65" s="1"/>
  <c r="O66" i="105" s="1"/>
  <c r="O34" i="82"/>
  <c r="O123" i="65"/>
  <c r="O152" i="65" s="1"/>
  <c r="O57" i="105" s="1"/>
  <c r="O97" i="105" s="1"/>
  <c r="O102" i="105" s="1"/>
  <c r="AF34" i="82"/>
  <c r="AF123" i="65"/>
  <c r="AF152" i="65" s="1"/>
  <c r="AF57" i="105" s="1"/>
  <c r="AF97" i="105" s="1"/>
  <c r="AF102" i="105" s="1"/>
  <c r="AF141" i="65"/>
  <c r="AF170" i="65" s="1"/>
  <c r="AF75" i="105" s="1"/>
  <c r="AE194" i="105"/>
  <c r="AE116" i="105"/>
  <c r="P131" i="65"/>
  <c r="P160" i="65" s="1"/>
  <c r="P65" i="105" s="1"/>
  <c r="P140" i="65"/>
  <c r="P169" i="65" s="1"/>
  <c r="P74" i="105" s="1"/>
  <c r="P33" i="82"/>
  <c r="P122" i="65"/>
  <c r="P151" i="65" s="1"/>
  <c r="P56" i="105" s="1"/>
  <c r="P96" i="105" s="1"/>
  <c r="AC193" i="105"/>
  <c r="AC115" i="105"/>
  <c r="X121" i="65"/>
  <c r="X150" i="65" s="1"/>
  <c r="X55" i="105" s="1"/>
  <c r="X95" i="105" s="1"/>
  <c r="X32" i="82"/>
  <c r="X139" i="65"/>
  <c r="X168" i="65" s="1"/>
  <c r="X73" i="105" s="1"/>
  <c r="Y405" i="41"/>
  <c r="Y414" i="41" s="1"/>
  <c r="Y34" i="65" s="1"/>
  <c r="Y112" i="65" s="1"/>
  <c r="AF193" i="105"/>
  <c r="AF115" i="105"/>
  <c r="AC34" i="82"/>
  <c r="AC141" i="65"/>
  <c r="AC170" i="65" s="1"/>
  <c r="AC75" i="105" s="1"/>
  <c r="AC123" i="65"/>
  <c r="AC152" i="65" s="1"/>
  <c r="AC57" i="105" s="1"/>
  <c r="AC97" i="105" s="1"/>
  <c r="AC102" i="105" s="1"/>
  <c r="AE193" i="105"/>
  <c r="AE115" i="105"/>
  <c r="N123" i="65"/>
  <c r="N152" i="65" s="1"/>
  <c r="N57" i="105" s="1"/>
  <c r="N97" i="105" s="1"/>
  <c r="N102" i="105" s="1"/>
  <c r="N132" i="65"/>
  <c r="N161" i="65" s="1"/>
  <c r="N66" i="105" s="1"/>
  <c r="N141" i="65"/>
  <c r="N170" i="65" s="1"/>
  <c r="N75" i="105" s="1"/>
  <c r="N34" i="82"/>
  <c r="N182" i="105"/>
  <c r="N105" i="105"/>
  <c r="P422" i="41"/>
  <c r="P426" i="41" s="1"/>
  <c r="P405" i="41"/>
  <c r="P414" i="41" s="1"/>
  <c r="P34" i="65" s="1"/>
  <c r="P112" i="65" s="1"/>
  <c r="AC194" i="105"/>
  <c r="AC116" i="105"/>
  <c r="AA400" i="41"/>
  <c r="AA403" i="41" s="1"/>
  <c r="AA412" i="41" s="1"/>
  <c r="AA32" i="65" s="1"/>
  <c r="AA110" i="65" s="1"/>
  <c r="AA399" i="41"/>
  <c r="AA404" i="41" s="1"/>
  <c r="AA413" i="41" s="1"/>
  <c r="AA33" i="65" s="1"/>
  <c r="AA111" i="65" s="1"/>
  <c r="AA398" i="41"/>
  <c r="AD102" i="105" l="1"/>
  <c r="Y139" i="65"/>
  <c r="Y168" i="65" s="1"/>
  <c r="Y73" i="105" s="1"/>
  <c r="Y115" i="105" s="1"/>
  <c r="U121" i="65"/>
  <c r="U150" i="65" s="1"/>
  <c r="U55" i="105" s="1"/>
  <c r="U95" i="105" s="1"/>
  <c r="U139" i="65"/>
  <c r="U168" i="65" s="1"/>
  <c r="U73" i="105" s="1"/>
  <c r="U115" i="105" s="1"/>
  <c r="U32" i="82"/>
  <c r="Y140" i="65"/>
  <c r="Y169" i="65" s="1"/>
  <c r="Y74" i="105" s="1"/>
  <c r="Y116" i="105" s="1"/>
  <c r="Y121" i="65"/>
  <c r="Y150" i="65" s="1"/>
  <c r="Y55" i="105" s="1"/>
  <c r="Y95" i="105" s="1"/>
  <c r="Y122" i="65"/>
  <c r="Y151" i="65" s="1"/>
  <c r="Y56" i="105" s="1"/>
  <c r="Y96" i="105" s="1"/>
  <c r="X140" i="65"/>
  <c r="X169" i="65" s="1"/>
  <c r="X74" i="105" s="1"/>
  <c r="X194" i="105" s="1"/>
  <c r="Y422" i="41"/>
  <c r="Y426" i="41" s="1"/>
  <c r="S140" i="65"/>
  <c r="S169" i="65" s="1"/>
  <c r="S74" i="105" s="1"/>
  <c r="S116" i="105" s="1"/>
  <c r="S122" i="65"/>
  <c r="S151" i="65" s="1"/>
  <c r="S56" i="105" s="1"/>
  <c r="S96" i="105" s="1"/>
  <c r="U422" i="41"/>
  <c r="U426" i="41" s="1"/>
  <c r="X122" i="65"/>
  <c r="X151" i="65" s="1"/>
  <c r="X56" i="105" s="1"/>
  <c r="X96" i="105" s="1"/>
  <c r="S33" i="82"/>
  <c r="X422" i="41"/>
  <c r="X426" i="41" s="1"/>
  <c r="S422" i="41"/>
  <c r="S426" i="41" s="1"/>
  <c r="AF174" i="105"/>
  <c r="AF65" i="82" s="1"/>
  <c r="AF146" i="105"/>
  <c r="AF63" i="82" s="1"/>
  <c r="AF140" i="105"/>
  <c r="AF62" i="82" s="1"/>
  <c r="O174" i="105"/>
  <c r="O65" i="82" s="1"/>
  <c r="O140" i="105"/>
  <c r="O62" i="82" s="1"/>
  <c r="O146" i="105"/>
  <c r="O63" i="82" s="1"/>
  <c r="AE174" i="105"/>
  <c r="AE65" i="82" s="1"/>
  <c r="AE146" i="105"/>
  <c r="AE63" i="82" s="1"/>
  <c r="AE140" i="105"/>
  <c r="AE206" i="105" s="1"/>
  <c r="AD140" i="105"/>
  <c r="AD206" i="105" s="1"/>
  <c r="AD174" i="105"/>
  <c r="AD65" i="82" s="1"/>
  <c r="AD146" i="105"/>
  <c r="AD63" i="82" s="1"/>
  <c r="AC140" i="105"/>
  <c r="AC206" i="105" s="1"/>
  <c r="AC146" i="105"/>
  <c r="AC63" i="82" s="1"/>
  <c r="AC174" i="105"/>
  <c r="AC65" i="82" s="1"/>
  <c r="S130" i="65"/>
  <c r="S159" i="65" s="1"/>
  <c r="S64" i="105" s="1"/>
  <c r="S182" i="105" s="1"/>
  <c r="S121" i="65"/>
  <c r="S150" i="65" s="1"/>
  <c r="S55" i="105" s="1"/>
  <c r="S95" i="105" s="1"/>
  <c r="S32" i="82"/>
  <c r="M62" i="82"/>
  <c r="M207" i="105"/>
  <c r="M74" i="82" s="1"/>
  <c r="M206" i="105"/>
  <c r="M73" i="82" s="1"/>
  <c r="M147" i="105"/>
  <c r="M142" i="105"/>
  <c r="M148" i="105"/>
  <c r="U141" i="65"/>
  <c r="U170" i="65" s="1"/>
  <c r="U75" i="105" s="1"/>
  <c r="U34" i="82"/>
  <c r="U123" i="65"/>
  <c r="U152" i="65" s="1"/>
  <c r="U57" i="105" s="1"/>
  <c r="U97" i="105" s="1"/>
  <c r="U132" i="65"/>
  <c r="U161" i="65" s="1"/>
  <c r="U66" i="105" s="1"/>
  <c r="U116" i="105"/>
  <c r="U194" i="105"/>
  <c r="U106" i="105"/>
  <c r="U183" i="105"/>
  <c r="U182" i="105"/>
  <c r="U105" i="105"/>
  <c r="AF195" i="105"/>
  <c r="AF200" i="105" s="1"/>
  <c r="AF117" i="105"/>
  <c r="AF122" i="105" s="1"/>
  <c r="AF142" i="105" s="1"/>
  <c r="T422" i="41"/>
  <c r="T426" i="41" s="1"/>
  <c r="T405" i="41"/>
  <c r="T414" i="41" s="1"/>
  <c r="T34" i="65" s="1"/>
  <c r="T112" i="65" s="1"/>
  <c r="AE195" i="105"/>
  <c r="AE200" i="105" s="1"/>
  <c r="AE117" i="105"/>
  <c r="AE122" i="105" s="1"/>
  <c r="O117" i="105"/>
  <c r="O122" i="105" s="1"/>
  <c r="O142" i="105" s="1"/>
  <c r="O195" i="105"/>
  <c r="O200" i="105" s="1"/>
  <c r="AA122" i="65"/>
  <c r="AA151" i="65" s="1"/>
  <c r="AA56" i="105" s="1"/>
  <c r="AA96" i="105" s="1"/>
  <c r="AA140" i="65"/>
  <c r="AA169" i="65" s="1"/>
  <c r="AA74" i="105" s="1"/>
  <c r="AA33" i="82"/>
  <c r="J75" i="105"/>
  <c r="Y193" i="105"/>
  <c r="N184" i="105"/>
  <c r="N189" i="105" s="1"/>
  <c r="N107" i="105"/>
  <c r="N112" i="105" s="1"/>
  <c r="Z405" i="41"/>
  <c r="Z414" i="41" s="1"/>
  <c r="Z34" i="65" s="1"/>
  <c r="Z112" i="65" s="1"/>
  <c r="Z422" i="41"/>
  <c r="Z426" i="41" s="1"/>
  <c r="T130" i="65"/>
  <c r="T159" i="65" s="1"/>
  <c r="T64" i="105" s="1"/>
  <c r="T32" i="82"/>
  <c r="T121" i="65"/>
  <c r="T150" i="65" s="1"/>
  <c r="T55" i="105" s="1"/>
  <c r="T95" i="105" s="1"/>
  <c r="T139" i="65"/>
  <c r="T168" i="65" s="1"/>
  <c r="T73" i="105" s="1"/>
  <c r="AD195" i="105"/>
  <c r="AD200" i="105" s="1"/>
  <c r="AD117" i="105"/>
  <c r="AD122" i="105" s="1"/>
  <c r="AA32" i="82"/>
  <c r="AA121" i="65"/>
  <c r="AA150" i="65" s="1"/>
  <c r="AA55" i="105" s="1"/>
  <c r="AA95" i="105" s="1"/>
  <c r="AA139" i="65"/>
  <c r="AA168" i="65" s="1"/>
  <c r="AA73" i="105" s="1"/>
  <c r="Y34" i="82"/>
  <c r="Y123" i="65"/>
  <c r="Y152" i="65" s="1"/>
  <c r="Y57" i="105" s="1"/>
  <c r="Y97" i="105" s="1"/>
  <c r="Y141" i="65"/>
  <c r="Y170" i="65" s="1"/>
  <c r="Y75" i="105" s="1"/>
  <c r="Z140" i="65"/>
  <c r="Z169" i="65" s="1"/>
  <c r="Z74" i="105" s="1"/>
  <c r="Z122" i="65"/>
  <c r="Z151" i="65" s="1"/>
  <c r="Z56" i="105" s="1"/>
  <c r="Z96" i="105" s="1"/>
  <c r="Z33" i="82"/>
  <c r="P123" i="65"/>
  <c r="P152" i="65" s="1"/>
  <c r="P57" i="105" s="1"/>
  <c r="P97" i="105" s="1"/>
  <c r="P34" i="82"/>
  <c r="P132" i="65"/>
  <c r="P161" i="65" s="1"/>
  <c r="P66" i="105" s="1"/>
  <c r="P141" i="65"/>
  <c r="P170" i="65" s="1"/>
  <c r="P75" i="105" s="1"/>
  <c r="P116" i="105"/>
  <c r="P194" i="105"/>
  <c r="S193" i="105"/>
  <c r="S115" i="105"/>
  <c r="X193" i="105"/>
  <c r="X115" i="105"/>
  <c r="P106" i="105"/>
  <c r="P183" i="105"/>
  <c r="O184" i="105"/>
  <c r="O189" i="105" s="1"/>
  <c r="O107" i="105"/>
  <c r="O112" i="105" s="1"/>
  <c r="S34" i="82"/>
  <c r="S141" i="65"/>
  <c r="S170" i="65" s="1"/>
  <c r="S75" i="105" s="1"/>
  <c r="S132" i="65"/>
  <c r="S161" i="65" s="1"/>
  <c r="S66" i="105" s="1"/>
  <c r="S123" i="65"/>
  <c r="S152" i="65" s="1"/>
  <c r="S57" i="105" s="1"/>
  <c r="S97" i="105" s="1"/>
  <c r="AC195" i="105"/>
  <c r="AC200" i="105" s="1"/>
  <c r="AC117" i="105"/>
  <c r="AC122" i="105" s="1"/>
  <c r="P121" i="65"/>
  <c r="P150" i="65" s="1"/>
  <c r="P55" i="105" s="1"/>
  <c r="P95" i="105" s="1"/>
  <c r="P130" i="65"/>
  <c r="P159" i="65" s="1"/>
  <c r="P64" i="105" s="1"/>
  <c r="P32" i="82"/>
  <c r="P139" i="65"/>
  <c r="P168" i="65" s="1"/>
  <c r="P73" i="105" s="1"/>
  <c r="N140" i="105"/>
  <c r="N146" i="105"/>
  <c r="N63" i="82" s="1"/>
  <c r="N174" i="105"/>
  <c r="N65" i="82" s="1"/>
  <c r="AA422" i="41"/>
  <c r="AA426" i="41" s="1"/>
  <c r="AA405" i="41"/>
  <c r="AA414" i="41" s="1"/>
  <c r="AA34" i="65" s="1"/>
  <c r="AA112" i="65" s="1"/>
  <c r="N117" i="105"/>
  <c r="N122" i="105" s="1"/>
  <c r="N195" i="105"/>
  <c r="N200" i="105" s="1"/>
  <c r="Z32" i="82"/>
  <c r="Z121" i="65"/>
  <c r="Z150" i="65" s="1"/>
  <c r="Z55" i="105" s="1"/>
  <c r="Z95" i="105" s="1"/>
  <c r="Z139" i="65"/>
  <c r="Z168" i="65" s="1"/>
  <c r="Z73" i="105" s="1"/>
  <c r="T140" i="65"/>
  <c r="T169" i="65" s="1"/>
  <c r="T74" i="105" s="1"/>
  <c r="T131" i="65"/>
  <c r="T160" i="65" s="1"/>
  <c r="T65" i="105" s="1"/>
  <c r="T33" i="82"/>
  <c r="T122" i="65"/>
  <c r="T151" i="65" s="1"/>
  <c r="T56" i="105" s="1"/>
  <c r="T96" i="105" s="1"/>
  <c r="X34" i="82"/>
  <c r="X123" i="65"/>
  <c r="X152" i="65" s="1"/>
  <c r="X57" i="105" s="1"/>
  <c r="X97" i="105" s="1"/>
  <c r="X141" i="65"/>
  <c r="X170" i="65" s="1"/>
  <c r="X75" i="105" s="1"/>
  <c r="S183" i="105"/>
  <c r="S106" i="105"/>
  <c r="V398" i="41"/>
  <c r="V400" i="41"/>
  <c r="V403" i="41" s="1"/>
  <c r="V412" i="41" s="1"/>
  <c r="V32" i="65" s="1"/>
  <c r="V110" i="65" s="1"/>
  <c r="V399" i="41"/>
  <c r="V404" i="41" s="1"/>
  <c r="V413" i="41" s="1"/>
  <c r="V33" i="65" s="1"/>
  <c r="V111" i="65" s="1"/>
  <c r="J66" i="105"/>
  <c r="J174" i="105"/>
  <c r="J65" i="82" s="1"/>
  <c r="J140" i="105"/>
  <c r="J146" i="105"/>
  <c r="J63" i="82" s="1"/>
  <c r="U193" i="105" l="1"/>
  <c r="AC62" i="82"/>
  <c r="X116" i="105"/>
  <c r="X102" i="105"/>
  <c r="X146" i="105" s="1"/>
  <c r="X63" i="82" s="1"/>
  <c r="Y194" i="105"/>
  <c r="U102" i="105"/>
  <c r="U174" i="105" s="1"/>
  <c r="U65" i="82" s="1"/>
  <c r="AE62" i="82"/>
  <c r="AE207" i="105"/>
  <c r="AE74" i="82" s="1"/>
  <c r="AF207" i="105"/>
  <c r="AF74" i="82" s="1"/>
  <c r="AD207" i="105"/>
  <c r="AD74" i="82" s="1"/>
  <c r="S194" i="105"/>
  <c r="Y102" i="105"/>
  <c r="Y146" i="105" s="1"/>
  <c r="Y63" i="82" s="1"/>
  <c r="AC207" i="105"/>
  <c r="AC74" i="82" s="1"/>
  <c r="AD62" i="82"/>
  <c r="O207" i="105"/>
  <c r="O74" i="82" s="1"/>
  <c r="O206" i="105"/>
  <c r="O73" i="82" s="1"/>
  <c r="AF206" i="105"/>
  <c r="AD142" i="105"/>
  <c r="AD148" i="105"/>
  <c r="AC148" i="105"/>
  <c r="AC142" i="105"/>
  <c r="AE148" i="105"/>
  <c r="AE142" i="105"/>
  <c r="O141" i="105"/>
  <c r="O147" i="105"/>
  <c r="P102" i="105"/>
  <c r="P140" i="105" s="1"/>
  <c r="AF148" i="105"/>
  <c r="O148" i="105"/>
  <c r="S102" i="105"/>
  <c r="S105" i="105"/>
  <c r="U184" i="105"/>
  <c r="U189" i="105" s="1"/>
  <c r="U107" i="105"/>
  <c r="U112" i="105" s="1"/>
  <c r="U141" i="105" s="1"/>
  <c r="U195" i="105"/>
  <c r="U200" i="105" s="1"/>
  <c r="U117" i="105"/>
  <c r="U122" i="105" s="1"/>
  <c r="N147" i="105"/>
  <c r="N141" i="105"/>
  <c r="N142" i="105"/>
  <c r="N148" i="105"/>
  <c r="V140" i="65"/>
  <c r="V169" i="65" s="1"/>
  <c r="V74" i="105" s="1"/>
  <c r="V33" i="82"/>
  <c r="V122" i="65"/>
  <c r="V151" i="65" s="1"/>
  <c r="V56" i="105" s="1"/>
  <c r="V96" i="105" s="1"/>
  <c r="H96" i="105" s="1"/>
  <c r="V131" i="65"/>
  <c r="V160" i="65" s="1"/>
  <c r="V65" i="105" s="1"/>
  <c r="AA34" i="82"/>
  <c r="AA141" i="65"/>
  <c r="AA170" i="65" s="1"/>
  <c r="AA75" i="105" s="1"/>
  <c r="AA123" i="65"/>
  <c r="AA152" i="65" s="1"/>
  <c r="AA57" i="105" s="1"/>
  <c r="AA97" i="105" s="1"/>
  <c r="AA102" i="105" s="1"/>
  <c r="J184" i="105"/>
  <c r="J189" i="105" s="1"/>
  <c r="J206" i="105" s="1"/>
  <c r="J73" i="82" s="1"/>
  <c r="J107" i="105"/>
  <c r="Z141" i="65"/>
  <c r="Z170" i="65" s="1"/>
  <c r="Z75" i="105" s="1"/>
  <c r="Z34" i="82"/>
  <c r="Z123" i="65"/>
  <c r="Z152" i="65" s="1"/>
  <c r="Z57" i="105" s="1"/>
  <c r="Z97" i="105" s="1"/>
  <c r="Z102" i="105" s="1"/>
  <c r="Z174" i="105" s="1"/>
  <c r="Z65" i="82" s="1"/>
  <c r="P117" i="105"/>
  <c r="P195" i="105"/>
  <c r="V422" i="41"/>
  <c r="V426" i="41" s="1"/>
  <c r="H426" i="41" s="1"/>
  <c r="V405" i="41"/>
  <c r="T183" i="105"/>
  <c r="T106" i="105"/>
  <c r="P184" i="105"/>
  <c r="P107" i="105"/>
  <c r="Z194" i="105"/>
  <c r="Z116" i="105"/>
  <c r="T115" i="105"/>
  <c r="T193" i="105"/>
  <c r="T34" i="82"/>
  <c r="T141" i="65"/>
  <c r="T170" i="65" s="1"/>
  <c r="T75" i="105" s="1"/>
  <c r="T123" i="65"/>
  <c r="T152" i="65" s="1"/>
  <c r="T57" i="105" s="1"/>
  <c r="T97" i="105" s="1"/>
  <c r="T132" i="65"/>
  <c r="T161" i="65" s="1"/>
  <c r="T66" i="105" s="1"/>
  <c r="T116" i="105"/>
  <c r="T194" i="105"/>
  <c r="S184" i="105"/>
  <c r="S189" i="105" s="1"/>
  <c r="S107" i="105"/>
  <c r="Y195" i="105"/>
  <c r="Y200" i="105" s="1"/>
  <c r="Y117" i="105"/>
  <c r="Y122" i="105" s="1"/>
  <c r="AA194" i="105"/>
  <c r="AA116" i="105"/>
  <c r="P182" i="105"/>
  <c r="P105" i="105"/>
  <c r="J195" i="105"/>
  <c r="J200" i="105" s="1"/>
  <c r="J207" i="105" s="1"/>
  <c r="J74" i="82" s="1"/>
  <c r="J117" i="105"/>
  <c r="Z115" i="105"/>
  <c r="Z193" i="105"/>
  <c r="N62" i="82"/>
  <c r="N207" i="105"/>
  <c r="N74" i="82" s="1"/>
  <c r="N206" i="105"/>
  <c r="N73" i="82" s="1"/>
  <c r="S195" i="105"/>
  <c r="S117" i="105"/>
  <c r="S122" i="105" s="1"/>
  <c r="X117" i="105"/>
  <c r="X122" i="105" s="1"/>
  <c r="X195" i="105"/>
  <c r="X200" i="105" s="1"/>
  <c r="P193" i="105"/>
  <c r="P115" i="105"/>
  <c r="T105" i="105"/>
  <c r="T182" i="105"/>
  <c r="V121" i="65"/>
  <c r="V150" i="65" s="1"/>
  <c r="V55" i="105" s="1"/>
  <c r="V95" i="105" s="1"/>
  <c r="H95" i="105" s="1"/>
  <c r="V139" i="65"/>
  <c r="V168" i="65" s="1"/>
  <c r="V73" i="105" s="1"/>
  <c r="V32" i="82"/>
  <c r="V130" i="65"/>
  <c r="V159" i="65" s="1"/>
  <c r="V64" i="105" s="1"/>
  <c r="AA193" i="105"/>
  <c r="AA115" i="105"/>
  <c r="J62" i="82"/>
  <c r="X174" i="105" l="1"/>
  <c r="X65" i="82" s="1"/>
  <c r="X140" i="105"/>
  <c r="X206" i="105" s="1"/>
  <c r="U140" i="105"/>
  <c r="U62" i="82" s="1"/>
  <c r="U146" i="105"/>
  <c r="U63" i="82" s="1"/>
  <c r="S200" i="105"/>
  <c r="P200" i="105"/>
  <c r="P207" i="105" s="1"/>
  <c r="P74" i="82" s="1"/>
  <c r="Y140" i="105"/>
  <c r="Y62" i="82" s="1"/>
  <c r="Y174" i="105"/>
  <c r="Y65" i="82" s="1"/>
  <c r="H422" i="41"/>
  <c r="Y148" i="105"/>
  <c r="Y142" i="105"/>
  <c r="S148" i="105"/>
  <c r="S142" i="105"/>
  <c r="AA140" i="105"/>
  <c r="AA62" i="82" s="1"/>
  <c r="AA146" i="105"/>
  <c r="AA63" i="82" s="1"/>
  <c r="AA174" i="105"/>
  <c r="AA65" i="82" s="1"/>
  <c r="U148" i="105"/>
  <c r="U142" i="105"/>
  <c r="X148" i="105"/>
  <c r="X142" i="105"/>
  <c r="S174" i="105"/>
  <c r="S65" i="82" s="1"/>
  <c r="S140" i="105"/>
  <c r="S146" i="105"/>
  <c r="S63" i="82" s="1"/>
  <c r="Z140" i="105"/>
  <c r="Z62" i="82" s="1"/>
  <c r="Z146" i="105"/>
  <c r="Z63" i="82" s="1"/>
  <c r="P146" i="105"/>
  <c r="P63" i="82" s="1"/>
  <c r="X62" i="82"/>
  <c r="P122" i="105"/>
  <c r="P148" i="105" s="1"/>
  <c r="P112" i="105"/>
  <c r="P141" i="105" s="1"/>
  <c r="P174" i="105"/>
  <c r="P65" i="82" s="1"/>
  <c r="S112" i="105"/>
  <c r="P189" i="105"/>
  <c r="P206" i="105" s="1"/>
  <c r="P73" i="82" s="1"/>
  <c r="U147" i="105"/>
  <c r="T102" i="105"/>
  <c r="V193" i="105"/>
  <c r="V115" i="105"/>
  <c r="H115" i="105" s="1"/>
  <c r="V414" i="41"/>
  <c r="V34" i="65" s="1"/>
  <c r="H430" i="41" a="1"/>
  <c r="H430" i="41" s="1"/>
  <c r="H432" i="41" s="1"/>
  <c r="V116" i="105"/>
  <c r="H116" i="105" s="1"/>
  <c r="V194" i="105"/>
  <c r="P62" i="82"/>
  <c r="V183" i="105"/>
  <c r="V106" i="105"/>
  <c r="H106" i="105" s="1"/>
  <c r="T195" i="105"/>
  <c r="T200" i="105" s="1"/>
  <c r="T117" i="105"/>
  <c r="T122" i="105" s="1"/>
  <c r="T148" i="105" s="1"/>
  <c r="V182" i="105"/>
  <c r="V105" i="105"/>
  <c r="H105" i="105" s="1"/>
  <c r="Z117" i="105"/>
  <c r="Z122" i="105" s="1"/>
  <c r="Z195" i="105"/>
  <c r="Z200" i="105" s="1"/>
  <c r="AA195" i="105"/>
  <c r="AA200" i="105" s="1"/>
  <c r="AA117" i="105"/>
  <c r="AA122" i="105" s="1"/>
  <c r="T184" i="105"/>
  <c r="T189" i="105" s="1"/>
  <c r="T107" i="105"/>
  <c r="J122" i="105"/>
  <c r="J112" i="105"/>
  <c r="X207" i="105" l="1"/>
  <c r="X74" i="82" s="1"/>
  <c r="U206" i="105"/>
  <c r="U73" i="82" s="1"/>
  <c r="U207" i="105"/>
  <c r="U74" i="82" s="1"/>
  <c r="Z206" i="105"/>
  <c r="Y207" i="105"/>
  <c r="Y74" i="82" s="1"/>
  <c r="Y206" i="105"/>
  <c r="Z207" i="105"/>
  <c r="Z74" i="82" s="1"/>
  <c r="AA207" i="105"/>
  <c r="AA74" i="82" s="1"/>
  <c r="AA206" i="105"/>
  <c r="P142" i="105"/>
  <c r="P147" i="105"/>
  <c r="AA148" i="105"/>
  <c r="AA142" i="105"/>
  <c r="Z148" i="105"/>
  <c r="Z142" i="105"/>
  <c r="T142" i="105"/>
  <c r="S207" i="105"/>
  <c r="S74" i="82" s="1"/>
  <c r="S206" i="105"/>
  <c r="S73" i="82" s="1"/>
  <c r="S62" i="82"/>
  <c r="T112" i="105"/>
  <c r="T146" i="105"/>
  <c r="T63" i="82" s="1"/>
  <c r="T140" i="105"/>
  <c r="T174" i="105"/>
  <c r="T65" i="82" s="1"/>
  <c r="S147" i="105"/>
  <c r="S141" i="105"/>
  <c r="J53" i="55"/>
  <c r="A4" i="41"/>
  <c r="J147" i="105"/>
  <c r="J141" i="105"/>
  <c r="J142" i="105"/>
  <c r="J148" i="105"/>
  <c r="V112" i="65"/>
  <c r="T207" i="105" l="1"/>
  <c r="T74" i="82" s="1"/>
  <c r="T206" i="105"/>
  <c r="T73" i="82" s="1"/>
  <c r="T62" i="82"/>
  <c r="T141" i="105"/>
  <c r="T147" i="105"/>
  <c r="V132" i="65"/>
  <c r="V161" i="65" s="1"/>
  <c r="V141" i="65"/>
  <c r="V170" i="65" s="1"/>
  <c r="V34" i="82"/>
  <c r="V123" i="65"/>
  <c r="V152" i="65" l="1"/>
  <c r="H178" i="65" a="1"/>
  <c r="H178" i="65" s="1"/>
  <c r="V75" i="105"/>
  <c r="J84" i="106" a="1"/>
  <c r="V66" i="105"/>
  <c r="J50" i="106" a="1"/>
  <c r="O74" i="106" l="1"/>
  <c r="M62" i="106"/>
  <c r="K59" i="106"/>
  <c r="L53" i="106"/>
  <c r="O55" i="106"/>
  <c r="N53" i="106"/>
  <c r="N71" i="106"/>
  <c r="K61" i="106"/>
  <c r="K58" i="106"/>
  <c r="J54" i="106"/>
  <c r="M52" i="106"/>
  <c r="O65" i="106"/>
  <c r="N65" i="106"/>
  <c r="J56" i="106"/>
  <c r="L56" i="106"/>
  <c r="M54" i="106"/>
  <c r="O75" i="106"/>
  <c r="O64" i="106"/>
  <c r="N70" i="106"/>
  <c r="L81" i="106"/>
  <c r="J74" i="106"/>
  <c r="K69" i="106"/>
  <c r="J58" i="106"/>
  <c r="K81" i="106"/>
  <c r="P57" i="106"/>
  <c r="L68" i="106"/>
  <c r="J79" i="106"/>
  <c r="N74" i="106"/>
  <c r="M78" i="106"/>
  <c r="N76" i="106"/>
  <c r="K62" i="106"/>
  <c r="L55" i="106"/>
  <c r="J62" i="106"/>
  <c r="P50" i="106"/>
  <c r="N52" i="106"/>
  <c r="O59" i="106"/>
  <c r="L65" i="106"/>
  <c r="M66" i="106"/>
  <c r="K65" i="106"/>
  <c r="M64" i="106"/>
  <c r="N57" i="106"/>
  <c r="P55" i="106"/>
  <c r="K64" i="106"/>
  <c r="J50" i="106"/>
  <c r="P68" i="106"/>
  <c r="L62" i="106"/>
  <c r="L75" i="106"/>
  <c r="O81" i="106"/>
  <c r="N79" i="106"/>
  <c r="N78" i="106"/>
  <c r="P72" i="106"/>
  <c r="P60" i="106"/>
  <c r="J80" i="106"/>
  <c r="M68" i="106"/>
  <c r="P53" i="106"/>
  <c r="J78" i="106"/>
  <c r="P69" i="106"/>
  <c r="K72" i="106"/>
  <c r="O69" i="106"/>
  <c r="K76" i="106"/>
  <c r="O79" i="106"/>
  <c r="O57" i="106"/>
  <c r="N55" i="106"/>
  <c r="M56" i="106"/>
  <c r="J67" i="106"/>
  <c r="M55" i="106"/>
  <c r="P66" i="106"/>
  <c r="J73" i="106"/>
  <c r="P71" i="106"/>
  <c r="K75" i="106"/>
  <c r="K73" i="106"/>
  <c r="K57" i="106"/>
  <c r="L51" i="106"/>
  <c r="L50" i="106"/>
  <c r="J81" i="106"/>
  <c r="L80" i="106"/>
  <c r="P79" i="106"/>
  <c r="P73" i="106"/>
  <c r="J65" i="106"/>
  <c r="O76" i="106"/>
  <c r="L69" i="106"/>
  <c r="K79" i="106"/>
  <c r="K74" i="106"/>
  <c r="L79" i="106"/>
  <c r="J72" i="106"/>
  <c r="J70" i="106"/>
  <c r="N69" i="106"/>
  <c r="M75" i="106"/>
  <c r="P76" i="106"/>
  <c r="O50" i="106"/>
  <c r="M60" i="106"/>
  <c r="K54" i="106"/>
  <c r="N54" i="106"/>
  <c r="M53" i="106"/>
  <c r="N50" i="106"/>
  <c r="P62" i="106"/>
  <c r="J60" i="106"/>
  <c r="O52" i="106"/>
  <c r="P56" i="106"/>
  <c r="L60" i="106"/>
  <c r="O60" i="106"/>
  <c r="O63" i="106"/>
  <c r="K52" i="106"/>
  <c r="L76" i="106"/>
  <c r="L74" i="106"/>
  <c r="L67" i="106"/>
  <c r="K71" i="106"/>
  <c r="P64" i="106"/>
  <c r="O78" i="106"/>
  <c r="N67" i="106"/>
  <c r="N64" i="106"/>
  <c r="L73" i="106"/>
  <c r="K70" i="106"/>
  <c r="J75" i="106"/>
  <c r="O66" i="106"/>
  <c r="M81" i="106"/>
  <c r="O56" i="106"/>
  <c r="N51" i="106"/>
  <c r="P58" i="106"/>
  <c r="J59" i="106"/>
  <c r="P61" i="106"/>
  <c r="K68" i="106"/>
  <c r="P77" i="106"/>
  <c r="P67" i="106"/>
  <c r="M80" i="106"/>
  <c r="P80" i="106"/>
  <c r="K53" i="106"/>
  <c r="N73" i="106"/>
  <c r="O70" i="106"/>
  <c r="N75" i="106"/>
  <c r="M70" i="106"/>
  <c r="J68" i="106"/>
  <c r="L64" i="106"/>
  <c r="K67" i="106"/>
  <c r="K60" i="106"/>
  <c r="M51" i="106"/>
  <c r="M67" i="106"/>
  <c r="J61" i="106"/>
  <c r="N63" i="106"/>
  <c r="L59" i="106"/>
  <c r="P78" i="106"/>
  <c r="J69" i="106"/>
  <c r="P63" i="106"/>
  <c r="M77" i="106"/>
  <c r="P54" i="106"/>
  <c r="L66" i="106"/>
  <c r="K55" i="106"/>
  <c r="P59" i="106"/>
  <c r="O58" i="106"/>
  <c r="L61" i="106"/>
  <c r="N61" i="106"/>
  <c r="L77" i="106"/>
  <c r="J71" i="106"/>
  <c r="O61" i="106"/>
  <c r="L78" i="106"/>
  <c r="P70" i="106"/>
  <c r="K78" i="106"/>
  <c r="M74" i="106"/>
  <c r="O53" i="106"/>
  <c r="P75" i="106"/>
  <c r="P52" i="106"/>
  <c r="J66" i="106"/>
  <c r="N66" i="106"/>
  <c r="J77" i="106"/>
  <c r="J76" i="106"/>
  <c r="J55" i="106"/>
  <c r="M57" i="106"/>
  <c r="O51" i="106"/>
  <c r="J63" i="106"/>
  <c r="M65" i="106"/>
  <c r="K56" i="106"/>
  <c r="M63" i="106"/>
  <c r="O77" i="106"/>
  <c r="N60" i="106"/>
  <c r="L57" i="106"/>
  <c r="O80" i="106"/>
  <c r="O71" i="106"/>
  <c r="P81" i="106"/>
  <c r="N56" i="106"/>
  <c r="K51" i="106"/>
  <c r="J57" i="106"/>
  <c r="N58" i="106"/>
  <c r="M58" i="106"/>
  <c r="O54" i="106"/>
  <c r="M76" i="106"/>
  <c r="N62" i="106"/>
  <c r="M72" i="106"/>
  <c r="L58" i="106"/>
  <c r="K66" i="106"/>
  <c r="O62" i="106"/>
  <c r="K77" i="106"/>
  <c r="L72" i="106"/>
  <c r="P74" i="106"/>
  <c r="L54" i="106"/>
  <c r="M71" i="106"/>
  <c r="N72" i="106"/>
  <c r="O67" i="106"/>
  <c r="J51" i="106"/>
  <c r="J52" i="106"/>
  <c r="N77" i="106"/>
  <c r="N59" i="106"/>
  <c r="L63" i="106"/>
  <c r="L52" i="106"/>
  <c r="K80" i="106"/>
  <c r="O68" i="106"/>
  <c r="N68" i="106"/>
  <c r="K63" i="106"/>
  <c r="M69" i="106"/>
  <c r="N80" i="106"/>
  <c r="P51" i="106"/>
  <c r="K50" i="106"/>
  <c r="M61" i="106"/>
  <c r="M59" i="106"/>
  <c r="O73" i="106"/>
  <c r="M50" i="106"/>
  <c r="J64" i="106"/>
  <c r="O72" i="106"/>
  <c r="P65" i="106"/>
  <c r="L70" i="106"/>
  <c r="J53" i="106"/>
  <c r="M73" i="106"/>
  <c r="L71" i="106"/>
  <c r="M79" i="106"/>
  <c r="N81" i="106"/>
  <c r="V184" i="105"/>
  <c r="V189" i="105" s="1"/>
  <c r="V107" i="105"/>
  <c r="N107" i="106"/>
  <c r="M105" i="106"/>
  <c r="P111" i="106"/>
  <c r="O100" i="106"/>
  <c r="K105" i="106"/>
  <c r="J110" i="106"/>
  <c r="K111" i="106"/>
  <c r="K112" i="106"/>
  <c r="N110" i="106"/>
  <c r="N94" i="106"/>
  <c r="L108" i="106"/>
  <c r="L112" i="106"/>
  <c r="M102" i="106"/>
  <c r="P105" i="106"/>
  <c r="K94" i="106"/>
  <c r="J114" i="106"/>
  <c r="J92" i="106"/>
  <c r="L114" i="106"/>
  <c r="M111" i="106"/>
  <c r="J88" i="106"/>
  <c r="J99" i="106"/>
  <c r="P113" i="106"/>
  <c r="M89" i="106"/>
  <c r="K89" i="106"/>
  <c r="L109" i="106"/>
  <c r="P92" i="106"/>
  <c r="M95" i="106"/>
  <c r="K109" i="106"/>
  <c r="O101" i="106"/>
  <c r="L89" i="106"/>
  <c r="N105" i="106"/>
  <c r="J90" i="106"/>
  <c r="J97" i="106"/>
  <c r="N98" i="106"/>
  <c r="K92" i="106"/>
  <c r="O109" i="106"/>
  <c r="K93" i="106"/>
  <c r="P95" i="106"/>
  <c r="J100" i="106"/>
  <c r="P104" i="106"/>
  <c r="J112" i="106"/>
  <c r="K113" i="106"/>
  <c r="N96" i="106"/>
  <c r="J96" i="106"/>
  <c r="L90" i="106"/>
  <c r="O114" i="106"/>
  <c r="M91" i="106"/>
  <c r="L115" i="106"/>
  <c r="O93" i="106"/>
  <c r="N114" i="106"/>
  <c r="L102" i="106"/>
  <c r="O115" i="106"/>
  <c r="O99" i="106"/>
  <c r="L93" i="106"/>
  <c r="K114" i="106"/>
  <c r="K87" i="106"/>
  <c r="J103" i="106"/>
  <c r="O111" i="106"/>
  <c r="P86" i="106"/>
  <c r="M110" i="106"/>
  <c r="J91" i="106"/>
  <c r="P100" i="106"/>
  <c r="P85" i="106"/>
  <c r="O98" i="106"/>
  <c r="P110" i="106"/>
  <c r="N86" i="106"/>
  <c r="K100" i="106"/>
  <c r="N88" i="106"/>
  <c r="N95" i="106"/>
  <c r="J86" i="106"/>
  <c r="N102" i="106"/>
  <c r="O94" i="106"/>
  <c r="O107" i="106"/>
  <c r="P108" i="106"/>
  <c r="N99" i="106"/>
  <c r="M90" i="106"/>
  <c r="P98" i="106"/>
  <c r="J95" i="106"/>
  <c r="P109" i="106"/>
  <c r="M86" i="106"/>
  <c r="O92" i="106"/>
  <c r="P112" i="106"/>
  <c r="J87" i="106"/>
  <c r="M113" i="106"/>
  <c r="N93" i="106"/>
  <c r="J107" i="106"/>
  <c r="M109" i="106"/>
  <c r="K86" i="106"/>
  <c r="K115" i="106"/>
  <c r="M98" i="106"/>
  <c r="K95" i="106"/>
  <c r="M108" i="106"/>
  <c r="J89" i="106"/>
  <c r="O106" i="106"/>
  <c r="O113" i="106"/>
  <c r="O104" i="106"/>
  <c r="K99" i="106"/>
  <c r="L105" i="106"/>
  <c r="O108" i="106"/>
  <c r="P97" i="106"/>
  <c r="N109" i="106"/>
  <c r="L96" i="106"/>
  <c r="O86" i="106"/>
  <c r="L113" i="106"/>
  <c r="O88" i="106"/>
  <c r="M106" i="106"/>
  <c r="N92" i="106"/>
  <c r="J98" i="106"/>
  <c r="M115" i="106"/>
  <c r="M93" i="106"/>
  <c r="N106" i="106"/>
  <c r="O105" i="106"/>
  <c r="M87" i="106"/>
  <c r="P102" i="106"/>
  <c r="L106" i="106"/>
  <c r="N103" i="106"/>
  <c r="K96" i="106"/>
  <c r="P91" i="106"/>
  <c r="N90" i="106"/>
  <c r="M97" i="106"/>
  <c r="J84" i="106"/>
  <c r="J104" i="106"/>
  <c r="O84" i="106"/>
  <c r="O112" i="106"/>
  <c r="J106" i="106"/>
  <c r="M85" i="106"/>
  <c r="N104" i="106"/>
  <c r="N89" i="106"/>
  <c r="M94" i="106"/>
  <c r="J115" i="106"/>
  <c r="N115" i="106"/>
  <c r="L94" i="106"/>
  <c r="O90" i="106"/>
  <c r="N91" i="106"/>
  <c r="K90" i="106"/>
  <c r="M112" i="106"/>
  <c r="K84" i="106"/>
  <c r="J101" i="106"/>
  <c r="M99" i="106"/>
  <c r="M100" i="106"/>
  <c r="J111" i="106"/>
  <c r="P114" i="106"/>
  <c r="N85" i="106"/>
  <c r="L97" i="106"/>
  <c r="J94" i="106"/>
  <c r="J109" i="106"/>
  <c r="L99" i="106"/>
  <c r="O87" i="106"/>
  <c r="O103" i="106"/>
  <c r="L87" i="106"/>
  <c r="M101" i="106"/>
  <c r="P94" i="106"/>
  <c r="K97" i="106"/>
  <c r="L107" i="106"/>
  <c r="J113" i="106"/>
  <c r="L91" i="106"/>
  <c r="M103" i="106"/>
  <c r="M96" i="106"/>
  <c r="P107" i="106"/>
  <c r="N113" i="106"/>
  <c r="K104" i="106"/>
  <c r="L85" i="106"/>
  <c r="K91" i="106"/>
  <c r="L100" i="106"/>
  <c r="M88" i="106"/>
  <c r="M92" i="106"/>
  <c r="L104" i="106"/>
  <c r="P106" i="106"/>
  <c r="O102" i="106"/>
  <c r="O95" i="106"/>
  <c r="J108" i="106"/>
  <c r="M114" i="106"/>
  <c r="P90" i="106"/>
  <c r="L92" i="106"/>
  <c r="M104" i="106"/>
  <c r="N84" i="106"/>
  <c r="J105" i="106"/>
  <c r="M84" i="106"/>
  <c r="L103" i="106"/>
  <c r="O89" i="106"/>
  <c r="K103" i="106"/>
  <c r="N108" i="106"/>
  <c r="K108" i="106"/>
  <c r="P99" i="106"/>
  <c r="N87" i="106"/>
  <c r="O97" i="106"/>
  <c r="P89" i="106"/>
  <c r="L88" i="106"/>
  <c r="L84" i="106"/>
  <c r="P96" i="106"/>
  <c r="K102" i="106"/>
  <c r="N111" i="106"/>
  <c r="J85" i="106"/>
  <c r="J102" i="106"/>
  <c r="P93" i="106"/>
  <c r="K106" i="106"/>
  <c r="O85" i="106"/>
  <c r="K107" i="106"/>
  <c r="L95" i="106"/>
  <c r="K88" i="106"/>
  <c r="N100" i="106"/>
  <c r="L98" i="106"/>
  <c r="O96" i="106"/>
  <c r="P88" i="106"/>
  <c r="L101" i="106"/>
  <c r="J93" i="106"/>
  <c r="K98" i="106"/>
  <c r="K101" i="106"/>
  <c r="M107" i="106"/>
  <c r="L111" i="106"/>
  <c r="O91" i="106"/>
  <c r="N97" i="106"/>
  <c r="K110" i="106"/>
  <c r="P103" i="106"/>
  <c r="O110" i="106"/>
  <c r="K85" i="106"/>
  <c r="N112" i="106"/>
  <c r="P115" i="106"/>
  <c r="P101" i="106"/>
  <c r="L110" i="106"/>
  <c r="P84" i="106"/>
  <c r="N101" i="106"/>
  <c r="P87" i="106"/>
  <c r="L86" i="106"/>
  <c r="V195" i="105"/>
  <c r="V200" i="105" s="1"/>
  <c r="V117" i="105"/>
  <c r="A4" i="65"/>
  <c r="J54" i="55"/>
  <c r="V57" i="105"/>
  <c r="J16" i="106" a="1"/>
  <c r="H117" i="105" l="1"/>
  <c r="V122" i="105"/>
  <c r="V112" i="105"/>
  <c r="H107" i="105"/>
  <c r="V97" i="105"/>
  <c r="J28" i="106"/>
  <c r="P25" i="106"/>
  <c r="J20" i="106"/>
  <c r="K45" i="106"/>
  <c r="L30" i="106"/>
  <c r="M18" i="106"/>
  <c r="K34" i="106"/>
  <c r="L40" i="106"/>
  <c r="N45" i="106"/>
  <c r="K30" i="106"/>
  <c r="M16" i="106"/>
  <c r="L28" i="106"/>
  <c r="J42" i="106"/>
  <c r="L35" i="106"/>
  <c r="M28" i="106"/>
  <c r="P27" i="106"/>
  <c r="O39" i="106"/>
  <c r="P40" i="106"/>
  <c r="L23" i="106"/>
  <c r="M32" i="106"/>
  <c r="K22" i="106"/>
  <c r="N23" i="106"/>
  <c r="P30" i="106"/>
  <c r="O28" i="106"/>
  <c r="N41" i="106"/>
  <c r="L24" i="106"/>
  <c r="O20" i="106"/>
  <c r="N32" i="106"/>
  <c r="O32" i="106"/>
  <c r="M36" i="106"/>
  <c r="N35" i="106"/>
  <c r="N21" i="106"/>
  <c r="N20" i="106"/>
  <c r="M23" i="106"/>
  <c r="J17" i="106"/>
  <c r="J45" i="106"/>
  <c r="L32" i="106"/>
  <c r="J34" i="106"/>
  <c r="O26" i="106"/>
  <c r="P24" i="106"/>
  <c r="P22" i="106"/>
  <c r="J18" i="106"/>
  <c r="J32" i="106"/>
  <c r="M22" i="106"/>
  <c r="O17" i="106"/>
  <c r="J27" i="106"/>
  <c r="J26" i="106"/>
  <c r="P46" i="106"/>
  <c r="N39" i="106"/>
  <c r="N30" i="106"/>
  <c r="O44" i="106"/>
  <c r="O35" i="106"/>
  <c r="K31" i="106"/>
  <c r="N46" i="106"/>
  <c r="L19" i="106"/>
  <c r="M42" i="106"/>
  <c r="J39" i="106"/>
  <c r="M17" i="106"/>
  <c r="P39" i="106"/>
  <c r="J16" i="106"/>
  <c r="N27" i="106"/>
  <c r="M21" i="106"/>
  <c r="O30" i="106"/>
  <c r="N16" i="106"/>
  <c r="K25" i="106"/>
  <c r="M31" i="106"/>
  <c r="P17" i="106"/>
  <c r="L29" i="106"/>
  <c r="P23" i="106"/>
  <c r="M46" i="106"/>
  <c r="O45" i="106"/>
  <c r="M39" i="106"/>
  <c r="K44" i="106"/>
  <c r="L38" i="106"/>
  <c r="M41" i="106"/>
  <c r="N33" i="106"/>
  <c r="P42" i="106"/>
  <c r="N40" i="106"/>
  <c r="N38" i="106"/>
  <c r="L36" i="106"/>
  <c r="K19" i="106"/>
  <c r="L42" i="106"/>
  <c r="K29" i="106"/>
  <c r="L26" i="106"/>
  <c r="K46" i="106"/>
  <c r="K26" i="106"/>
  <c r="K39" i="106"/>
  <c r="K42" i="106"/>
  <c r="O25" i="106"/>
  <c r="L41" i="106"/>
  <c r="O18" i="106"/>
  <c r="O38" i="106"/>
  <c r="P19" i="106"/>
  <c r="M30" i="106"/>
  <c r="P26" i="106"/>
  <c r="K21" i="106"/>
  <c r="J21" i="106"/>
  <c r="L39" i="106"/>
  <c r="O24" i="106"/>
  <c r="M20" i="106"/>
  <c r="J44" i="106"/>
  <c r="K32" i="106"/>
  <c r="L16" i="106"/>
  <c r="M44" i="106"/>
  <c r="M43" i="106"/>
  <c r="P32" i="106"/>
  <c r="L46" i="106"/>
  <c r="O36" i="106"/>
  <c r="J24" i="106"/>
  <c r="P34" i="106"/>
  <c r="N36" i="106"/>
  <c r="K24" i="106"/>
  <c r="N47" i="106"/>
  <c r="K20" i="106"/>
  <c r="M34" i="106"/>
  <c r="J19" i="106"/>
  <c r="N26" i="106"/>
  <c r="L31" i="106"/>
  <c r="O43" i="106"/>
  <c r="J35" i="106"/>
  <c r="L18" i="106"/>
  <c r="J30" i="106"/>
  <c r="L44" i="106"/>
  <c r="J22" i="106"/>
  <c r="O33" i="106"/>
  <c r="P20" i="106"/>
  <c r="P47" i="106"/>
  <c r="K17" i="106"/>
  <c r="L22" i="106"/>
  <c r="N25" i="106"/>
  <c r="N37" i="106"/>
  <c r="P38" i="106"/>
  <c r="J29" i="106"/>
  <c r="L17" i="106"/>
  <c r="L21" i="106"/>
  <c r="L47" i="106"/>
  <c r="K37" i="106"/>
  <c r="J25" i="106"/>
  <c r="K18" i="106"/>
  <c r="N43" i="106"/>
  <c r="J40" i="106"/>
  <c r="N31" i="106"/>
  <c r="P37" i="106"/>
  <c r="O37" i="106"/>
  <c r="K40" i="106"/>
  <c r="N42" i="106"/>
  <c r="K41" i="106"/>
  <c r="K35" i="106"/>
  <c r="M45" i="106"/>
  <c r="O16" i="106"/>
  <c r="M29" i="106"/>
  <c r="O19" i="106"/>
  <c r="P31" i="106"/>
  <c r="K43" i="106"/>
  <c r="P44" i="106"/>
  <c r="J33" i="106"/>
  <c r="M19" i="106"/>
  <c r="L25" i="106"/>
  <c r="O47" i="106"/>
  <c r="O27" i="106"/>
  <c r="O42" i="106"/>
  <c r="M40" i="106"/>
  <c r="M35" i="106"/>
  <c r="O41" i="106"/>
  <c r="M25" i="106"/>
  <c r="O46" i="106"/>
  <c r="M26" i="106"/>
  <c r="K16" i="106"/>
  <c r="N44" i="106"/>
  <c r="M27" i="106"/>
  <c r="M37" i="106"/>
  <c r="M47" i="106"/>
  <c r="L45" i="106"/>
  <c r="O22" i="106"/>
  <c r="L20" i="106"/>
  <c r="J38" i="106"/>
  <c r="L43" i="106"/>
  <c r="O40" i="106"/>
  <c r="K33" i="106"/>
  <c r="J43" i="106"/>
  <c r="P29" i="106"/>
  <c r="O23" i="106"/>
  <c r="N18" i="106"/>
  <c r="K38" i="106"/>
  <c r="J41" i="106"/>
  <c r="P43" i="106"/>
  <c r="M38" i="106"/>
  <c r="J37" i="106"/>
  <c r="K36" i="106"/>
  <c r="P28" i="106"/>
  <c r="N24" i="106"/>
  <c r="J23" i="106"/>
  <c r="J36" i="106"/>
  <c r="O34" i="106"/>
  <c r="P33" i="106"/>
  <c r="P16" i="106"/>
  <c r="K27" i="106"/>
  <c r="N29" i="106"/>
  <c r="L27" i="106"/>
  <c r="P18" i="106"/>
  <c r="J47" i="106"/>
  <c r="L33" i="106"/>
  <c r="P35" i="106"/>
  <c r="P36" i="106"/>
  <c r="N28" i="106"/>
  <c r="P45" i="106"/>
  <c r="J31" i="106"/>
  <c r="P41" i="106"/>
  <c r="O31" i="106"/>
  <c r="N22" i="106"/>
  <c r="K23" i="106"/>
  <c r="N34" i="106"/>
  <c r="P21" i="106"/>
  <c r="J46" i="106"/>
  <c r="N19" i="106"/>
  <c r="M33" i="106"/>
  <c r="K28" i="106"/>
  <c r="O29" i="106"/>
  <c r="L37" i="106"/>
  <c r="O21" i="106"/>
  <c r="M24" i="106"/>
  <c r="N17" i="106"/>
  <c r="K47" i="106"/>
  <c r="L34" i="106"/>
  <c r="H112" i="105" l="1"/>
  <c r="H122" i="105"/>
  <c r="H97" i="105"/>
  <c r="V102" i="105"/>
  <c r="V142" i="105"/>
  <c r="V148" i="105"/>
  <c r="V147" i="105"/>
  <c r="V141" i="105"/>
  <c r="H119" i="106" a="1"/>
  <c r="H119" i="106" s="1"/>
  <c r="V146" i="105" l="1"/>
  <c r="V63" i="82" s="1"/>
  <c r="V174" i="105"/>
  <c r="V65" i="82" s="1"/>
  <c r="V140" i="105"/>
  <c r="H102" i="105"/>
  <c r="H132" i="105" s="1"/>
  <c r="H133" i="105" s="1"/>
  <c r="J56" i="55"/>
  <c r="A4" i="106"/>
  <c r="V206" i="105" l="1"/>
  <c r="V73" i="82" s="1"/>
  <c r="V62" i="82"/>
  <c r="H78" i="82" s="1" a="1"/>
  <c r="H78" i="82" s="1"/>
  <c r="V207" i="105"/>
  <c r="V74" i="82" s="1"/>
  <c r="H135" i="105"/>
  <c r="H211" i="105" s="1" a="1"/>
  <c r="H211" i="105" s="1"/>
  <c r="H136" i="105"/>
  <c r="J55" i="55" l="1"/>
  <c r="A4" i="105"/>
  <c r="A4" i="82"/>
  <c r="J57" i="55"/>
  <c r="J58" i="55" l="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<sst xmlns="http://schemas.openxmlformats.org/spreadsheetml/2006/main" count="7915" uniqueCount="1160">
  <si>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</si>
  <si>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</si>
  <si>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</si>
  <si>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</si>
  <si>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</si>
  <si>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[enter 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</si>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</sst>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39">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opLeftCell="A22" zoomScale="80" zoomScaleNormal="80" workbookViewId="0"/>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1143</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1144</v>
      </c>
    </row>
    <row r="17" spans="2:4" ht="14.4" x14ac:dyDescent="0.3">
      <c r="D17" s="4" t="s">
        <v>2</v>
      </c>
    </row>
    <row r="18" spans="2:4" ht="14.4" x14ac:dyDescent="0.3">
      <c r="D18" s="3"/>
    </row>
    <row r="19" spans="2:4" ht="15" customHeight="1" x14ac:dyDescent="0.3">
      <c r="B19" s="18" t="s">
        <v>3</v>
      </c>
      <c r="D19" s="241" t="s">
        <v>1142</v>
      </c>
    </row>
    <row r="21" spans="2:4" ht="15" customHeight="1" x14ac:dyDescent="0.3">
      <c r="B21" s="18" t="s">
        <v>4</v>
      </c>
      <c r="D21" s="241" t="s">
        <v>5</v>
      </c>
    </row>
    <row r="23" spans="2:4" ht="15" customHeight="1" x14ac:dyDescent="0.3">
      <c r="B23" s="18" t="s">
        <v>6</v>
      </c>
      <c r="D23" s="241" t="s">
        <v>7</v>
      </c>
    </row>
    <row r="25" spans="2:4" ht="30" customHeight="1" x14ac:dyDescent="0.3">
      <c r="B25" s="18" t="s">
        <v>8</v>
      </c>
      <c r="D25" s="241" t="s">
        <v>9</v>
      </c>
    </row>
    <row r="26" spans="2:4" ht="15" customHeight="1" x14ac:dyDescent="0.3">
      <c r="B26" s="18"/>
    </row>
    <row r="27" spans="2:4" ht="15" customHeight="1" x14ac:dyDescent="0.3">
      <c r="B27" s="18" t="s">
        <v>10</v>
      </c>
    </row>
    <row r="28" spans="2:4" customFormat="1" ht="15" customHeight="1" x14ac:dyDescent="0.3">
      <c r="B28" s="21" t="s">
        <v>11</v>
      </c>
      <c r="C28" s="1"/>
      <c r="D28" s="1" t="s">
        <v>12</v>
      </c>
    </row>
    <row r="29" spans="2:4" customFormat="1" ht="14.4" x14ac:dyDescent="0.3">
      <c r="B29" s="22"/>
      <c r="C29" s="23"/>
      <c r="D29" s="23" t="s">
        <v>13</v>
      </c>
    </row>
    <row r="30" spans="2:4" customFormat="1" ht="14.4" x14ac:dyDescent="0.3">
      <c r="B30" s="242" t="s">
        <v>14</v>
      </c>
      <c r="D30" t="s">
        <v>15</v>
      </c>
    </row>
    <row r="31" spans="2:4" customFormat="1" ht="14.4" x14ac:dyDescent="0.3">
      <c r="B31" s="243" t="s">
        <v>14</v>
      </c>
      <c r="D31" t="s">
        <v>16</v>
      </c>
    </row>
    <row r="32" spans="2:4" customFormat="1" ht="14.4" x14ac:dyDescent="0.3">
      <c r="B32" s="244" t="s">
        <v>14</v>
      </c>
      <c r="D32" t="s">
        <v>17</v>
      </c>
    </row>
    <row r="33" spans="2:4" customFormat="1" ht="14.4" x14ac:dyDescent="0.3">
      <c r="B33" s="24" t="s">
        <v>14</v>
      </c>
      <c r="D33" t="s">
        <v>18</v>
      </c>
    </row>
    <row r="34" spans="2:4" customFormat="1" ht="14.4" x14ac:dyDescent="0.3">
      <c r="B34" s="25" t="s">
        <v>14</v>
      </c>
      <c r="D34" t="s">
        <v>19</v>
      </c>
    </row>
    <row r="35" spans="2:4" customFormat="1" ht="14.4" x14ac:dyDescent="0.3">
      <c r="B35" s="26" t="s">
        <v>14</v>
      </c>
      <c r="D35" t="s">
        <v>20</v>
      </c>
    </row>
    <row r="36" spans="2:4" customFormat="1" ht="14.4" x14ac:dyDescent="0.3">
      <c r="B36" s="27" t="s">
        <v>14</v>
      </c>
      <c r="D36" t="s">
        <v>21</v>
      </c>
    </row>
    <row r="37" spans="2:4" customFormat="1" ht="14.4" x14ac:dyDescent="0.3">
      <c r="B37" s="28" t="s">
        <v>22</v>
      </c>
      <c r="D37" t="s">
        <v>23</v>
      </c>
    </row>
    <row r="38" spans="2:4" customFormat="1" ht="15" customHeight="1" x14ac:dyDescent="0.3">
      <c r="B38" s="29" t="s">
        <v>22</v>
      </c>
      <c r="D38" t="s">
        <v>24</v>
      </c>
    </row>
    <row r="39" spans="2:4" customFormat="1" ht="15" customHeight="1" x14ac:dyDescent="0.3">
      <c r="B39" s="1" t="s">
        <v>22</v>
      </c>
      <c r="D39" t="s">
        <v>25</v>
      </c>
    </row>
    <row r="40" spans="2:4" customFormat="1" ht="15" customHeight="1" x14ac:dyDescent="0.3">
      <c r="B40" s="30" t="s">
        <v>22</v>
      </c>
      <c r="D40" t="s">
        <v>26</v>
      </c>
    </row>
    <row r="41" spans="2:4" customFormat="1" ht="15" customHeight="1" x14ac:dyDescent="0.3">
      <c r="B41" s="31" t="s">
        <v>22</v>
      </c>
      <c r="D41" t="s">
        <v>27</v>
      </c>
    </row>
    <row r="42" spans="2:4" customFormat="1" ht="15" customHeight="1" x14ac:dyDescent="0.3">
      <c r="B42" s="32" t="s">
        <v>22</v>
      </c>
      <c r="D42" t="s">
        <v>28</v>
      </c>
    </row>
    <row r="43" spans="2:4" customFormat="1" ht="15" customHeight="1" x14ac:dyDescent="0.3">
      <c r="B43" s="33" t="s">
        <v>29</v>
      </c>
      <c r="D43" t="s">
        <v>30</v>
      </c>
    </row>
    <row r="44" spans="2:4" customFormat="1" ht="15" customHeight="1" x14ac:dyDescent="0.3">
      <c r="B44" s="34" t="s">
        <v>29</v>
      </c>
      <c r="D44" t="s">
        <v>31</v>
      </c>
    </row>
    <row r="45" spans="2:4" customFormat="1" ht="15" customHeight="1" x14ac:dyDescent="0.3">
      <c r="B45" s="35" t="s">
        <v>29</v>
      </c>
      <c r="D45" t="s">
        <v>32</v>
      </c>
    </row>
    <row r="46" spans="2:4" customFormat="1" ht="15" customHeight="1" x14ac:dyDescent="0.3">
      <c r="B46" s="36" t="s">
        <v>29</v>
      </c>
      <c r="C46" s="37"/>
      <c r="D46" s="37" t="s">
        <v>33</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368</v>
      </c>
      <c r="E9"/>
    </row>
    <row r="10" spans="1:27" x14ac:dyDescent="0.3">
      <c r="C10" s="29" t="s">
        <v>369</v>
      </c>
      <c r="E10"/>
    </row>
    <row r="11" spans="1:27" x14ac:dyDescent="0.3">
      <c r="C11" s="29" t="s">
        <v>370</v>
      </c>
      <c r="E11"/>
    </row>
    <row r="12" spans="1:27" x14ac:dyDescent="0.3">
      <c r="C12" s="29" t="s">
        <v>371</v>
      </c>
      <c r="E12"/>
    </row>
    <row r="13" spans="1:27" x14ac:dyDescent="0.3">
      <c r="C13" s="29"/>
      <c r="E13"/>
    </row>
    <row r="14" spans="1:27" x14ac:dyDescent="0.3">
      <c r="C14" s="29" t="s">
        <v>372</v>
      </c>
      <c r="E14"/>
    </row>
    <row r="15" spans="1:27" x14ac:dyDescent="0.3">
      <c r="C15" s="29" t="s">
        <v>373</v>
      </c>
      <c r="E15"/>
    </row>
    <row r="17" spans="2:27" x14ac:dyDescent="0.3">
      <c r="B17" s="30" t="s">
        <v>374</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375</v>
      </c>
      <c r="F21" s="2"/>
    </row>
    <row r="22" spans="2:27" x14ac:dyDescent="0.3">
      <c r="D22" s="88"/>
      <c r="F22" s="2"/>
    </row>
    <row r="23" spans="2:27" x14ac:dyDescent="0.3">
      <c r="D23"/>
      <c r="E23" s="32" t="s">
        <v>376</v>
      </c>
      <c r="F23" s="32"/>
      <c r="I23" t="s">
        <v>156</v>
      </c>
      <c r="AA23" t="s">
        <v>205</v>
      </c>
    </row>
    <row r="24" spans="2:27" x14ac:dyDescent="0.3">
      <c r="D24"/>
      <c r="E24" s="29" t="s">
        <v>377</v>
      </c>
    </row>
    <row r="25" spans="2:27" x14ac:dyDescent="0.3">
      <c r="D25" s="88"/>
      <c r="F25" s="23" t="s">
        <v>191</v>
      </c>
      <c r="G25" s="23" t="s">
        <v>169</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193</v>
      </c>
      <c r="G26" t="s">
        <v>169</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194</v>
      </c>
      <c r="G27" t="s">
        <v>169</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195</v>
      </c>
      <c r="G28" t="s">
        <v>169</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196</v>
      </c>
      <c r="G29" t="s">
        <v>169</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197</v>
      </c>
      <c r="G30" t="s">
        <v>169</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198</v>
      </c>
      <c r="G31" t="s">
        <v>169</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199</v>
      </c>
      <c r="G32" t="s">
        <v>169</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200</v>
      </c>
      <c r="G33" t="s">
        <v>169</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201</v>
      </c>
      <c r="G34" t="s">
        <v>169</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378</v>
      </c>
      <c r="G35" t="s">
        <v>169</v>
      </c>
      <c r="J35" s="66"/>
      <c r="K35" s="66"/>
      <c r="L35" s="66"/>
      <c r="M35" s="66"/>
      <c r="N35" s="66"/>
      <c r="O35" s="66"/>
      <c r="P35" s="66"/>
      <c r="Q35" s="66"/>
      <c r="R35" s="66"/>
      <c r="S35" s="66"/>
      <c r="T35" s="66"/>
      <c r="U35" s="66"/>
      <c r="V35" s="66"/>
      <c r="W35" s="66"/>
      <c r="X35" s="66"/>
      <c r="Y35" s="66"/>
    </row>
    <row r="36" spans="4:27" x14ac:dyDescent="0.3">
      <c r="D36" s="88"/>
      <c r="F36" s="37" t="s">
        <v>379</v>
      </c>
      <c r="G36" s="37" t="s">
        <v>169</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283</v>
      </c>
      <c r="F38" s="2"/>
    </row>
    <row r="39" spans="4:27" x14ac:dyDescent="0.3">
      <c r="D39" s="88"/>
      <c r="E39"/>
      <c r="F39" s="28" t="s">
        <v>283</v>
      </c>
      <c r="G39" s="28" t="s">
        <v>169</v>
      </c>
      <c r="H39" s="25">
        <f>'Inputs by network level'!P17</f>
        <v>7.5044342711319545E-2</v>
      </c>
    </row>
    <row r="40" spans="4:27" x14ac:dyDescent="0.3">
      <c r="D40" s="88"/>
      <c r="F40" s="2"/>
    </row>
    <row r="41" spans="4:27" x14ac:dyDescent="0.3">
      <c r="D41"/>
      <c r="E41" s="32" t="s">
        <v>380</v>
      </c>
      <c r="F41" s="32"/>
    </row>
    <row r="42" spans="4:27" x14ac:dyDescent="0.3">
      <c r="D42"/>
      <c r="E42" s="29" t="s">
        <v>381</v>
      </c>
    </row>
    <row r="43" spans="4:27" x14ac:dyDescent="0.3">
      <c r="D43" s="88"/>
      <c r="F43" s="23" t="s">
        <v>191</v>
      </c>
      <c r="G43" s="23" t="s">
        <v>169</v>
      </c>
      <c r="H43" s="23"/>
      <c r="I43" s="23"/>
      <c r="J43" s="65"/>
      <c r="K43" s="65"/>
      <c r="L43" s="65"/>
      <c r="M43" s="65"/>
      <c r="N43" s="65"/>
      <c r="O43" s="65"/>
      <c r="P43" s="65"/>
      <c r="Q43" s="65"/>
      <c r="R43" s="65"/>
      <c r="S43" s="65"/>
      <c r="T43" s="65"/>
      <c r="U43" s="65"/>
      <c r="V43" s="65"/>
      <c r="W43" s="65"/>
      <c r="X43" s="65"/>
      <c r="Y43" s="65"/>
    </row>
    <row r="44" spans="4:27" x14ac:dyDescent="0.3">
      <c r="D44" s="88"/>
      <c r="F44" t="s">
        <v>193</v>
      </c>
      <c r="G44" t="s">
        <v>169</v>
      </c>
      <c r="J44" s="66"/>
      <c r="K44" s="66"/>
      <c r="L44" s="66"/>
      <c r="M44" s="66"/>
      <c r="N44" s="66"/>
      <c r="O44" s="66"/>
      <c r="P44" s="66"/>
      <c r="Q44" s="66"/>
      <c r="R44" s="66"/>
      <c r="S44" s="66"/>
      <c r="T44" s="66"/>
      <c r="U44" s="66"/>
      <c r="V44" s="66"/>
      <c r="W44" s="66"/>
      <c r="X44" s="66"/>
      <c r="Y44" s="66"/>
    </row>
    <row r="45" spans="4:27" x14ac:dyDescent="0.3">
      <c r="D45" s="88"/>
      <c r="F45" s="108" t="s">
        <v>194</v>
      </c>
      <c r="G45" s="108" t="s">
        <v>169</v>
      </c>
      <c r="H45" s="108"/>
      <c r="I45" s="108" t="s">
        <v>156</v>
      </c>
      <c r="J45" s="109">
        <f>IF($H$39 = 0, J27, J29 * $H$39)</f>
        <v>0</v>
      </c>
      <c r="K45" s="109">
        <f t="shared" ref="K45:Q45" si="0">IF($H$39 = 0, K27, K29 * $H$39)</f>
        <v>0</v>
      </c>
      <c r="L45" s="109">
        <f t="shared" si="0"/>
        <v>0</v>
      </c>
      <c r="M45" s="109">
        <f t="shared" si="0"/>
        <v>0</v>
      </c>
      <c r="N45" s="109">
        <f t="shared" si="0"/>
        <v>0</v>
      </c>
      <c r="O45" s="109">
        <f t="shared" si="0"/>
        <v>0</v>
      </c>
      <c r="P45" s="109">
        <f t="shared" si="0"/>
        <v>1.5008868542263909E-2</v>
      </c>
      <c r="Q45" s="109">
        <f t="shared" si="0"/>
        <v>0</v>
      </c>
      <c r="R45" s="110"/>
      <c r="S45" s="110"/>
      <c r="T45" s="110"/>
      <c r="U45" s="110"/>
      <c r="V45" s="110"/>
      <c r="W45" s="110"/>
      <c r="X45" s="110"/>
      <c r="Y45" s="110"/>
      <c r="AA45" t="s">
        <v>382</v>
      </c>
    </row>
    <row r="46" spans="4:27" x14ac:dyDescent="0.3">
      <c r="D46" s="88"/>
      <c r="F46" t="s">
        <v>195</v>
      </c>
      <c r="G46" t="s">
        <v>169</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196</v>
      </c>
      <c r="G47" t="s">
        <v>169</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197</v>
      </c>
      <c r="G48" t="s">
        <v>169</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198</v>
      </c>
      <c r="G49" s="108" t="s">
        <v>169</v>
      </c>
      <c r="H49" s="108"/>
      <c r="I49" s="108" t="s">
        <v>156</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383</v>
      </c>
    </row>
    <row r="50" spans="2:27" x14ac:dyDescent="0.3">
      <c r="D50" s="88"/>
      <c r="F50" t="s">
        <v>199</v>
      </c>
      <c r="G50" t="s">
        <v>169</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200</v>
      </c>
      <c r="G51" t="s">
        <v>169</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201</v>
      </c>
      <c r="G52" t="s">
        <v>169</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378</v>
      </c>
      <c r="G53" t="s">
        <v>169</v>
      </c>
      <c r="J53" s="66"/>
      <c r="K53" s="66"/>
      <c r="L53" s="66"/>
      <c r="M53" s="66"/>
      <c r="N53" s="66"/>
      <c r="O53" s="66"/>
      <c r="P53" s="66"/>
      <c r="Q53" s="66"/>
      <c r="R53" s="66"/>
      <c r="S53" s="66"/>
      <c r="T53" s="66"/>
      <c r="U53" s="66"/>
      <c r="V53" s="66"/>
      <c r="W53" s="66"/>
      <c r="X53" s="66"/>
      <c r="Y53" s="66"/>
    </row>
    <row r="54" spans="2:27" x14ac:dyDescent="0.3">
      <c r="D54" s="88"/>
      <c r="F54" s="37" t="s">
        <v>379</v>
      </c>
      <c r="G54" s="37" t="s">
        <v>169</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233</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234</v>
      </c>
      <c r="G58" s="6" t="s">
        <v>57</v>
      </c>
      <c r="H58" s="103">
        <f t="array" ref="H58">SUM(IF(ISERROR(H25:Y54), 1))</f>
        <v>0</v>
      </c>
    </row>
    <row r="59" spans="2:27" x14ac:dyDescent="0.3">
      <c r="D59"/>
      <c r="E59"/>
    </row>
    <row r="60" spans="2:27" x14ac:dyDescent="0.3">
      <c r="B60" s="30" t="s">
        <v>108</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144</v>
      </c>
      <c r="C5" s="60"/>
      <c r="D5" s="60"/>
      <c r="E5" s="60"/>
      <c r="F5" s="60"/>
      <c r="G5" s="61" t="s">
        <v>145</v>
      </c>
      <c r="H5" s="62" t="s">
        <v>146</v>
      </c>
      <c r="I5" s="113"/>
      <c r="J5" s="114" t="s">
        <v>191</v>
      </c>
      <c r="K5" s="114" t="s">
        <v>193</v>
      </c>
      <c r="L5" s="114" t="s">
        <v>194</v>
      </c>
      <c r="M5" s="114" t="s">
        <v>195</v>
      </c>
      <c r="N5" s="114" t="s">
        <v>196</v>
      </c>
      <c r="O5" s="114" t="s">
        <v>197</v>
      </c>
      <c r="P5" s="114" t="s">
        <v>198</v>
      </c>
      <c r="Q5" s="114" t="s">
        <v>199</v>
      </c>
      <c r="R5" s="114" t="s">
        <v>200</v>
      </c>
      <c r="S5" s="114" t="s">
        <v>201</v>
      </c>
      <c r="T5" s="114" t="s">
        <v>378</v>
      </c>
      <c r="U5" s="114" t="s">
        <v>379</v>
      </c>
      <c r="W5" s="60" t="s">
        <v>147</v>
      </c>
    </row>
    <row r="6" spans="1:23" x14ac:dyDescent="0.3">
      <c r="H6" s="3"/>
      <c r="I6" s="29"/>
      <c r="J6" s="3"/>
      <c r="K6" s="3"/>
      <c r="L6" s="3"/>
      <c r="M6" s="3"/>
      <c r="N6" s="3"/>
      <c r="O6" s="3"/>
      <c r="P6" s="3"/>
      <c r="Q6" s="3"/>
      <c r="R6" s="3"/>
      <c r="S6" s="3"/>
      <c r="T6" s="3"/>
      <c r="U6" s="3"/>
      <c r="W6" s="3"/>
    </row>
    <row r="7" spans="1:23" x14ac:dyDescent="0.3">
      <c r="B7" s="30" t="s">
        <v>12</v>
      </c>
      <c r="C7" s="30"/>
      <c r="D7" s="30"/>
      <c r="E7" s="30"/>
      <c r="F7" s="30"/>
      <c r="G7" s="30"/>
      <c r="H7" s="30"/>
      <c r="I7" s="30"/>
      <c r="J7" s="30"/>
      <c r="K7" s="30"/>
      <c r="L7" s="30"/>
      <c r="M7" s="30"/>
      <c r="N7" s="30"/>
      <c r="O7" s="30"/>
      <c r="P7" s="30"/>
      <c r="Q7" s="30"/>
      <c r="R7" s="30"/>
      <c r="S7" s="30"/>
      <c r="T7" s="30"/>
      <c r="U7" s="30"/>
      <c r="V7" s="30"/>
      <c r="W7" s="30"/>
    </row>
    <row r="9" spans="1:23" x14ac:dyDescent="0.3">
      <c r="C9" s="29" t="s">
        <v>384</v>
      </c>
    </row>
    <row r="10" spans="1:23" x14ac:dyDescent="0.3">
      <c r="C10" s="29" t="s">
        <v>385</v>
      </c>
    </row>
    <row r="11" spans="1:23" x14ac:dyDescent="0.3">
      <c r="C11" s="29" t="s">
        <v>386</v>
      </c>
    </row>
    <row r="13" spans="1:23" x14ac:dyDescent="0.3">
      <c r="B13" s="30" t="s">
        <v>387</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388</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389</v>
      </c>
      <c r="F19" s="115"/>
      <c r="G19" s="13" t="s">
        <v>169</v>
      </c>
      <c r="H19" s="3"/>
      <c r="I19" s="3"/>
      <c r="J19" s="94"/>
      <c r="K19" s="116">
        <f>'Inputs by network level'!K15</f>
        <v>2.4713742436156094E-2</v>
      </c>
      <c r="L19" s="116">
        <f>'Inputs by network level'!L15</f>
        <v>4.5013478235986115E-2</v>
      </c>
      <c r="M19" s="94"/>
      <c r="N19" s="116">
        <f>'Inputs by network level'!N15</f>
        <v>7.9017642685410783E-2</v>
      </c>
      <c r="O19" s="94"/>
      <c r="P19" s="94"/>
      <c r="Q19" s="116">
        <f>'Inputs by network level'!Q15</f>
        <v>0.34000000000000008</v>
      </c>
      <c r="R19" s="94"/>
      <c r="S19" s="94"/>
      <c r="T19" s="66"/>
      <c r="U19" s="66"/>
    </row>
    <row r="20" spans="2:23" x14ac:dyDescent="0.3">
      <c r="E20" t="s">
        <v>245</v>
      </c>
      <c r="F20" s="115"/>
      <c r="G20" s="13" t="s">
        <v>169</v>
      </c>
      <c r="H20" s="3"/>
      <c r="I20" s="3"/>
      <c r="J20" s="117">
        <f t="shared" ref="J20" si="0">IF(I20 = "", 1, I20 / (1 + J19))</f>
        <v>1</v>
      </c>
      <c r="K20" s="117">
        <f>IF(J20 = "", 1, J20 / (1 + K19))</f>
        <v>0.97588229628168977</v>
      </c>
      <c r="L20" s="117">
        <f t="shared" ref="L20:S20" si="1">IF(K20 = "", 1, K20 / (1 + L19))</f>
        <v>0.93384661213079101</v>
      </c>
      <c r="M20" s="117">
        <f t="shared" si="1"/>
        <v>0.93384661213079101</v>
      </c>
      <c r="N20" s="117">
        <f t="shared" si="1"/>
        <v>0.8654600028658247</v>
      </c>
      <c r="O20" s="117">
        <f t="shared" si="1"/>
        <v>0.8654600028658247</v>
      </c>
      <c r="P20" s="117">
        <f t="shared" si="1"/>
        <v>0.8654600028658247</v>
      </c>
      <c r="Q20" s="117">
        <f t="shared" si="1"/>
        <v>0.64586567378046611</v>
      </c>
      <c r="R20" s="117">
        <f t="shared" si="1"/>
        <v>0.64586567378046611</v>
      </c>
      <c r="S20" s="117">
        <f t="shared" si="1"/>
        <v>0.64586567378046611</v>
      </c>
      <c r="T20" s="66"/>
      <c r="U20" s="66"/>
    </row>
    <row r="21" spans="2:23" x14ac:dyDescent="0.3">
      <c r="E21" t="s">
        <v>390</v>
      </c>
      <c r="F21" s="115"/>
      <c r="G21" s="13" t="s">
        <v>169</v>
      </c>
      <c r="H21" s="3"/>
      <c r="I21" s="3"/>
      <c r="J21" s="117">
        <f>1 / J20 - 1</f>
        <v>0</v>
      </c>
      <c r="K21" s="117">
        <f t="shared" ref="K21:S21" si="2">1 / K20 - 1</f>
        <v>2.4713742436156094E-2</v>
      </c>
      <c r="L21" s="117">
        <f t="shared" si="2"/>
        <v>7.0839672179421997E-2</v>
      </c>
      <c r="M21" s="117">
        <f t="shared" si="2"/>
        <v>7.0839672179421997E-2</v>
      </c>
      <c r="N21" s="117">
        <f t="shared" si="2"/>
        <v>0.15545489876905783</v>
      </c>
      <c r="O21" s="117">
        <f t="shared" si="2"/>
        <v>0.15545489876905783</v>
      </c>
      <c r="P21" s="117">
        <f t="shared" si="2"/>
        <v>0.15545489876905783</v>
      </c>
      <c r="Q21" s="117">
        <f t="shared" si="2"/>
        <v>0.54830956435053779</v>
      </c>
      <c r="R21" s="117">
        <f t="shared" si="2"/>
        <v>0.54830956435053779</v>
      </c>
      <c r="S21" s="117">
        <f t="shared" si="2"/>
        <v>0.54830956435053779</v>
      </c>
      <c r="T21" s="66"/>
      <c r="U21" s="66"/>
    </row>
    <row r="22" spans="2:23" x14ac:dyDescent="0.3">
      <c r="E22" t="s">
        <v>391</v>
      </c>
      <c r="F22" s="115"/>
      <c r="G22" s="13" t="s">
        <v>169</v>
      </c>
      <c r="H22" s="3"/>
      <c r="I22" s="3"/>
      <c r="J22" s="94"/>
      <c r="K22" s="94"/>
      <c r="L22" s="94"/>
      <c r="M22" s="94"/>
      <c r="N22" s="94"/>
      <c r="O22" s="94"/>
      <c r="P22" s="117">
        <f>M21</f>
        <v>7.0839672179421997E-2</v>
      </c>
      <c r="Q22" s="94"/>
      <c r="R22" s="94"/>
      <c r="S22" s="94"/>
      <c r="T22" s="66"/>
      <c r="U22" s="66"/>
    </row>
    <row r="23" spans="2:23" x14ac:dyDescent="0.3">
      <c r="E23" t="s">
        <v>392</v>
      </c>
      <c r="F23" s="115"/>
      <c r="G23" s="13" t="s">
        <v>169</v>
      </c>
      <c r="H23" s="3"/>
      <c r="I23" s="3" t="s">
        <v>156</v>
      </c>
      <c r="J23" s="118">
        <f t="shared" ref="J23:S23" si="3">IF(J22 = "", J21, J22)</f>
        <v>0</v>
      </c>
      <c r="K23" s="118">
        <f t="shared" si="3"/>
        <v>2.4713742436156094E-2</v>
      </c>
      <c r="L23" s="118">
        <f t="shared" si="3"/>
        <v>7.0839672179421997E-2</v>
      </c>
      <c r="M23" s="118">
        <f t="shared" si="3"/>
        <v>7.0839672179421997E-2</v>
      </c>
      <c r="N23" s="118">
        <f t="shared" si="3"/>
        <v>0.15545489876905783</v>
      </c>
      <c r="O23" s="118">
        <f t="shared" si="3"/>
        <v>0.15545489876905783</v>
      </c>
      <c r="P23" s="118">
        <f t="shared" si="3"/>
        <v>7.0839672179421997E-2</v>
      </c>
      <c r="Q23" s="118">
        <f t="shared" si="3"/>
        <v>0.54830956435053779</v>
      </c>
      <c r="R23" s="118">
        <f t="shared" si="3"/>
        <v>0.54830956435053779</v>
      </c>
      <c r="S23" s="118">
        <f t="shared" si="3"/>
        <v>0.54830956435053779</v>
      </c>
      <c r="T23" s="66"/>
      <c r="U23" s="66"/>
      <c r="W23" s="63" t="s">
        <v>393</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394</v>
      </c>
      <c r="F27" s="119"/>
      <c r="G27" s="72" t="s">
        <v>285</v>
      </c>
      <c r="H27" s="3"/>
      <c r="I27" s="3"/>
      <c r="J27" s="79"/>
      <c r="K27" s="120">
        <f>'Inputs by network level'!K19</f>
        <v>1</v>
      </c>
      <c r="L27" s="120">
        <f>'Inputs by network level'!L19</f>
        <v>1.002</v>
      </c>
      <c r="M27" s="120">
        <f>'Inputs by network level'!M19</f>
        <v>1.006</v>
      </c>
      <c r="N27" s="120">
        <f>'Inputs by network level'!N19</f>
        <v>1.0129999999999999</v>
      </c>
      <c r="O27" s="120">
        <f>'Inputs by network level'!O19</f>
        <v>1.0189999999999999</v>
      </c>
      <c r="P27" s="79"/>
      <c r="Q27" s="120">
        <f>'Inputs by network level'!Q19</f>
        <v>1.034</v>
      </c>
      <c r="R27" s="120">
        <f>'Inputs by network level'!R19</f>
        <v>1.046</v>
      </c>
      <c r="S27" s="120">
        <f>'Inputs by network level'!S19</f>
        <v>1.075</v>
      </c>
      <c r="T27" s="79"/>
      <c r="U27" s="79"/>
    </row>
    <row r="28" spans="2:23" x14ac:dyDescent="0.3">
      <c r="E28" t="s">
        <v>395</v>
      </c>
      <c r="F28" s="119"/>
      <c r="G28" s="72" t="s">
        <v>285</v>
      </c>
      <c r="H28" s="3"/>
      <c r="I28" s="3"/>
      <c r="J28" s="98">
        <f>K27</f>
        <v>1</v>
      </c>
      <c r="K28" s="79"/>
      <c r="L28" s="79"/>
      <c r="M28" s="79"/>
      <c r="N28" s="79"/>
      <c r="O28" s="79"/>
      <c r="P28" s="98">
        <f>O27</f>
        <v>1.0189999999999999</v>
      </c>
      <c r="Q28" s="79"/>
      <c r="R28" s="79"/>
      <c r="S28" s="79"/>
      <c r="T28" s="79"/>
      <c r="U28" s="79"/>
    </row>
    <row r="29" spans="2:23" x14ac:dyDescent="0.3">
      <c r="E29" t="s">
        <v>396</v>
      </c>
      <c r="F29" s="119"/>
      <c r="G29" s="72" t="s">
        <v>285</v>
      </c>
      <c r="H29" s="3"/>
      <c r="I29" s="3" t="s">
        <v>156</v>
      </c>
      <c r="J29" s="121">
        <f t="shared" ref="J29:S29" si="4">J27 + J28</f>
        <v>1</v>
      </c>
      <c r="K29" s="121">
        <f t="shared" si="4"/>
        <v>1</v>
      </c>
      <c r="L29" s="121">
        <f t="shared" si="4"/>
        <v>1.002</v>
      </c>
      <c r="M29" s="121">
        <f t="shared" si="4"/>
        <v>1.006</v>
      </c>
      <c r="N29" s="121">
        <f t="shared" si="4"/>
        <v>1.0129999999999999</v>
      </c>
      <c r="O29" s="121">
        <f t="shared" si="4"/>
        <v>1.0189999999999999</v>
      </c>
      <c r="P29" s="121">
        <f t="shared" si="4"/>
        <v>1.0189999999999999</v>
      </c>
      <c r="Q29" s="121">
        <f t="shared" si="4"/>
        <v>1.034</v>
      </c>
      <c r="R29" s="121">
        <f t="shared" si="4"/>
        <v>1.046</v>
      </c>
      <c r="S29" s="121">
        <f t="shared" si="4"/>
        <v>1.075</v>
      </c>
      <c r="T29" s="79"/>
      <c r="U29" s="79"/>
      <c r="W29" s="63" t="s">
        <v>286</v>
      </c>
    </row>
    <row r="30" spans="2:23" x14ac:dyDescent="0.3">
      <c r="F30" s="115"/>
      <c r="G30" s="13"/>
      <c r="H30" s="3"/>
      <c r="I30" s="3"/>
      <c r="J30" s="3"/>
      <c r="K30" s="3"/>
      <c r="L30" s="3"/>
      <c r="M30" s="3"/>
      <c r="N30" s="3"/>
      <c r="O30" s="3"/>
      <c r="Q30" s="3"/>
      <c r="R30" s="3"/>
      <c r="S30" s="3"/>
      <c r="T30" s="3"/>
      <c r="U30" s="3"/>
    </row>
    <row r="31" spans="2:23" x14ac:dyDescent="0.3">
      <c r="B31" s="30" t="s">
        <v>397</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398</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198</v>
      </c>
      <c r="F37" s="28"/>
      <c r="G37" s="72" t="s">
        <v>169</v>
      </c>
      <c r="H37" s="116">
        <f>'Inputs by network level'!P17</f>
        <v>7.5044342711319545E-2</v>
      </c>
      <c r="I37" s="3"/>
    </row>
    <row r="38" spans="3:23" x14ac:dyDescent="0.3">
      <c r="E38" t="s">
        <v>399</v>
      </c>
      <c r="F38" s="115"/>
      <c r="G38" s="13" t="s">
        <v>169</v>
      </c>
      <c r="H38" s="3"/>
      <c r="I38" s="3"/>
      <c r="J38" s="66"/>
      <c r="K38" s="66"/>
      <c r="L38" s="66"/>
      <c r="M38" s="122">
        <f>1 - $H$37</f>
        <v>0.92495565728868046</v>
      </c>
      <c r="N38" s="122">
        <f>1 - $H$37</f>
        <v>0.92495565728868046</v>
      </c>
      <c r="O38" s="122">
        <f>1 - $H$37</f>
        <v>0.92495565728868046</v>
      </c>
      <c r="P38" s="123">
        <f>H37</f>
        <v>7.5044342711319545E-2</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400</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189</v>
      </c>
      <c r="G44" s="13"/>
    </row>
    <row r="45" spans="3:23" x14ac:dyDescent="0.3">
      <c r="E45" s="29" t="s">
        <v>401</v>
      </c>
      <c r="G45" s="13"/>
    </row>
    <row r="46" spans="3:23" x14ac:dyDescent="0.3">
      <c r="F46" s="23" t="s">
        <v>831</v>
      </c>
      <c r="G46" s="78" t="s">
        <v>192</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833</v>
      </c>
      <c r="G47" s="72" t="s">
        <v>192</v>
      </c>
      <c r="J47" s="120">
        <v>1</v>
      </c>
      <c r="K47" s="120">
        <v>1</v>
      </c>
      <c r="L47" s="120">
        <v>1</v>
      </c>
      <c r="M47" s="120">
        <v>1</v>
      </c>
      <c r="N47" s="120">
        <v>1</v>
      </c>
      <c r="O47" s="120">
        <v>1</v>
      </c>
      <c r="P47" s="120">
        <v>1</v>
      </c>
      <c r="Q47" s="120">
        <v>1</v>
      </c>
      <c r="R47" s="120">
        <v>1</v>
      </c>
      <c r="S47" s="120">
        <v>1</v>
      </c>
      <c r="T47" s="79"/>
      <c r="U47" s="79"/>
    </row>
    <row r="48" spans="3:23" x14ac:dyDescent="0.3">
      <c r="F48" t="s">
        <v>832</v>
      </c>
      <c r="G48" s="72" t="s">
        <v>192</v>
      </c>
      <c r="J48" s="120">
        <v>1</v>
      </c>
      <c r="K48" s="120">
        <v>1</v>
      </c>
      <c r="L48" s="120">
        <v>1</v>
      </c>
      <c r="M48" s="120">
        <v>1</v>
      </c>
      <c r="N48" s="120">
        <v>1</v>
      </c>
      <c r="O48" s="120">
        <v>1</v>
      </c>
      <c r="P48" s="120">
        <v>1</v>
      </c>
      <c r="Q48" s="120">
        <v>1</v>
      </c>
      <c r="R48" s="120">
        <v>1</v>
      </c>
      <c r="S48" s="120">
        <v>1</v>
      </c>
      <c r="T48" s="79"/>
      <c r="U48" s="79"/>
    </row>
    <row r="49" spans="5:21" x14ac:dyDescent="0.3">
      <c r="F49" t="s">
        <v>834</v>
      </c>
      <c r="G49" s="72" t="s">
        <v>192</v>
      </c>
      <c r="J49" s="120">
        <v>1</v>
      </c>
      <c r="K49" s="120">
        <v>1</v>
      </c>
      <c r="L49" s="120">
        <v>1</v>
      </c>
      <c r="M49" s="120">
        <v>1</v>
      </c>
      <c r="N49" s="120">
        <v>1</v>
      </c>
      <c r="O49" s="120">
        <v>1</v>
      </c>
      <c r="P49" s="120">
        <v>1</v>
      </c>
      <c r="Q49" s="120">
        <v>1</v>
      </c>
      <c r="R49" s="120">
        <v>1</v>
      </c>
      <c r="S49" s="120">
        <v>1</v>
      </c>
      <c r="T49" s="79"/>
      <c r="U49" s="79"/>
    </row>
    <row r="50" spans="5:21" x14ac:dyDescent="0.3">
      <c r="F50" t="s">
        <v>840</v>
      </c>
      <c r="G50" s="72" t="s">
        <v>192</v>
      </c>
      <c r="J50" s="120">
        <v>1</v>
      </c>
      <c r="K50" s="120">
        <v>1</v>
      </c>
      <c r="L50" s="120">
        <v>1</v>
      </c>
      <c r="M50" s="120">
        <v>1</v>
      </c>
      <c r="N50" s="120">
        <v>1</v>
      </c>
      <c r="O50" s="120">
        <v>1</v>
      </c>
      <c r="P50" s="120">
        <v>1</v>
      </c>
      <c r="Q50" s="120">
        <v>1</v>
      </c>
      <c r="R50" s="120">
        <v>1</v>
      </c>
      <c r="S50" s="120">
        <v>1</v>
      </c>
      <c r="T50" s="79"/>
      <c r="U50" s="79"/>
    </row>
    <row r="51" spans="5:21" x14ac:dyDescent="0.3">
      <c r="F51" t="s">
        <v>841</v>
      </c>
      <c r="G51" s="72" t="s">
        <v>192</v>
      </c>
      <c r="J51" s="120">
        <v>1</v>
      </c>
      <c r="K51" s="120">
        <v>1</v>
      </c>
      <c r="L51" s="120">
        <v>1</v>
      </c>
      <c r="M51" s="120">
        <v>1</v>
      </c>
      <c r="N51" s="120">
        <v>1</v>
      </c>
      <c r="O51" s="120">
        <v>1</v>
      </c>
      <c r="P51" s="120">
        <v>1</v>
      </c>
      <c r="Q51" s="120">
        <v>1</v>
      </c>
      <c r="R51" s="120">
        <v>1</v>
      </c>
      <c r="S51" s="120">
        <v>0</v>
      </c>
      <c r="T51" s="79"/>
      <c r="U51" s="79"/>
    </row>
    <row r="52" spans="5:21" x14ac:dyDescent="0.3">
      <c r="F52" t="s">
        <v>842</v>
      </c>
      <c r="G52" s="72" t="s">
        <v>192</v>
      </c>
      <c r="J52" s="120">
        <v>1</v>
      </c>
      <c r="K52" s="120">
        <v>1</v>
      </c>
      <c r="L52" s="120">
        <v>1</v>
      </c>
      <c r="M52" s="120">
        <v>1</v>
      </c>
      <c r="N52" s="120">
        <v>1</v>
      </c>
      <c r="O52" s="120">
        <v>1</v>
      </c>
      <c r="P52" s="120">
        <v>1</v>
      </c>
      <c r="Q52" s="120">
        <v>1</v>
      </c>
      <c r="R52" s="120">
        <v>0</v>
      </c>
      <c r="S52" s="120">
        <v>0</v>
      </c>
      <c r="T52" s="79"/>
      <c r="U52" s="79"/>
    </row>
    <row r="53" spans="5:21" x14ac:dyDescent="0.3">
      <c r="F53" t="s">
        <v>843</v>
      </c>
      <c r="G53" s="72" t="s">
        <v>192</v>
      </c>
      <c r="J53" s="120">
        <v>1</v>
      </c>
      <c r="K53" s="120">
        <v>1</v>
      </c>
      <c r="L53" s="120">
        <v>1</v>
      </c>
      <c r="M53" s="120">
        <v>1</v>
      </c>
      <c r="N53" s="120">
        <v>1</v>
      </c>
      <c r="O53" s="120">
        <v>1</v>
      </c>
      <c r="P53" s="120">
        <v>1</v>
      </c>
      <c r="Q53" s="120">
        <v>1</v>
      </c>
      <c r="R53" s="120">
        <v>1</v>
      </c>
      <c r="S53" s="120">
        <v>1</v>
      </c>
      <c r="T53" s="79"/>
      <c r="U53" s="79"/>
    </row>
    <row r="54" spans="5:21" x14ac:dyDescent="0.3">
      <c r="F54" t="s">
        <v>835</v>
      </c>
      <c r="G54" s="72" t="s">
        <v>192</v>
      </c>
      <c r="J54" s="120">
        <v>-1</v>
      </c>
      <c r="K54" s="120">
        <v>-1</v>
      </c>
      <c r="L54" s="120">
        <v>-1</v>
      </c>
      <c r="M54" s="120">
        <v>-1</v>
      </c>
      <c r="N54" s="120">
        <v>-1</v>
      </c>
      <c r="O54" s="120">
        <v>-1</v>
      </c>
      <c r="P54" s="120">
        <v>-1</v>
      </c>
      <c r="Q54" s="120">
        <v>-1</v>
      </c>
      <c r="R54" s="120">
        <v>-1</v>
      </c>
      <c r="S54" s="120">
        <v>-1</v>
      </c>
      <c r="T54" s="79"/>
      <c r="U54" s="79"/>
    </row>
    <row r="55" spans="5:21" x14ac:dyDescent="0.3">
      <c r="F55" t="s">
        <v>836</v>
      </c>
      <c r="G55" s="72" t="s">
        <v>192</v>
      </c>
      <c r="J55" s="120">
        <v>-1</v>
      </c>
      <c r="K55" s="120">
        <v>-1</v>
      </c>
      <c r="L55" s="120">
        <v>-1</v>
      </c>
      <c r="M55" s="120">
        <v>-1</v>
      </c>
      <c r="N55" s="120">
        <v>-1</v>
      </c>
      <c r="O55" s="120">
        <v>-1</v>
      </c>
      <c r="P55" s="120">
        <v>-1</v>
      </c>
      <c r="Q55" s="120">
        <v>-1</v>
      </c>
      <c r="R55" s="120">
        <v>-1</v>
      </c>
      <c r="S55" s="120">
        <v>0</v>
      </c>
      <c r="T55" s="79"/>
      <c r="U55" s="79"/>
    </row>
    <row r="56" spans="5:21" x14ac:dyDescent="0.3">
      <c r="F56" t="s">
        <v>837</v>
      </c>
      <c r="G56" s="72" t="s">
        <v>192</v>
      </c>
      <c r="J56" s="120">
        <v>-1</v>
      </c>
      <c r="K56" s="120">
        <v>-1</v>
      </c>
      <c r="L56" s="120">
        <v>-1</v>
      </c>
      <c r="M56" s="120">
        <v>-1</v>
      </c>
      <c r="N56" s="120">
        <v>-1</v>
      </c>
      <c r="O56" s="120">
        <v>-1</v>
      </c>
      <c r="P56" s="120">
        <v>-1</v>
      </c>
      <c r="Q56" s="120">
        <v>-1</v>
      </c>
      <c r="R56" s="120">
        <v>-1</v>
      </c>
      <c r="S56" s="120">
        <v>-1</v>
      </c>
      <c r="T56" s="79"/>
      <c r="U56" s="79"/>
    </row>
    <row r="57" spans="5:21" x14ac:dyDescent="0.3">
      <c r="F57" t="s">
        <v>846</v>
      </c>
      <c r="G57" s="72" t="s">
        <v>192</v>
      </c>
      <c r="J57" s="120">
        <v>-1</v>
      </c>
      <c r="K57" s="120">
        <v>-1</v>
      </c>
      <c r="L57" s="120">
        <v>-1</v>
      </c>
      <c r="M57" s="120">
        <v>-1</v>
      </c>
      <c r="N57" s="120">
        <v>-1</v>
      </c>
      <c r="O57" s="120">
        <v>-1</v>
      </c>
      <c r="P57" s="120">
        <v>-1</v>
      </c>
      <c r="Q57" s="120">
        <v>-1</v>
      </c>
      <c r="R57" s="120">
        <v>-1</v>
      </c>
      <c r="S57" s="120">
        <v>-1</v>
      </c>
      <c r="T57" s="79"/>
      <c r="U57" s="79"/>
    </row>
    <row r="58" spans="5:21" x14ac:dyDescent="0.3">
      <c r="F58" t="s">
        <v>838</v>
      </c>
      <c r="G58" s="72" t="s">
        <v>192</v>
      </c>
      <c r="J58" s="120">
        <v>-1</v>
      </c>
      <c r="K58" s="120">
        <v>-1</v>
      </c>
      <c r="L58" s="120">
        <v>-1</v>
      </c>
      <c r="M58" s="120">
        <v>-1</v>
      </c>
      <c r="N58" s="120">
        <v>-1</v>
      </c>
      <c r="O58" s="120">
        <v>-1</v>
      </c>
      <c r="P58" s="120">
        <v>-1</v>
      </c>
      <c r="Q58" s="120">
        <v>-1</v>
      </c>
      <c r="R58" s="120">
        <v>-1</v>
      </c>
      <c r="S58" s="120">
        <v>0</v>
      </c>
      <c r="T58" s="79"/>
      <c r="U58" s="79"/>
    </row>
    <row r="59" spans="5:21" x14ac:dyDescent="0.3">
      <c r="F59" t="s">
        <v>845</v>
      </c>
      <c r="G59" s="72" t="s">
        <v>192</v>
      </c>
      <c r="J59" s="120">
        <v>-1</v>
      </c>
      <c r="K59" s="120">
        <v>-1</v>
      </c>
      <c r="L59" s="120">
        <v>-1</v>
      </c>
      <c r="M59" s="120">
        <v>-1</v>
      </c>
      <c r="N59" s="120">
        <v>-1</v>
      </c>
      <c r="O59" s="120">
        <v>-1</v>
      </c>
      <c r="P59" s="120">
        <v>-1</v>
      </c>
      <c r="Q59" s="120">
        <v>-1</v>
      </c>
      <c r="R59" s="120">
        <v>-1</v>
      </c>
      <c r="S59" s="120">
        <v>0</v>
      </c>
      <c r="T59" s="79"/>
      <c r="U59" s="79"/>
    </row>
    <row r="60" spans="5:21" x14ac:dyDescent="0.3">
      <c r="F60" t="s">
        <v>839</v>
      </c>
      <c r="G60" s="72" t="s">
        <v>192</v>
      </c>
      <c r="J60" s="120">
        <v>-1</v>
      </c>
      <c r="K60" s="120">
        <v>-1</v>
      </c>
      <c r="L60" s="120">
        <v>-1</v>
      </c>
      <c r="M60" s="120">
        <v>-1</v>
      </c>
      <c r="N60" s="120">
        <v>-1</v>
      </c>
      <c r="O60" s="120">
        <v>-1</v>
      </c>
      <c r="P60" s="120">
        <v>-1</v>
      </c>
      <c r="Q60" s="120">
        <v>-1</v>
      </c>
      <c r="R60" s="120">
        <v>0</v>
      </c>
      <c r="S60" s="120">
        <v>0</v>
      </c>
      <c r="T60" s="79"/>
      <c r="U60" s="79"/>
    </row>
    <row r="61" spans="5:21" x14ac:dyDescent="0.3">
      <c r="F61" s="37" t="s">
        <v>844</v>
      </c>
      <c r="G61" s="80" t="s">
        <v>192</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402</v>
      </c>
      <c r="G63" s="13"/>
      <c r="J63" s="89"/>
      <c r="K63" s="89"/>
      <c r="L63" s="89"/>
      <c r="M63" s="89"/>
      <c r="N63" s="89"/>
      <c r="O63" s="89"/>
      <c r="P63" s="89"/>
      <c r="Q63" s="89"/>
      <c r="R63" s="89"/>
      <c r="S63" s="89"/>
      <c r="T63" s="89"/>
      <c r="U63" s="89"/>
    </row>
    <row r="64" spans="5:21" x14ac:dyDescent="0.3">
      <c r="E64" s="29" t="s">
        <v>403</v>
      </c>
      <c r="G64" s="13"/>
      <c r="J64" s="89"/>
      <c r="K64" s="89"/>
      <c r="L64" s="89"/>
      <c r="M64" s="89"/>
      <c r="N64" s="89"/>
      <c r="O64" s="89"/>
      <c r="P64" s="89"/>
      <c r="Q64" s="89"/>
      <c r="R64" s="89"/>
      <c r="S64" s="89"/>
      <c r="T64" s="89"/>
      <c r="U64" s="89"/>
    </row>
    <row r="65" spans="6:23" x14ac:dyDescent="0.3">
      <c r="F65" s="23" t="s">
        <v>831</v>
      </c>
      <c r="G65" s="78" t="s">
        <v>192</v>
      </c>
      <c r="H65" s="23"/>
      <c r="I65" s="23"/>
      <c r="J65" s="126">
        <f t="shared" ref="J65:S65" si="5">IF(J$38 = "", J46, J46 * J$38)</f>
        <v>1</v>
      </c>
      <c r="K65" s="126">
        <f t="shared" si="5"/>
        <v>1</v>
      </c>
      <c r="L65" s="126">
        <f t="shared" si="5"/>
        <v>1</v>
      </c>
      <c r="M65" s="126">
        <f t="shared" si="5"/>
        <v>0.92495565728868046</v>
      </c>
      <c r="N65" s="126">
        <f t="shared" si="5"/>
        <v>0.92495565728868046</v>
      </c>
      <c r="O65" s="126">
        <f t="shared" si="5"/>
        <v>0.92495565728868046</v>
      </c>
      <c r="P65" s="126">
        <f t="shared" si="5"/>
        <v>7.5044342711319545E-2</v>
      </c>
      <c r="Q65" s="126">
        <f t="shared" si="5"/>
        <v>1</v>
      </c>
      <c r="R65" s="126">
        <f t="shared" si="5"/>
        <v>1</v>
      </c>
      <c r="S65" s="126">
        <f t="shared" si="5"/>
        <v>1</v>
      </c>
      <c r="T65" s="83"/>
      <c r="U65" s="83"/>
      <c r="W65" s="3"/>
    </row>
    <row r="66" spans="6:23" x14ac:dyDescent="0.3">
      <c r="F66" t="s">
        <v>833</v>
      </c>
      <c r="G66" s="72" t="s">
        <v>192</v>
      </c>
      <c r="J66" s="98">
        <f t="shared" ref="J66:S66" si="6">IF(J$38 = "", J47, J47 * J$38)</f>
        <v>1</v>
      </c>
      <c r="K66" s="98">
        <f t="shared" si="6"/>
        <v>1</v>
      </c>
      <c r="L66" s="98">
        <f t="shared" si="6"/>
        <v>1</v>
      </c>
      <c r="M66" s="98">
        <f t="shared" si="6"/>
        <v>0.92495565728868046</v>
      </c>
      <c r="N66" s="98">
        <f t="shared" si="6"/>
        <v>0.92495565728868046</v>
      </c>
      <c r="O66" s="98">
        <f t="shared" si="6"/>
        <v>0.92495565728868046</v>
      </c>
      <c r="P66" s="98">
        <f t="shared" si="6"/>
        <v>7.5044342711319545E-2</v>
      </c>
      <c r="Q66" s="98">
        <f t="shared" si="6"/>
        <v>1</v>
      </c>
      <c r="R66" s="98">
        <f t="shared" si="6"/>
        <v>1</v>
      </c>
      <c r="S66" s="98">
        <f t="shared" si="6"/>
        <v>1</v>
      </c>
      <c r="T66" s="79"/>
      <c r="U66" s="79"/>
    </row>
    <row r="67" spans="6:23" x14ac:dyDescent="0.3">
      <c r="F67" t="s">
        <v>832</v>
      </c>
      <c r="G67" s="72" t="s">
        <v>192</v>
      </c>
      <c r="J67" s="98">
        <f t="shared" ref="J67:S67" si="7">IF(J$38 = "", J48, J48 * J$38)</f>
        <v>1</v>
      </c>
      <c r="K67" s="98">
        <f t="shared" si="7"/>
        <v>1</v>
      </c>
      <c r="L67" s="98">
        <f t="shared" si="7"/>
        <v>1</v>
      </c>
      <c r="M67" s="98">
        <f t="shared" si="7"/>
        <v>0.92495565728868046</v>
      </c>
      <c r="N67" s="98">
        <f t="shared" si="7"/>
        <v>0.92495565728868046</v>
      </c>
      <c r="O67" s="98">
        <f t="shared" si="7"/>
        <v>0.92495565728868046</v>
      </c>
      <c r="P67" s="98">
        <f t="shared" si="7"/>
        <v>7.5044342711319545E-2</v>
      </c>
      <c r="Q67" s="98">
        <f t="shared" si="7"/>
        <v>1</v>
      </c>
      <c r="R67" s="98">
        <f t="shared" si="7"/>
        <v>1</v>
      </c>
      <c r="S67" s="98">
        <f t="shared" si="7"/>
        <v>1</v>
      </c>
      <c r="T67" s="79"/>
      <c r="U67" s="79"/>
    </row>
    <row r="68" spans="6:23" x14ac:dyDescent="0.3">
      <c r="F68" t="s">
        <v>834</v>
      </c>
      <c r="G68" s="72" t="s">
        <v>192</v>
      </c>
      <c r="J68" s="98">
        <f t="shared" ref="J68:S68" si="8">IF(J$38 = "", J49, J49 * J$38)</f>
        <v>1</v>
      </c>
      <c r="K68" s="98">
        <f t="shared" si="8"/>
        <v>1</v>
      </c>
      <c r="L68" s="98">
        <f t="shared" si="8"/>
        <v>1</v>
      </c>
      <c r="M68" s="98">
        <f t="shared" si="8"/>
        <v>0.92495565728868046</v>
      </c>
      <c r="N68" s="98">
        <f t="shared" si="8"/>
        <v>0.92495565728868046</v>
      </c>
      <c r="O68" s="98">
        <f t="shared" si="8"/>
        <v>0.92495565728868046</v>
      </c>
      <c r="P68" s="98">
        <f t="shared" si="8"/>
        <v>7.5044342711319545E-2</v>
      </c>
      <c r="Q68" s="98">
        <f t="shared" si="8"/>
        <v>1</v>
      </c>
      <c r="R68" s="98">
        <f t="shared" si="8"/>
        <v>1</v>
      </c>
      <c r="S68" s="98">
        <f t="shared" si="8"/>
        <v>1</v>
      </c>
      <c r="T68" s="79"/>
      <c r="U68" s="79"/>
    </row>
    <row r="69" spans="6:23" x14ac:dyDescent="0.3">
      <c r="F69" t="s">
        <v>840</v>
      </c>
      <c r="G69" s="72" t="s">
        <v>192</v>
      </c>
      <c r="J69" s="98">
        <f t="shared" ref="J69:S69" si="9">IF(J$38 = "", J50, J50 * J$38)</f>
        <v>1</v>
      </c>
      <c r="K69" s="98">
        <f t="shared" si="9"/>
        <v>1</v>
      </c>
      <c r="L69" s="98">
        <f t="shared" si="9"/>
        <v>1</v>
      </c>
      <c r="M69" s="98">
        <f t="shared" si="9"/>
        <v>0.92495565728868046</v>
      </c>
      <c r="N69" s="98">
        <f t="shared" si="9"/>
        <v>0.92495565728868046</v>
      </c>
      <c r="O69" s="98">
        <f t="shared" si="9"/>
        <v>0.92495565728868046</v>
      </c>
      <c r="P69" s="98">
        <f t="shared" si="9"/>
        <v>7.5044342711319545E-2</v>
      </c>
      <c r="Q69" s="98">
        <f t="shared" si="9"/>
        <v>1</v>
      </c>
      <c r="R69" s="98">
        <f t="shared" si="9"/>
        <v>1</v>
      </c>
      <c r="S69" s="98">
        <f t="shared" si="9"/>
        <v>1</v>
      </c>
      <c r="T69" s="79"/>
      <c r="U69" s="79"/>
    </row>
    <row r="70" spans="6:23" x14ac:dyDescent="0.3">
      <c r="F70" t="s">
        <v>841</v>
      </c>
      <c r="G70" s="72" t="s">
        <v>192</v>
      </c>
      <c r="J70" s="98">
        <f t="shared" ref="J70:S70" si="10">IF(J$38 = "", J51, J51 * J$38)</f>
        <v>1</v>
      </c>
      <c r="K70" s="98">
        <f t="shared" si="10"/>
        <v>1</v>
      </c>
      <c r="L70" s="98">
        <f t="shared" si="10"/>
        <v>1</v>
      </c>
      <c r="M70" s="98">
        <f t="shared" si="10"/>
        <v>0.92495565728868046</v>
      </c>
      <c r="N70" s="98">
        <f t="shared" si="10"/>
        <v>0.92495565728868046</v>
      </c>
      <c r="O70" s="98">
        <f t="shared" si="10"/>
        <v>0.92495565728868046</v>
      </c>
      <c r="P70" s="98">
        <f t="shared" si="10"/>
        <v>7.5044342711319545E-2</v>
      </c>
      <c r="Q70" s="98">
        <f t="shared" si="10"/>
        <v>1</v>
      </c>
      <c r="R70" s="98">
        <f t="shared" si="10"/>
        <v>1</v>
      </c>
      <c r="S70" s="98">
        <f t="shared" si="10"/>
        <v>0</v>
      </c>
      <c r="T70" s="79"/>
      <c r="U70" s="79"/>
    </row>
    <row r="71" spans="6:23" x14ac:dyDescent="0.3">
      <c r="F71" t="s">
        <v>842</v>
      </c>
      <c r="G71" s="72" t="s">
        <v>192</v>
      </c>
      <c r="J71" s="98">
        <f t="shared" ref="J71:S71" si="11">IF(J$38 = "", J52, J52 * J$38)</f>
        <v>1</v>
      </c>
      <c r="K71" s="98">
        <f t="shared" si="11"/>
        <v>1</v>
      </c>
      <c r="L71" s="98">
        <f t="shared" si="11"/>
        <v>1</v>
      </c>
      <c r="M71" s="98">
        <f t="shared" si="11"/>
        <v>0.92495565728868046</v>
      </c>
      <c r="N71" s="98">
        <f t="shared" si="11"/>
        <v>0.92495565728868046</v>
      </c>
      <c r="O71" s="98">
        <f t="shared" si="11"/>
        <v>0.92495565728868046</v>
      </c>
      <c r="P71" s="98">
        <f t="shared" si="11"/>
        <v>7.5044342711319545E-2</v>
      </c>
      <c r="Q71" s="98">
        <f t="shared" si="11"/>
        <v>1</v>
      </c>
      <c r="R71" s="98">
        <f t="shared" si="11"/>
        <v>0</v>
      </c>
      <c r="S71" s="98">
        <f t="shared" si="11"/>
        <v>0</v>
      </c>
      <c r="T71" s="79"/>
      <c r="U71" s="79"/>
    </row>
    <row r="72" spans="6:23" x14ac:dyDescent="0.3">
      <c r="F72" t="s">
        <v>843</v>
      </c>
      <c r="G72" s="72" t="s">
        <v>192</v>
      </c>
      <c r="J72" s="98">
        <f t="shared" ref="J72:S72" si="12">IF(J$38 = "", J53, J53 * J$38)</f>
        <v>1</v>
      </c>
      <c r="K72" s="98">
        <f t="shared" si="12"/>
        <v>1</v>
      </c>
      <c r="L72" s="98">
        <f t="shared" si="12"/>
        <v>1</v>
      </c>
      <c r="M72" s="98">
        <f t="shared" si="12"/>
        <v>0.92495565728868046</v>
      </c>
      <c r="N72" s="98">
        <f t="shared" si="12"/>
        <v>0.92495565728868046</v>
      </c>
      <c r="O72" s="98">
        <f t="shared" si="12"/>
        <v>0.92495565728868046</v>
      </c>
      <c r="P72" s="98">
        <f t="shared" si="12"/>
        <v>7.5044342711319545E-2</v>
      </c>
      <c r="Q72" s="98">
        <f t="shared" si="12"/>
        <v>1</v>
      </c>
      <c r="R72" s="98">
        <f t="shared" si="12"/>
        <v>1</v>
      </c>
      <c r="S72" s="98">
        <f t="shared" si="12"/>
        <v>1</v>
      </c>
      <c r="T72" s="79"/>
      <c r="U72" s="79"/>
    </row>
    <row r="73" spans="6:23" x14ac:dyDescent="0.3">
      <c r="F73" t="s">
        <v>835</v>
      </c>
      <c r="G73" s="72" t="s">
        <v>192</v>
      </c>
      <c r="J73" s="98">
        <f t="shared" ref="J73:S73" si="13">IF(J$38 = "", J54, J54 * J$38)</f>
        <v>-1</v>
      </c>
      <c r="K73" s="98">
        <f t="shared" si="13"/>
        <v>-1</v>
      </c>
      <c r="L73" s="98">
        <f t="shared" si="13"/>
        <v>-1</v>
      </c>
      <c r="M73" s="98">
        <f t="shared" si="13"/>
        <v>-0.92495565728868046</v>
      </c>
      <c r="N73" s="98">
        <f t="shared" si="13"/>
        <v>-0.92495565728868046</v>
      </c>
      <c r="O73" s="98">
        <f t="shared" si="13"/>
        <v>-0.92495565728868046</v>
      </c>
      <c r="P73" s="98">
        <f t="shared" si="13"/>
        <v>-7.5044342711319545E-2</v>
      </c>
      <c r="Q73" s="98">
        <f t="shared" si="13"/>
        <v>-1</v>
      </c>
      <c r="R73" s="98">
        <f t="shared" si="13"/>
        <v>-1</v>
      </c>
      <c r="S73" s="98">
        <f t="shared" si="13"/>
        <v>-1</v>
      </c>
      <c r="T73" s="79"/>
      <c r="U73" s="79"/>
    </row>
    <row r="74" spans="6:23" x14ac:dyDescent="0.3">
      <c r="F74" t="s">
        <v>836</v>
      </c>
      <c r="G74" s="72" t="s">
        <v>192</v>
      </c>
      <c r="J74" s="98">
        <f t="shared" ref="J74:S74" si="14">IF(J$38 = "", J55, J55 * J$38)</f>
        <v>-1</v>
      </c>
      <c r="K74" s="98">
        <f t="shared" si="14"/>
        <v>-1</v>
      </c>
      <c r="L74" s="98">
        <f t="shared" si="14"/>
        <v>-1</v>
      </c>
      <c r="M74" s="98">
        <f t="shared" si="14"/>
        <v>-0.92495565728868046</v>
      </c>
      <c r="N74" s="98">
        <f t="shared" si="14"/>
        <v>-0.92495565728868046</v>
      </c>
      <c r="O74" s="98">
        <f t="shared" si="14"/>
        <v>-0.92495565728868046</v>
      </c>
      <c r="P74" s="98">
        <f t="shared" si="14"/>
        <v>-7.5044342711319545E-2</v>
      </c>
      <c r="Q74" s="98">
        <f t="shared" si="14"/>
        <v>-1</v>
      </c>
      <c r="R74" s="98">
        <f t="shared" si="14"/>
        <v>-1</v>
      </c>
      <c r="S74" s="98">
        <f t="shared" si="14"/>
        <v>0</v>
      </c>
      <c r="T74" s="79"/>
      <c r="U74" s="79"/>
    </row>
    <row r="75" spans="6:23" x14ac:dyDescent="0.3">
      <c r="F75" t="s">
        <v>837</v>
      </c>
      <c r="G75" s="72" t="s">
        <v>192</v>
      </c>
      <c r="J75" s="98">
        <f t="shared" ref="J75:S75" si="15">IF(J$38 = "", J56, J56 * J$38)</f>
        <v>-1</v>
      </c>
      <c r="K75" s="98">
        <f t="shared" si="15"/>
        <v>-1</v>
      </c>
      <c r="L75" s="98">
        <f t="shared" si="15"/>
        <v>-1</v>
      </c>
      <c r="M75" s="98">
        <f t="shared" si="15"/>
        <v>-0.92495565728868046</v>
      </c>
      <c r="N75" s="98">
        <f t="shared" si="15"/>
        <v>-0.92495565728868046</v>
      </c>
      <c r="O75" s="98">
        <f t="shared" si="15"/>
        <v>-0.92495565728868046</v>
      </c>
      <c r="P75" s="98">
        <f t="shared" si="15"/>
        <v>-7.5044342711319545E-2</v>
      </c>
      <c r="Q75" s="98">
        <f t="shared" si="15"/>
        <v>-1</v>
      </c>
      <c r="R75" s="98">
        <f t="shared" si="15"/>
        <v>-1</v>
      </c>
      <c r="S75" s="98">
        <f t="shared" si="15"/>
        <v>-1</v>
      </c>
      <c r="T75" s="79"/>
      <c r="U75" s="79"/>
    </row>
    <row r="76" spans="6:23" x14ac:dyDescent="0.3">
      <c r="F76" t="s">
        <v>846</v>
      </c>
      <c r="G76" s="72" t="s">
        <v>192</v>
      </c>
      <c r="J76" s="98">
        <f t="shared" ref="J76:S76" si="16">IF(J$38 = "", J57, J57 * J$38)</f>
        <v>-1</v>
      </c>
      <c r="K76" s="98">
        <f t="shared" si="16"/>
        <v>-1</v>
      </c>
      <c r="L76" s="98">
        <f t="shared" si="16"/>
        <v>-1</v>
      </c>
      <c r="M76" s="98">
        <f t="shared" si="16"/>
        <v>-0.92495565728868046</v>
      </c>
      <c r="N76" s="98">
        <f t="shared" si="16"/>
        <v>-0.92495565728868046</v>
      </c>
      <c r="O76" s="98">
        <f t="shared" si="16"/>
        <v>-0.92495565728868046</v>
      </c>
      <c r="P76" s="98">
        <f t="shared" si="16"/>
        <v>-7.5044342711319545E-2</v>
      </c>
      <c r="Q76" s="98">
        <f t="shared" si="16"/>
        <v>-1</v>
      </c>
      <c r="R76" s="98">
        <f t="shared" si="16"/>
        <v>-1</v>
      </c>
      <c r="S76" s="98">
        <f t="shared" si="16"/>
        <v>-1</v>
      </c>
      <c r="T76" s="79"/>
      <c r="U76" s="79"/>
    </row>
    <row r="77" spans="6:23" x14ac:dyDescent="0.3">
      <c r="F77" t="s">
        <v>838</v>
      </c>
      <c r="G77" s="72" t="s">
        <v>192</v>
      </c>
      <c r="J77" s="98">
        <f t="shared" ref="J77:S77" si="17">IF(J$38 = "", J58, J58 * J$38)</f>
        <v>-1</v>
      </c>
      <c r="K77" s="98">
        <f t="shared" si="17"/>
        <v>-1</v>
      </c>
      <c r="L77" s="98">
        <f t="shared" si="17"/>
        <v>-1</v>
      </c>
      <c r="M77" s="98">
        <f t="shared" si="17"/>
        <v>-0.92495565728868046</v>
      </c>
      <c r="N77" s="98">
        <f t="shared" si="17"/>
        <v>-0.92495565728868046</v>
      </c>
      <c r="O77" s="98">
        <f t="shared" si="17"/>
        <v>-0.92495565728868046</v>
      </c>
      <c r="P77" s="98">
        <f t="shared" si="17"/>
        <v>-7.5044342711319545E-2</v>
      </c>
      <c r="Q77" s="98">
        <f t="shared" si="17"/>
        <v>-1</v>
      </c>
      <c r="R77" s="98">
        <f t="shared" si="17"/>
        <v>-1</v>
      </c>
      <c r="S77" s="98">
        <f t="shared" si="17"/>
        <v>0</v>
      </c>
      <c r="T77" s="79"/>
      <c r="U77" s="79"/>
    </row>
    <row r="78" spans="6:23" x14ac:dyDescent="0.3">
      <c r="F78" t="s">
        <v>845</v>
      </c>
      <c r="G78" s="72" t="s">
        <v>192</v>
      </c>
      <c r="J78" s="98">
        <f t="shared" ref="J78:S78" si="18">IF(J$38 = "", J59, J59 * J$38)</f>
        <v>-1</v>
      </c>
      <c r="K78" s="98">
        <f t="shared" si="18"/>
        <v>-1</v>
      </c>
      <c r="L78" s="98">
        <f t="shared" si="18"/>
        <v>-1</v>
      </c>
      <c r="M78" s="98">
        <f t="shared" si="18"/>
        <v>-0.92495565728868046</v>
      </c>
      <c r="N78" s="98">
        <f t="shared" si="18"/>
        <v>-0.92495565728868046</v>
      </c>
      <c r="O78" s="98">
        <f t="shared" si="18"/>
        <v>-0.92495565728868046</v>
      </c>
      <c r="P78" s="98">
        <f t="shared" si="18"/>
        <v>-7.5044342711319545E-2</v>
      </c>
      <c r="Q78" s="98">
        <f t="shared" si="18"/>
        <v>-1</v>
      </c>
      <c r="R78" s="98">
        <f t="shared" si="18"/>
        <v>-1</v>
      </c>
      <c r="S78" s="98">
        <f t="shared" si="18"/>
        <v>0</v>
      </c>
      <c r="T78" s="79"/>
      <c r="U78" s="79"/>
    </row>
    <row r="79" spans="6:23" x14ac:dyDescent="0.3">
      <c r="F79" t="s">
        <v>839</v>
      </c>
      <c r="G79" s="72" t="s">
        <v>192</v>
      </c>
      <c r="J79" s="98">
        <f t="shared" ref="J79:S79" si="19">IF(J$38 = "", J60, J60 * J$38)</f>
        <v>-1</v>
      </c>
      <c r="K79" s="98">
        <f t="shared" si="19"/>
        <v>-1</v>
      </c>
      <c r="L79" s="98">
        <f t="shared" si="19"/>
        <v>-1</v>
      </c>
      <c r="M79" s="98">
        <f t="shared" si="19"/>
        <v>-0.92495565728868046</v>
      </c>
      <c r="N79" s="98">
        <f t="shared" si="19"/>
        <v>-0.92495565728868046</v>
      </c>
      <c r="O79" s="98">
        <f t="shared" si="19"/>
        <v>-0.92495565728868046</v>
      </c>
      <c r="P79" s="98">
        <f t="shared" si="19"/>
        <v>-7.5044342711319545E-2</v>
      </c>
      <c r="Q79" s="98">
        <f t="shared" si="19"/>
        <v>-1</v>
      </c>
      <c r="R79" s="98">
        <f t="shared" si="19"/>
        <v>0</v>
      </c>
      <c r="S79" s="98">
        <f t="shared" si="19"/>
        <v>0</v>
      </c>
      <c r="T79" s="79"/>
      <c r="U79" s="79"/>
    </row>
    <row r="80" spans="6:23" x14ac:dyDescent="0.3">
      <c r="F80" s="37" t="s">
        <v>844</v>
      </c>
      <c r="G80" s="80" t="s">
        <v>192</v>
      </c>
      <c r="H80" s="37"/>
      <c r="I80" s="37"/>
      <c r="J80" s="100">
        <f t="shared" ref="J80:S80" si="20">IF(J$38 = "", J61, J61 * J$38)</f>
        <v>-1</v>
      </c>
      <c r="K80" s="100">
        <f t="shared" si="20"/>
        <v>-1</v>
      </c>
      <c r="L80" s="100">
        <f t="shared" si="20"/>
        <v>-1</v>
      </c>
      <c r="M80" s="100">
        <f t="shared" si="20"/>
        <v>-0.92495565728868046</v>
      </c>
      <c r="N80" s="100">
        <f t="shared" si="20"/>
        <v>-0.92495565728868046</v>
      </c>
      <c r="O80" s="100">
        <f t="shared" si="20"/>
        <v>-0.92495565728868046</v>
      </c>
      <c r="P80" s="100">
        <f t="shared" si="20"/>
        <v>-7.5044342711319545E-2</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202</v>
      </c>
      <c r="G82" s="13"/>
      <c r="I82" t="s">
        <v>156</v>
      </c>
      <c r="J82" s="89"/>
      <c r="K82" s="89"/>
      <c r="L82" s="89"/>
      <c r="M82" s="89"/>
      <c r="N82" s="89"/>
      <c r="O82" s="89"/>
      <c r="P82" s="89"/>
      <c r="Q82" s="89"/>
      <c r="R82" s="89"/>
      <c r="S82" s="89"/>
      <c r="T82" s="89"/>
      <c r="U82" s="89"/>
      <c r="W82" s="3" t="s">
        <v>404</v>
      </c>
    </row>
    <row r="83" spans="5:23" x14ac:dyDescent="0.3">
      <c r="E83" s="29" t="s">
        <v>204</v>
      </c>
      <c r="G83" s="13"/>
      <c r="J83" s="89"/>
      <c r="K83" s="89"/>
      <c r="L83" s="89"/>
      <c r="M83" s="89"/>
      <c r="N83" s="89"/>
      <c r="O83" s="89"/>
      <c r="P83" s="89"/>
      <c r="Q83" s="89"/>
      <c r="R83" s="89"/>
      <c r="S83" s="89"/>
      <c r="T83" s="89"/>
      <c r="U83" s="89"/>
    </row>
    <row r="84" spans="5:23" x14ac:dyDescent="0.3">
      <c r="F84" s="23" t="s">
        <v>831</v>
      </c>
      <c r="G84" s="78" t="s">
        <v>178</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833</v>
      </c>
      <c r="G85" s="72" t="s">
        <v>178</v>
      </c>
      <c r="J85" s="120">
        <v>1</v>
      </c>
      <c r="K85" s="120">
        <v>1</v>
      </c>
      <c r="L85" s="120">
        <v>1</v>
      </c>
      <c r="M85" s="120">
        <v>1</v>
      </c>
      <c r="N85" s="120">
        <v>1</v>
      </c>
      <c r="O85" s="120">
        <v>1</v>
      </c>
      <c r="P85" s="120">
        <v>1</v>
      </c>
      <c r="Q85" s="120">
        <v>1</v>
      </c>
      <c r="R85" s="120">
        <v>1</v>
      </c>
      <c r="S85" s="120">
        <v>1</v>
      </c>
      <c r="T85" s="79"/>
      <c r="U85" s="79"/>
    </row>
    <row r="86" spans="5:23" x14ac:dyDescent="0.3">
      <c r="F86" t="s">
        <v>832</v>
      </c>
      <c r="G86" s="72" t="s">
        <v>178</v>
      </c>
      <c r="J86" s="120">
        <v>1</v>
      </c>
      <c r="K86" s="120">
        <v>1</v>
      </c>
      <c r="L86" s="120">
        <v>1</v>
      </c>
      <c r="M86" s="120">
        <v>1</v>
      </c>
      <c r="N86" s="120">
        <v>1</v>
      </c>
      <c r="O86" s="120">
        <v>1</v>
      </c>
      <c r="P86" s="120">
        <v>1</v>
      </c>
      <c r="Q86" s="120">
        <v>1</v>
      </c>
      <c r="R86" s="120">
        <v>1</v>
      </c>
      <c r="S86" s="120">
        <v>1</v>
      </c>
      <c r="T86" s="79"/>
      <c r="U86" s="79"/>
    </row>
    <row r="87" spans="5:23" x14ac:dyDescent="0.3">
      <c r="F87" t="s">
        <v>834</v>
      </c>
      <c r="G87" s="72" t="s">
        <v>178</v>
      </c>
      <c r="J87" s="120">
        <v>1</v>
      </c>
      <c r="K87" s="120">
        <v>1</v>
      </c>
      <c r="L87" s="120">
        <v>1</v>
      </c>
      <c r="M87" s="120">
        <v>1</v>
      </c>
      <c r="N87" s="120">
        <v>1</v>
      </c>
      <c r="O87" s="120">
        <v>1</v>
      </c>
      <c r="P87" s="120">
        <v>1</v>
      </c>
      <c r="Q87" s="120">
        <v>1</v>
      </c>
      <c r="R87" s="120">
        <v>1</v>
      </c>
      <c r="S87" s="120">
        <v>1</v>
      </c>
      <c r="T87" s="79"/>
      <c r="U87" s="79"/>
    </row>
    <row r="88" spans="5:23" x14ac:dyDescent="0.3">
      <c r="F88" t="s">
        <v>840</v>
      </c>
      <c r="G88" s="72" t="s">
        <v>178</v>
      </c>
      <c r="J88" s="120">
        <v>1</v>
      </c>
      <c r="K88" s="120">
        <v>1</v>
      </c>
      <c r="L88" s="120">
        <v>1</v>
      </c>
      <c r="M88" s="120">
        <v>1</v>
      </c>
      <c r="N88" s="120">
        <v>1</v>
      </c>
      <c r="O88" s="120">
        <v>1</v>
      </c>
      <c r="P88" s="120">
        <v>1</v>
      </c>
      <c r="Q88" s="120">
        <v>1</v>
      </c>
      <c r="R88" s="120">
        <v>1</v>
      </c>
      <c r="S88" s="120">
        <v>1</v>
      </c>
      <c r="T88" s="79"/>
      <c r="U88" s="79"/>
    </row>
    <row r="89" spans="5:23" x14ac:dyDescent="0.3">
      <c r="F89" t="s">
        <v>841</v>
      </c>
      <c r="G89" s="72" t="s">
        <v>178</v>
      </c>
      <c r="J89" s="120">
        <v>1</v>
      </c>
      <c r="K89" s="120">
        <v>1</v>
      </c>
      <c r="L89" s="120">
        <v>1</v>
      </c>
      <c r="M89" s="120">
        <v>1</v>
      </c>
      <c r="N89" s="120">
        <v>1</v>
      </c>
      <c r="O89" s="120">
        <v>1</v>
      </c>
      <c r="P89" s="120">
        <v>1</v>
      </c>
      <c r="Q89" s="120">
        <v>1</v>
      </c>
      <c r="R89" s="120">
        <v>1</v>
      </c>
      <c r="S89" s="120">
        <v>0</v>
      </c>
      <c r="T89" s="79"/>
      <c r="U89" s="79"/>
    </row>
    <row r="90" spans="5:23" x14ac:dyDescent="0.3">
      <c r="F90" t="s">
        <v>842</v>
      </c>
      <c r="G90" s="72" t="s">
        <v>178</v>
      </c>
      <c r="J90" s="120">
        <v>1</v>
      </c>
      <c r="K90" s="120">
        <v>1</v>
      </c>
      <c r="L90" s="120">
        <v>1</v>
      </c>
      <c r="M90" s="120">
        <v>1</v>
      </c>
      <c r="N90" s="120">
        <v>1</v>
      </c>
      <c r="O90" s="120">
        <v>1</v>
      </c>
      <c r="P90" s="120">
        <v>1</v>
      </c>
      <c r="Q90" s="120">
        <v>1</v>
      </c>
      <c r="R90" s="120">
        <v>0</v>
      </c>
      <c r="S90" s="120">
        <v>0</v>
      </c>
      <c r="T90" s="79"/>
      <c r="U90" s="79"/>
    </row>
    <row r="91" spans="5:23" x14ac:dyDescent="0.3">
      <c r="F91" t="s">
        <v>843</v>
      </c>
      <c r="G91" s="72" t="s">
        <v>178</v>
      </c>
      <c r="J91" s="120">
        <v>1</v>
      </c>
      <c r="K91" s="120">
        <v>1</v>
      </c>
      <c r="L91" s="120">
        <v>1</v>
      </c>
      <c r="M91" s="120">
        <v>1</v>
      </c>
      <c r="N91" s="120">
        <v>1</v>
      </c>
      <c r="O91" s="120">
        <v>1</v>
      </c>
      <c r="P91" s="120">
        <v>1</v>
      </c>
      <c r="Q91" s="120">
        <v>1</v>
      </c>
      <c r="R91" s="120">
        <v>1</v>
      </c>
      <c r="S91" s="120">
        <v>1</v>
      </c>
      <c r="T91" s="79"/>
      <c r="U91" s="79"/>
    </row>
    <row r="92" spans="5:23" x14ac:dyDescent="0.3">
      <c r="F92" t="s">
        <v>835</v>
      </c>
      <c r="G92" s="72" t="s">
        <v>178</v>
      </c>
      <c r="J92" s="120">
        <v>-1</v>
      </c>
      <c r="K92" s="120">
        <v>-1</v>
      </c>
      <c r="L92" s="120">
        <v>-1</v>
      </c>
      <c r="M92" s="120">
        <v>-1</v>
      </c>
      <c r="N92" s="120">
        <v>-1</v>
      </c>
      <c r="O92" s="120">
        <v>-1</v>
      </c>
      <c r="P92" s="120">
        <v>-1</v>
      </c>
      <c r="Q92" s="120">
        <v>-1</v>
      </c>
      <c r="R92" s="120">
        <v>-1</v>
      </c>
      <c r="S92" s="120">
        <v>0</v>
      </c>
      <c r="T92" s="79"/>
      <c r="U92" s="79"/>
    </row>
    <row r="93" spans="5:23" x14ac:dyDescent="0.3">
      <c r="F93" t="s">
        <v>836</v>
      </c>
      <c r="G93" s="72" t="s">
        <v>178</v>
      </c>
      <c r="J93" s="120">
        <v>-1</v>
      </c>
      <c r="K93" s="120">
        <v>-1</v>
      </c>
      <c r="L93" s="120">
        <v>-1</v>
      </c>
      <c r="M93" s="120">
        <v>-1</v>
      </c>
      <c r="N93" s="120">
        <v>-1</v>
      </c>
      <c r="O93" s="120">
        <v>-1</v>
      </c>
      <c r="P93" s="120">
        <v>-1</v>
      </c>
      <c r="Q93" s="120">
        <v>-1</v>
      </c>
      <c r="R93" s="120">
        <v>0</v>
      </c>
      <c r="S93" s="120">
        <v>0</v>
      </c>
      <c r="T93" s="79"/>
      <c r="U93" s="79"/>
    </row>
    <row r="94" spans="5:23" x14ac:dyDescent="0.3">
      <c r="F94" t="s">
        <v>837</v>
      </c>
      <c r="G94" s="72" t="s">
        <v>178</v>
      </c>
      <c r="J94" s="120">
        <v>-1</v>
      </c>
      <c r="K94" s="120">
        <v>-1</v>
      </c>
      <c r="L94" s="120">
        <v>-1</v>
      </c>
      <c r="M94" s="120">
        <v>-1</v>
      </c>
      <c r="N94" s="120">
        <v>-1</v>
      </c>
      <c r="O94" s="120">
        <v>-1</v>
      </c>
      <c r="P94" s="120">
        <v>-1</v>
      </c>
      <c r="Q94" s="120">
        <v>-1</v>
      </c>
      <c r="R94" s="120">
        <v>-1</v>
      </c>
      <c r="S94" s="120">
        <v>0</v>
      </c>
      <c r="T94" s="79"/>
      <c r="U94" s="79"/>
    </row>
    <row r="95" spans="5:23" x14ac:dyDescent="0.3">
      <c r="F95" t="s">
        <v>846</v>
      </c>
      <c r="G95" s="72" t="s">
        <v>178</v>
      </c>
      <c r="J95" s="120">
        <v>-1</v>
      </c>
      <c r="K95" s="120">
        <v>-1</v>
      </c>
      <c r="L95" s="120">
        <v>-1</v>
      </c>
      <c r="M95" s="120">
        <v>-1</v>
      </c>
      <c r="N95" s="120">
        <v>-1</v>
      </c>
      <c r="O95" s="120">
        <v>-1</v>
      </c>
      <c r="P95" s="120">
        <v>-1</v>
      </c>
      <c r="Q95" s="120">
        <v>-1</v>
      </c>
      <c r="R95" s="120">
        <v>-1</v>
      </c>
      <c r="S95" s="120">
        <v>0</v>
      </c>
      <c r="T95" s="79"/>
      <c r="U95" s="79"/>
    </row>
    <row r="96" spans="5:23" x14ac:dyDescent="0.3">
      <c r="F96" t="s">
        <v>838</v>
      </c>
      <c r="G96" s="72" t="s">
        <v>178</v>
      </c>
      <c r="J96" s="120">
        <v>-1</v>
      </c>
      <c r="K96" s="120">
        <v>-1</v>
      </c>
      <c r="L96" s="120">
        <v>-1</v>
      </c>
      <c r="M96" s="120">
        <v>-1</v>
      </c>
      <c r="N96" s="120">
        <v>-1</v>
      </c>
      <c r="O96" s="120">
        <v>-1</v>
      </c>
      <c r="P96" s="120">
        <v>-1</v>
      </c>
      <c r="Q96" s="120">
        <v>-1</v>
      </c>
      <c r="R96" s="120">
        <v>0</v>
      </c>
      <c r="S96" s="120">
        <v>0</v>
      </c>
      <c r="T96" s="79"/>
      <c r="U96" s="79"/>
    </row>
    <row r="97" spans="5:23" x14ac:dyDescent="0.3">
      <c r="F97" t="s">
        <v>845</v>
      </c>
      <c r="G97" s="72" t="s">
        <v>178</v>
      </c>
      <c r="J97" s="120">
        <v>-1</v>
      </c>
      <c r="K97" s="120">
        <v>-1</v>
      </c>
      <c r="L97" s="120">
        <v>-1</v>
      </c>
      <c r="M97" s="120">
        <v>-1</v>
      </c>
      <c r="N97" s="120">
        <v>-1</v>
      </c>
      <c r="O97" s="120">
        <v>-1</v>
      </c>
      <c r="P97" s="120">
        <v>-1</v>
      </c>
      <c r="Q97" s="120">
        <v>-1</v>
      </c>
      <c r="R97" s="120">
        <v>0</v>
      </c>
      <c r="S97" s="120">
        <v>0</v>
      </c>
      <c r="T97" s="79"/>
      <c r="U97" s="79"/>
    </row>
    <row r="98" spans="5:23" x14ac:dyDescent="0.3">
      <c r="F98" t="s">
        <v>839</v>
      </c>
      <c r="G98" s="72" t="s">
        <v>178</v>
      </c>
      <c r="J98" s="120">
        <v>-1</v>
      </c>
      <c r="K98" s="120">
        <v>-1</v>
      </c>
      <c r="L98" s="120">
        <v>-1</v>
      </c>
      <c r="M98" s="120">
        <v>-1</v>
      </c>
      <c r="N98" s="120">
        <v>-1</v>
      </c>
      <c r="O98" s="120">
        <v>-1</v>
      </c>
      <c r="P98" s="120">
        <v>-1</v>
      </c>
      <c r="Q98" s="120">
        <v>0</v>
      </c>
      <c r="R98" s="120">
        <v>0</v>
      </c>
      <c r="S98" s="120">
        <v>0</v>
      </c>
      <c r="T98" s="79"/>
      <c r="U98" s="79"/>
    </row>
    <row r="99" spans="5:23" x14ac:dyDescent="0.3">
      <c r="F99" s="37" t="s">
        <v>844</v>
      </c>
      <c r="G99" s="80" t="s">
        <v>178</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405</v>
      </c>
      <c r="G101" s="13"/>
      <c r="I101" t="s">
        <v>156</v>
      </c>
      <c r="J101" s="89"/>
      <c r="K101" s="89"/>
      <c r="L101" s="89"/>
      <c r="M101" s="89"/>
      <c r="N101" s="89"/>
      <c r="O101" s="89"/>
      <c r="P101" s="89"/>
      <c r="Q101" s="89"/>
      <c r="R101" s="89"/>
      <c r="S101" s="89"/>
      <c r="T101" s="89"/>
      <c r="U101" s="89"/>
      <c r="W101" s="3" t="s">
        <v>404</v>
      </c>
    </row>
    <row r="102" spans="5:23" x14ac:dyDescent="0.3">
      <c r="E102" s="29" t="s">
        <v>204</v>
      </c>
      <c r="G102" s="13"/>
      <c r="J102" s="89"/>
      <c r="K102" s="89"/>
      <c r="L102" s="89"/>
      <c r="M102" s="89"/>
      <c r="N102" s="89"/>
      <c r="O102" s="89"/>
      <c r="P102" s="89"/>
      <c r="Q102" s="89"/>
      <c r="R102" s="89"/>
      <c r="S102" s="89"/>
      <c r="T102" s="89"/>
      <c r="U102" s="89"/>
    </row>
    <row r="103" spans="5:23" x14ac:dyDescent="0.3">
      <c r="E103" s="29" t="s">
        <v>403</v>
      </c>
      <c r="G103" s="13"/>
      <c r="J103" s="89"/>
      <c r="K103" s="89"/>
      <c r="L103" s="89"/>
      <c r="M103" s="89"/>
      <c r="N103" s="89"/>
      <c r="O103" s="89"/>
      <c r="P103" s="89"/>
      <c r="Q103" s="89"/>
      <c r="R103" s="89"/>
      <c r="S103" s="89"/>
      <c r="T103" s="89"/>
      <c r="U103" s="89"/>
    </row>
    <row r="104" spans="5:23" x14ac:dyDescent="0.3">
      <c r="F104" s="23" t="s">
        <v>831</v>
      </c>
      <c r="G104" s="78" t="s">
        <v>178</v>
      </c>
      <c r="H104" s="23"/>
      <c r="I104" s="23"/>
      <c r="J104" s="126">
        <f t="shared" ref="J104:S104" si="21">IF(J$38 = "", J84, J84 * J$38)</f>
        <v>1</v>
      </c>
      <c r="K104" s="126">
        <f t="shared" si="21"/>
        <v>1</v>
      </c>
      <c r="L104" s="126">
        <f t="shared" si="21"/>
        <v>1</v>
      </c>
      <c r="M104" s="126">
        <f t="shared" si="21"/>
        <v>0.92495565728868046</v>
      </c>
      <c r="N104" s="126">
        <f t="shared" si="21"/>
        <v>0.92495565728868046</v>
      </c>
      <c r="O104" s="126">
        <f t="shared" si="21"/>
        <v>0.92495565728868046</v>
      </c>
      <c r="P104" s="126">
        <f t="shared" si="21"/>
        <v>7.5044342711319545E-2</v>
      </c>
      <c r="Q104" s="126">
        <f t="shared" si="21"/>
        <v>1</v>
      </c>
      <c r="R104" s="126">
        <f t="shared" si="21"/>
        <v>1</v>
      </c>
      <c r="S104" s="126">
        <f t="shared" si="21"/>
        <v>1</v>
      </c>
      <c r="T104" s="83"/>
      <c r="U104" s="83"/>
    </row>
    <row r="105" spans="5:23" x14ac:dyDescent="0.3">
      <c r="F105" t="s">
        <v>833</v>
      </c>
      <c r="G105" s="72" t="s">
        <v>178</v>
      </c>
      <c r="J105" s="98">
        <f t="shared" ref="J105:S105" si="22">IF(J$38 = "", J85, J85 * J$38)</f>
        <v>1</v>
      </c>
      <c r="K105" s="98">
        <f t="shared" si="22"/>
        <v>1</v>
      </c>
      <c r="L105" s="98">
        <f t="shared" si="22"/>
        <v>1</v>
      </c>
      <c r="M105" s="98">
        <f t="shared" si="22"/>
        <v>0.92495565728868046</v>
      </c>
      <c r="N105" s="98">
        <f t="shared" si="22"/>
        <v>0.92495565728868046</v>
      </c>
      <c r="O105" s="98">
        <f t="shared" si="22"/>
        <v>0.92495565728868046</v>
      </c>
      <c r="P105" s="98">
        <f t="shared" si="22"/>
        <v>7.5044342711319545E-2</v>
      </c>
      <c r="Q105" s="98">
        <f t="shared" si="22"/>
        <v>1</v>
      </c>
      <c r="R105" s="98">
        <f t="shared" si="22"/>
        <v>1</v>
      </c>
      <c r="S105" s="98">
        <f t="shared" si="22"/>
        <v>1</v>
      </c>
      <c r="T105" s="79"/>
      <c r="U105" s="79"/>
    </row>
    <row r="106" spans="5:23" x14ac:dyDescent="0.3">
      <c r="F106" t="s">
        <v>832</v>
      </c>
      <c r="G106" s="72" t="s">
        <v>178</v>
      </c>
      <c r="J106" s="98">
        <f t="shared" ref="J106:S106" si="23">IF(J$38 = "", J86, J86 * J$38)</f>
        <v>1</v>
      </c>
      <c r="K106" s="98">
        <f t="shared" si="23"/>
        <v>1</v>
      </c>
      <c r="L106" s="98">
        <f t="shared" si="23"/>
        <v>1</v>
      </c>
      <c r="M106" s="98">
        <f t="shared" si="23"/>
        <v>0.92495565728868046</v>
      </c>
      <c r="N106" s="98">
        <f t="shared" si="23"/>
        <v>0.92495565728868046</v>
      </c>
      <c r="O106" s="98">
        <f t="shared" si="23"/>
        <v>0.92495565728868046</v>
      </c>
      <c r="P106" s="98">
        <f t="shared" si="23"/>
        <v>7.5044342711319545E-2</v>
      </c>
      <c r="Q106" s="98">
        <f t="shared" si="23"/>
        <v>1</v>
      </c>
      <c r="R106" s="98">
        <f t="shared" si="23"/>
        <v>1</v>
      </c>
      <c r="S106" s="98">
        <f t="shared" si="23"/>
        <v>1</v>
      </c>
      <c r="T106" s="79"/>
      <c r="U106" s="79"/>
    </row>
    <row r="107" spans="5:23" x14ac:dyDescent="0.3">
      <c r="F107" t="s">
        <v>834</v>
      </c>
      <c r="G107" s="72" t="s">
        <v>178</v>
      </c>
      <c r="J107" s="98">
        <f t="shared" ref="J107:S107" si="24">IF(J$38 = "", J87, J87 * J$38)</f>
        <v>1</v>
      </c>
      <c r="K107" s="98">
        <f t="shared" si="24"/>
        <v>1</v>
      </c>
      <c r="L107" s="98">
        <f t="shared" si="24"/>
        <v>1</v>
      </c>
      <c r="M107" s="98">
        <f t="shared" si="24"/>
        <v>0.92495565728868046</v>
      </c>
      <c r="N107" s="98">
        <f t="shared" si="24"/>
        <v>0.92495565728868046</v>
      </c>
      <c r="O107" s="98">
        <f t="shared" si="24"/>
        <v>0.92495565728868046</v>
      </c>
      <c r="P107" s="98">
        <f t="shared" si="24"/>
        <v>7.5044342711319545E-2</v>
      </c>
      <c r="Q107" s="98">
        <f t="shared" si="24"/>
        <v>1</v>
      </c>
      <c r="R107" s="98">
        <f t="shared" si="24"/>
        <v>1</v>
      </c>
      <c r="S107" s="98">
        <f t="shared" si="24"/>
        <v>1</v>
      </c>
      <c r="T107" s="79"/>
      <c r="U107" s="79"/>
    </row>
    <row r="108" spans="5:23" x14ac:dyDescent="0.3">
      <c r="F108" t="s">
        <v>840</v>
      </c>
      <c r="G108" s="72" t="s">
        <v>178</v>
      </c>
      <c r="J108" s="98">
        <f t="shared" ref="J108:S108" si="25">IF(J$38 = "", J88, J88 * J$38)</f>
        <v>1</v>
      </c>
      <c r="K108" s="98">
        <f t="shared" si="25"/>
        <v>1</v>
      </c>
      <c r="L108" s="98">
        <f t="shared" si="25"/>
        <v>1</v>
      </c>
      <c r="M108" s="98">
        <f t="shared" si="25"/>
        <v>0.92495565728868046</v>
      </c>
      <c r="N108" s="98">
        <f t="shared" si="25"/>
        <v>0.92495565728868046</v>
      </c>
      <c r="O108" s="98">
        <f t="shared" si="25"/>
        <v>0.92495565728868046</v>
      </c>
      <c r="P108" s="98">
        <f t="shared" si="25"/>
        <v>7.5044342711319545E-2</v>
      </c>
      <c r="Q108" s="98">
        <f t="shared" si="25"/>
        <v>1</v>
      </c>
      <c r="R108" s="98">
        <f t="shared" si="25"/>
        <v>1</v>
      </c>
      <c r="S108" s="98">
        <f t="shared" si="25"/>
        <v>1</v>
      </c>
      <c r="T108" s="79"/>
      <c r="U108" s="79"/>
    </row>
    <row r="109" spans="5:23" x14ac:dyDescent="0.3">
      <c r="F109" t="s">
        <v>841</v>
      </c>
      <c r="G109" s="72" t="s">
        <v>178</v>
      </c>
      <c r="J109" s="98">
        <f t="shared" ref="J109:S109" si="26">IF(J$38 = "", J89, J89 * J$38)</f>
        <v>1</v>
      </c>
      <c r="K109" s="98">
        <f t="shared" si="26"/>
        <v>1</v>
      </c>
      <c r="L109" s="98">
        <f t="shared" si="26"/>
        <v>1</v>
      </c>
      <c r="M109" s="98">
        <f t="shared" si="26"/>
        <v>0.92495565728868046</v>
      </c>
      <c r="N109" s="98">
        <f t="shared" si="26"/>
        <v>0.92495565728868046</v>
      </c>
      <c r="O109" s="98">
        <f t="shared" si="26"/>
        <v>0.92495565728868046</v>
      </c>
      <c r="P109" s="98">
        <f t="shared" si="26"/>
        <v>7.5044342711319545E-2</v>
      </c>
      <c r="Q109" s="98">
        <f t="shared" si="26"/>
        <v>1</v>
      </c>
      <c r="R109" s="98">
        <f t="shared" si="26"/>
        <v>1</v>
      </c>
      <c r="S109" s="98">
        <f t="shared" si="26"/>
        <v>0</v>
      </c>
      <c r="T109" s="79"/>
      <c r="U109" s="79"/>
    </row>
    <row r="110" spans="5:23" x14ac:dyDescent="0.3">
      <c r="F110" t="s">
        <v>842</v>
      </c>
      <c r="G110" s="72" t="s">
        <v>178</v>
      </c>
      <c r="J110" s="98">
        <f t="shared" ref="J110:S110" si="27">IF(J$38 = "", J90, J90 * J$38)</f>
        <v>1</v>
      </c>
      <c r="K110" s="98">
        <f t="shared" si="27"/>
        <v>1</v>
      </c>
      <c r="L110" s="98">
        <f t="shared" si="27"/>
        <v>1</v>
      </c>
      <c r="M110" s="98">
        <f t="shared" si="27"/>
        <v>0.92495565728868046</v>
      </c>
      <c r="N110" s="98">
        <f t="shared" si="27"/>
        <v>0.92495565728868046</v>
      </c>
      <c r="O110" s="98">
        <f t="shared" si="27"/>
        <v>0.92495565728868046</v>
      </c>
      <c r="P110" s="98">
        <f t="shared" si="27"/>
        <v>7.5044342711319545E-2</v>
      </c>
      <c r="Q110" s="98">
        <f t="shared" si="27"/>
        <v>1</v>
      </c>
      <c r="R110" s="98">
        <f t="shared" si="27"/>
        <v>0</v>
      </c>
      <c r="S110" s="98">
        <f t="shared" si="27"/>
        <v>0</v>
      </c>
      <c r="T110" s="79"/>
      <c r="U110" s="79"/>
    </row>
    <row r="111" spans="5:23" x14ac:dyDescent="0.3">
      <c r="F111" t="s">
        <v>843</v>
      </c>
      <c r="G111" s="72" t="s">
        <v>178</v>
      </c>
      <c r="J111" s="98">
        <f t="shared" ref="J111:S111" si="28">IF(J$38 = "", J91, J91 * J$38)</f>
        <v>1</v>
      </c>
      <c r="K111" s="98">
        <f t="shared" si="28"/>
        <v>1</v>
      </c>
      <c r="L111" s="98">
        <f t="shared" si="28"/>
        <v>1</v>
      </c>
      <c r="M111" s="98">
        <f t="shared" si="28"/>
        <v>0.92495565728868046</v>
      </c>
      <c r="N111" s="98">
        <f t="shared" si="28"/>
        <v>0.92495565728868046</v>
      </c>
      <c r="O111" s="98">
        <f t="shared" si="28"/>
        <v>0.92495565728868046</v>
      </c>
      <c r="P111" s="98">
        <f t="shared" si="28"/>
        <v>7.5044342711319545E-2</v>
      </c>
      <c r="Q111" s="98">
        <f t="shared" si="28"/>
        <v>1</v>
      </c>
      <c r="R111" s="98">
        <f t="shared" si="28"/>
        <v>1</v>
      </c>
      <c r="S111" s="98">
        <f t="shared" si="28"/>
        <v>1</v>
      </c>
      <c r="T111" s="79"/>
      <c r="U111" s="79"/>
    </row>
    <row r="112" spans="5:23" x14ac:dyDescent="0.3">
      <c r="F112" t="s">
        <v>835</v>
      </c>
      <c r="G112" s="72" t="s">
        <v>178</v>
      </c>
      <c r="J112" s="98">
        <f t="shared" ref="J112:S112" si="29">IF(J$38 = "", J92, J92 * J$38)</f>
        <v>-1</v>
      </c>
      <c r="K112" s="98">
        <f t="shared" si="29"/>
        <v>-1</v>
      </c>
      <c r="L112" s="98">
        <f t="shared" si="29"/>
        <v>-1</v>
      </c>
      <c r="M112" s="98">
        <f t="shared" si="29"/>
        <v>-0.92495565728868046</v>
      </c>
      <c r="N112" s="98">
        <f t="shared" si="29"/>
        <v>-0.92495565728868046</v>
      </c>
      <c r="O112" s="98">
        <f t="shared" si="29"/>
        <v>-0.92495565728868046</v>
      </c>
      <c r="P112" s="98">
        <f t="shared" si="29"/>
        <v>-7.5044342711319545E-2</v>
      </c>
      <c r="Q112" s="98">
        <f t="shared" si="29"/>
        <v>-1</v>
      </c>
      <c r="R112" s="98">
        <f t="shared" si="29"/>
        <v>-1</v>
      </c>
      <c r="S112" s="98">
        <f t="shared" si="29"/>
        <v>0</v>
      </c>
      <c r="T112" s="79"/>
      <c r="U112" s="79"/>
    </row>
    <row r="113" spans="3:23" x14ac:dyDescent="0.3">
      <c r="F113" t="s">
        <v>836</v>
      </c>
      <c r="G113" s="72" t="s">
        <v>178</v>
      </c>
      <c r="J113" s="98">
        <f t="shared" ref="J113:S113" si="30">IF(J$38 = "", J93, J93 * J$38)</f>
        <v>-1</v>
      </c>
      <c r="K113" s="98">
        <f t="shared" si="30"/>
        <v>-1</v>
      </c>
      <c r="L113" s="98">
        <f t="shared" si="30"/>
        <v>-1</v>
      </c>
      <c r="M113" s="98">
        <f t="shared" si="30"/>
        <v>-0.92495565728868046</v>
      </c>
      <c r="N113" s="98">
        <f t="shared" si="30"/>
        <v>-0.92495565728868046</v>
      </c>
      <c r="O113" s="98">
        <f t="shared" si="30"/>
        <v>-0.92495565728868046</v>
      </c>
      <c r="P113" s="98">
        <f t="shared" si="30"/>
        <v>-7.5044342711319545E-2</v>
      </c>
      <c r="Q113" s="98">
        <f t="shared" si="30"/>
        <v>-1</v>
      </c>
      <c r="R113" s="98">
        <f t="shared" si="30"/>
        <v>0</v>
      </c>
      <c r="S113" s="98">
        <f t="shared" si="30"/>
        <v>0</v>
      </c>
      <c r="T113" s="79"/>
      <c r="U113" s="79"/>
    </row>
    <row r="114" spans="3:23" x14ac:dyDescent="0.3">
      <c r="F114" t="s">
        <v>837</v>
      </c>
      <c r="G114" s="72" t="s">
        <v>178</v>
      </c>
      <c r="J114" s="98">
        <f t="shared" ref="J114:S114" si="31">IF(J$38 = "", J94, J94 * J$38)</f>
        <v>-1</v>
      </c>
      <c r="K114" s="98">
        <f t="shared" si="31"/>
        <v>-1</v>
      </c>
      <c r="L114" s="98">
        <f t="shared" si="31"/>
        <v>-1</v>
      </c>
      <c r="M114" s="98">
        <f t="shared" si="31"/>
        <v>-0.92495565728868046</v>
      </c>
      <c r="N114" s="98">
        <f t="shared" si="31"/>
        <v>-0.92495565728868046</v>
      </c>
      <c r="O114" s="98">
        <f t="shared" si="31"/>
        <v>-0.92495565728868046</v>
      </c>
      <c r="P114" s="98">
        <f t="shared" si="31"/>
        <v>-7.5044342711319545E-2</v>
      </c>
      <c r="Q114" s="98">
        <f t="shared" si="31"/>
        <v>-1</v>
      </c>
      <c r="R114" s="98">
        <f t="shared" si="31"/>
        <v>-1</v>
      </c>
      <c r="S114" s="98">
        <f t="shared" si="31"/>
        <v>0</v>
      </c>
      <c r="T114" s="79"/>
      <c r="U114" s="79"/>
    </row>
    <row r="115" spans="3:23" x14ac:dyDescent="0.3">
      <c r="F115" t="s">
        <v>846</v>
      </c>
      <c r="G115" s="72" t="s">
        <v>178</v>
      </c>
      <c r="J115" s="98">
        <f t="shared" ref="J115:S115" si="32">IF(J$38 = "", J95, J95 * J$38)</f>
        <v>-1</v>
      </c>
      <c r="K115" s="98">
        <f t="shared" si="32"/>
        <v>-1</v>
      </c>
      <c r="L115" s="98">
        <f t="shared" si="32"/>
        <v>-1</v>
      </c>
      <c r="M115" s="98">
        <f t="shared" si="32"/>
        <v>-0.92495565728868046</v>
      </c>
      <c r="N115" s="98">
        <f t="shared" si="32"/>
        <v>-0.92495565728868046</v>
      </c>
      <c r="O115" s="98">
        <f t="shared" si="32"/>
        <v>-0.92495565728868046</v>
      </c>
      <c r="P115" s="98">
        <f t="shared" si="32"/>
        <v>-7.5044342711319545E-2</v>
      </c>
      <c r="Q115" s="98">
        <f t="shared" si="32"/>
        <v>-1</v>
      </c>
      <c r="R115" s="98">
        <f t="shared" si="32"/>
        <v>-1</v>
      </c>
      <c r="S115" s="98">
        <f t="shared" si="32"/>
        <v>0</v>
      </c>
      <c r="T115" s="79"/>
      <c r="U115" s="79"/>
    </row>
    <row r="116" spans="3:23" x14ac:dyDescent="0.3">
      <c r="F116" t="s">
        <v>838</v>
      </c>
      <c r="G116" s="72" t="s">
        <v>178</v>
      </c>
      <c r="J116" s="98">
        <f t="shared" ref="J116:S116" si="33">IF(J$38 = "", J96, J96 * J$38)</f>
        <v>-1</v>
      </c>
      <c r="K116" s="98">
        <f t="shared" si="33"/>
        <v>-1</v>
      </c>
      <c r="L116" s="98">
        <f t="shared" si="33"/>
        <v>-1</v>
      </c>
      <c r="M116" s="98">
        <f t="shared" si="33"/>
        <v>-0.92495565728868046</v>
      </c>
      <c r="N116" s="98">
        <f t="shared" si="33"/>
        <v>-0.92495565728868046</v>
      </c>
      <c r="O116" s="98">
        <f t="shared" si="33"/>
        <v>-0.92495565728868046</v>
      </c>
      <c r="P116" s="98">
        <f t="shared" si="33"/>
        <v>-7.5044342711319545E-2</v>
      </c>
      <c r="Q116" s="98">
        <f t="shared" si="33"/>
        <v>-1</v>
      </c>
      <c r="R116" s="98">
        <f t="shared" si="33"/>
        <v>0</v>
      </c>
      <c r="S116" s="98">
        <f t="shared" si="33"/>
        <v>0</v>
      </c>
      <c r="T116" s="79"/>
      <c r="U116" s="79"/>
    </row>
    <row r="117" spans="3:23" x14ac:dyDescent="0.3">
      <c r="F117" t="s">
        <v>845</v>
      </c>
      <c r="G117" s="72" t="s">
        <v>178</v>
      </c>
      <c r="J117" s="98">
        <f t="shared" ref="J117:S117" si="34">IF(J$38 = "", J97, J97 * J$38)</f>
        <v>-1</v>
      </c>
      <c r="K117" s="98">
        <f t="shared" si="34"/>
        <v>-1</v>
      </c>
      <c r="L117" s="98">
        <f t="shared" si="34"/>
        <v>-1</v>
      </c>
      <c r="M117" s="98">
        <f t="shared" si="34"/>
        <v>-0.92495565728868046</v>
      </c>
      <c r="N117" s="98">
        <f t="shared" si="34"/>
        <v>-0.92495565728868046</v>
      </c>
      <c r="O117" s="98">
        <f t="shared" si="34"/>
        <v>-0.92495565728868046</v>
      </c>
      <c r="P117" s="98">
        <f t="shared" si="34"/>
        <v>-7.5044342711319545E-2</v>
      </c>
      <c r="Q117" s="98">
        <f t="shared" si="34"/>
        <v>-1</v>
      </c>
      <c r="R117" s="98">
        <f t="shared" si="34"/>
        <v>0</v>
      </c>
      <c r="S117" s="98">
        <f t="shared" si="34"/>
        <v>0</v>
      </c>
      <c r="T117" s="79"/>
      <c r="U117" s="79"/>
    </row>
    <row r="118" spans="3:23" x14ac:dyDescent="0.3">
      <c r="F118" t="s">
        <v>839</v>
      </c>
      <c r="G118" s="72" t="s">
        <v>178</v>
      </c>
      <c r="J118" s="98">
        <f t="shared" ref="J118:S118" si="35">IF(J$38 = "", J98, J98 * J$38)</f>
        <v>-1</v>
      </c>
      <c r="K118" s="98">
        <f t="shared" si="35"/>
        <v>-1</v>
      </c>
      <c r="L118" s="98">
        <f t="shared" si="35"/>
        <v>-1</v>
      </c>
      <c r="M118" s="98">
        <f t="shared" si="35"/>
        <v>-0.92495565728868046</v>
      </c>
      <c r="N118" s="98">
        <f t="shared" si="35"/>
        <v>-0.92495565728868046</v>
      </c>
      <c r="O118" s="98">
        <f t="shared" si="35"/>
        <v>-0.92495565728868046</v>
      </c>
      <c r="P118" s="98">
        <f t="shared" si="35"/>
        <v>-7.5044342711319545E-2</v>
      </c>
      <c r="Q118" s="98">
        <f t="shared" si="35"/>
        <v>0</v>
      </c>
      <c r="R118" s="98">
        <f t="shared" si="35"/>
        <v>0</v>
      </c>
      <c r="S118" s="98">
        <f t="shared" si="35"/>
        <v>0</v>
      </c>
      <c r="T118" s="79"/>
      <c r="U118" s="79"/>
    </row>
    <row r="119" spans="3:23" x14ac:dyDescent="0.3">
      <c r="F119" s="37" t="s">
        <v>844</v>
      </c>
      <c r="G119" s="80" t="s">
        <v>178</v>
      </c>
      <c r="H119" s="37"/>
      <c r="I119" s="37"/>
      <c r="J119" s="100">
        <f t="shared" ref="J119:S119" si="36">IF(J$38 = "", J99, J99 * J$38)</f>
        <v>-1</v>
      </c>
      <c r="K119" s="100">
        <f t="shared" si="36"/>
        <v>-1</v>
      </c>
      <c r="L119" s="100">
        <f t="shared" si="36"/>
        <v>-1</v>
      </c>
      <c r="M119" s="100">
        <f t="shared" si="36"/>
        <v>-0.92495565728868046</v>
      </c>
      <c r="N119" s="100">
        <f t="shared" si="36"/>
        <v>-0.92495565728868046</v>
      </c>
      <c r="O119" s="100">
        <f t="shared" si="36"/>
        <v>-0.92495565728868046</v>
      </c>
      <c r="P119" s="100">
        <f t="shared" si="36"/>
        <v>-7.5044342711319545E-2</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406</v>
      </c>
      <c r="G123" s="13"/>
      <c r="J123" s="89"/>
      <c r="K123" s="89"/>
      <c r="L123" s="89"/>
      <c r="M123" s="89"/>
      <c r="N123" s="89"/>
      <c r="O123" s="89"/>
      <c r="P123" s="89"/>
      <c r="Q123" s="89"/>
      <c r="R123" s="89"/>
      <c r="S123" s="89"/>
      <c r="T123" s="89"/>
      <c r="U123" s="89"/>
      <c r="W123" s="3"/>
    </row>
    <row r="124" spans="3:23" x14ac:dyDescent="0.3">
      <c r="E124" s="29" t="s">
        <v>407</v>
      </c>
      <c r="G124" s="13"/>
      <c r="J124" s="89"/>
      <c r="K124" s="89"/>
      <c r="L124" s="89"/>
      <c r="M124" s="89"/>
      <c r="N124" s="89"/>
      <c r="O124" s="89"/>
      <c r="P124" s="89"/>
      <c r="Q124" s="89"/>
      <c r="R124" s="89"/>
      <c r="S124" s="89"/>
      <c r="T124" s="89"/>
      <c r="U124" s="89"/>
    </row>
    <row r="125" spans="3:23" x14ac:dyDescent="0.3">
      <c r="E125" s="29" t="s">
        <v>408</v>
      </c>
      <c r="G125" s="13"/>
      <c r="H125" s="128" t="s">
        <v>409</v>
      </c>
      <c r="J125" s="89"/>
      <c r="K125" s="89"/>
      <c r="L125" s="89"/>
      <c r="M125" s="89"/>
      <c r="N125" s="89"/>
      <c r="O125" s="89"/>
      <c r="P125" s="89"/>
      <c r="Q125" s="89"/>
      <c r="R125" s="89"/>
      <c r="S125" s="89"/>
      <c r="T125" s="89"/>
      <c r="U125" s="89"/>
    </row>
    <row r="126" spans="3:23" x14ac:dyDescent="0.3">
      <c r="F126" s="23" t="s">
        <v>831</v>
      </c>
      <c r="G126" s="78" t="s">
        <v>285</v>
      </c>
      <c r="H126" s="126">
        <f t="shared" ref="H126:H141" si="37">MAX(J126:S126)</f>
        <v>1.075</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1.075</v>
      </c>
      <c r="T126" s="83"/>
      <c r="U126" s="83"/>
      <c r="W126" s="3"/>
    </row>
    <row r="127" spans="3:23" x14ac:dyDescent="0.3">
      <c r="F127" t="s">
        <v>833</v>
      </c>
      <c r="G127" s="72" t="s">
        <v>285</v>
      </c>
      <c r="H127" s="98">
        <f t="shared" si="37"/>
        <v>1.075</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1.075</v>
      </c>
      <c r="T127" s="79"/>
      <c r="U127" s="79"/>
      <c r="W127" s="3"/>
    </row>
    <row r="128" spans="3:23" x14ac:dyDescent="0.3">
      <c r="F128" t="s">
        <v>832</v>
      </c>
      <c r="G128" s="72" t="s">
        <v>285</v>
      </c>
      <c r="H128" s="98">
        <f t="shared" si="37"/>
        <v>1.075</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1.075</v>
      </c>
      <c r="T128" s="79"/>
      <c r="U128" s="79"/>
      <c r="W128" s="3"/>
    </row>
    <row r="129" spans="5:23" x14ac:dyDescent="0.3">
      <c r="F129" t="s">
        <v>834</v>
      </c>
      <c r="G129" s="72" t="s">
        <v>285</v>
      </c>
      <c r="H129" s="98">
        <f t="shared" si="37"/>
        <v>1.075</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1.075</v>
      </c>
      <c r="T129" s="79"/>
      <c r="U129" s="79"/>
    </row>
    <row r="130" spans="5:23" x14ac:dyDescent="0.3">
      <c r="F130" t="s">
        <v>840</v>
      </c>
      <c r="G130" s="72" t="s">
        <v>285</v>
      </c>
      <c r="H130" s="98">
        <f t="shared" si="37"/>
        <v>1.075</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1.075</v>
      </c>
      <c r="T130" s="79"/>
      <c r="U130" s="79"/>
    </row>
    <row r="131" spans="5:23" x14ac:dyDescent="0.3">
      <c r="F131" t="s">
        <v>841</v>
      </c>
      <c r="G131" s="72" t="s">
        <v>285</v>
      </c>
      <c r="H131" s="98">
        <f t="shared" si="37"/>
        <v>1.046</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1.046</v>
      </c>
      <c r="S131" s="98">
        <f>OR(SUM(S70:$S70) = 1, SUM(S70:$S70) = -1) * S$29</f>
        <v>0</v>
      </c>
      <c r="T131" s="79"/>
      <c r="U131" s="79"/>
    </row>
    <row r="132" spans="5:23" x14ac:dyDescent="0.3">
      <c r="F132" t="s">
        <v>842</v>
      </c>
      <c r="G132" s="72" t="s">
        <v>285</v>
      </c>
      <c r="H132" s="98">
        <f t="shared" si="37"/>
        <v>1.034</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1.034</v>
      </c>
      <c r="R132" s="98">
        <f>OR(SUM(R71:$S71) = 1, SUM(R71:$S71) = -1) * R$29</f>
        <v>0</v>
      </c>
      <c r="S132" s="98">
        <f>OR(SUM(S71:$S71) = 1, SUM(S71:$S71) = -1) * S$29</f>
        <v>0</v>
      </c>
      <c r="T132" s="79"/>
      <c r="U132" s="79"/>
    </row>
    <row r="133" spans="5:23" x14ac:dyDescent="0.3">
      <c r="F133" t="s">
        <v>843</v>
      </c>
      <c r="G133" s="72" t="s">
        <v>285</v>
      </c>
      <c r="H133" s="98">
        <f t="shared" si="37"/>
        <v>1.075</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1.075</v>
      </c>
      <c r="T133" s="79"/>
      <c r="U133" s="79"/>
    </row>
    <row r="134" spans="5:23" x14ac:dyDescent="0.3">
      <c r="F134" t="s">
        <v>835</v>
      </c>
      <c r="G134" s="72" t="s">
        <v>285</v>
      </c>
      <c r="H134" s="98">
        <f t="shared" si="37"/>
        <v>1.075</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1.075</v>
      </c>
      <c r="T134" s="79"/>
      <c r="U134" s="79"/>
    </row>
    <row r="135" spans="5:23" x14ac:dyDescent="0.3">
      <c r="F135" t="s">
        <v>836</v>
      </c>
      <c r="G135" s="72" t="s">
        <v>285</v>
      </c>
      <c r="H135" s="98">
        <f t="shared" si="37"/>
        <v>1.046</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1.046</v>
      </c>
      <c r="S135" s="98">
        <f>OR(SUM(S74:$S74) = 1, SUM(S74:$S74) = -1) * S$29</f>
        <v>0</v>
      </c>
      <c r="T135" s="79"/>
      <c r="U135" s="79"/>
    </row>
    <row r="136" spans="5:23" x14ac:dyDescent="0.3">
      <c r="F136" t="s">
        <v>837</v>
      </c>
      <c r="G136" s="72" t="s">
        <v>285</v>
      </c>
      <c r="H136" s="98">
        <f t="shared" si="37"/>
        <v>1.075</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1.075</v>
      </c>
      <c r="T136" s="79"/>
      <c r="U136" s="79"/>
    </row>
    <row r="137" spans="5:23" x14ac:dyDescent="0.3">
      <c r="F137" t="s">
        <v>846</v>
      </c>
      <c r="G137" s="72" t="s">
        <v>285</v>
      </c>
      <c r="H137" s="98">
        <f t="shared" si="37"/>
        <v>1.075</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1.075</v>
      </c>
      <c r="T137" s="79"/>
      <c r="U137" s="79"/>
    </row>
    <row r="138" spans="5:23" x14ac:dyDescent="0.3">
      <c r="F138" t="s">
        <v>838</v>
      </c>
      <c r="G138" s="72" t="s">
        <v>285</v>
      </c>
      <c r="H138" s="98">
        <f t="shared" si="37"/>
        <v>1.046</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1.046</v>
      </c>
      <c r="S138" s="98">
        <f>OR(SUM(S77:$S77) = 1, SUM(S77:$S77) = -1) * S$29</f>
        <v>0</v>
      </c>
      <c r="T138" s="79"/>
      <c r="U138" s="79"/>
    </row>
    <row r="139" spans="5:23" x14ac:dyDescent="0.3">
      <c r="F139" t="s">
        <v>845</v>
      </c>
      <c r="G139" s="72" t="s">
        <v>285</v>
      </c>
      <c r="H139" s="98">
        <f t="shared" si="37"/>
        <v>1.046</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1.046</v>
      </c>
      <c r="S139" s="98">
        <f>OR(SUM(S78:$S78) = 1, SUM(S78:$S78) = -1) * S$29</f>
        <v>0</v>
      </c>
      <c r="T139" s="79"/>
      <c r="U139" s="79"/>
    </row>
    <row r="140" spans="5:23" x14ac:dyDescent="0.3">
      <c r="F140" t="s">
        <v>839</v>
      </c>
      <c r="G140" s="72" t="s">
        <v>285</v>
      </c>
      <c r="H140" s="98">
        <f t="shared" si="37"/>
        <v>1.034</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1.034</v>
      </c>
      <c r="R140" s="98">
        <f>OR(SUM(R79:$S79) = 1, SUM(R79:$S79) = -1) * R$29</f>
        <v>0</v>
      </c>
      <c r="S140" s="98">
        <f>OR(SUM(S79:$S79) = 1, SUM(S79:$S79) = -1) * S$29</f>
        <v>0</v>
      </c>
      <c r="T140" s="79"/>
      <c r="U140" s="79"/>
    </row>
    <row r="141" spans="5:23" x14ac:dyDescent="0.3">
      <c r="F141" s="37" t="s">
        <v>844</v>
      </c>
      <c r="G141" s="80" t="s">
        <v>285</v>
      </c>
      <c r="H141" s="100">
        <f t="shared" si="37"/>
        <v>1.034</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1.034</v>
      </c>
      <c r="R141" s="100">
        <f>OR(SUM(R80:$S80) = 1, SUM(R80:$S80) = -1) * R$29</f>
        <v>0</v>
      </c>
      <c r="S141" s="100">
        <f>OR(SUM(S80:$S80) = 1, SUM(S80:$S80) = -1) * S$29</f>
        <v>0</v>
      </c>
      <c r="T141" s="81"/>
      <c r="U141" s="81"/>
    </row>
    <row r="142" spans="5:23" x14ac:dyDescent="0.3">
      <c r="G142" s="13"/>
    </row>
    <row r="143" spans="5:23" x14ac:dyDescent="0.3">
      <c r="E143" s="32" t="s">
        <v>410</v>
      </c>
      <c r="G143" s="13"/>
      <c r="I143" t="s">
        <v>156</v>
      </c>
      <c r="W143" s="3" t="s">
        <v>411</v>
      </c>
    </row>
    <row r="144" spans="5:23" x14ac:dyDescent="0.3">
      <c r="E144" s="29" t="s">
        <v>403</v>
      </c>
      <c r="G144" s="13"/>
    </row>
    <row r="145" spans="6:23" x14ac:dyDescent="0.3">
      <c r="F145" s="23" t="s">
        <v>831</v>
      </c>
      <c r="G145" s="78" t="s">
        <v>285</v>
      </c>
      <c r="H145" s="129"/>
      <c r="I145" s="23"/>
      <c r="J145" s="101">
        <f t="shared" ref="J145:S145" si="38">$H126 * J104</f>
        <v>1.075</v>
      </c>
      <c r="K145" s="101">
        <f t="shared" si="38"/>
        <v>1.075</v>
      </c>
      <c r="L145" s="101">
        <f t="shared" si="38"/>
        <v>1.075</v>
      </c>
      <c r="M145" s="101">
        <f t="shared" si="38"/>
        <v>0.99432733158533149</v>
      </c>
      <c r="N145" s="101">
        <f t="shared" si="38"/>
        <v>0.99432733158533149</v>
      </c>
      <c r="O145" s="101">
        <f t="shared" si="38"/>
        <v>0.99432733158533149</v>
      </c>
      <c r="P145" s="101">
        <f t="shared" si="38"/>
        <v>8.0672668414668511E-2</v>
      </c>
      <c r="Q145" s="101">
        <f t="shared" si="38"/>
        <v>1.075</v>
      </c>
      <c r="R145" s="101">
        <f t="shared" si="38"/>
        <v>1.075</v>
      </c>
      <c r="S145" s="101">
        <f t="shared" si="38"/>
        <v>1.075</v>
      </c>
      <c r="T145" s="83"/>
      <c r="U145" s="83"/>
    </row>
    <row r="146" spans="6:23" x14ac:dyDescent="0.3">
      <c r="F146" t="s">
        <v>833</v>
      </c>
      <c r="G146" s="72" t="s">
        <v>285</v>
      </c>
      <c r="H146" s="63"/>
      <c r="J146" s="121">
        <f t="shared" ref="J146:S146" si="39">$H127 * J105</f>
        <v>1.075</v>
      </c>
      <c r="K146" s="121">
        <f t="shared" si="39"/>
        <v>1.075</v>
      </c>
      <c r="L146" s="121">
        <f t="shared" si="39"/>
        <v>1.075</v>
      </c>
      <c r="M146" s="121">
        <f t="shared" si="39"/>
        <v>0.99432733158533149</v>
      </c>
      <c r="N146" s="121">
        <f t="shared" si="39"/>
        <v>0.99432733158533149</v>
      </c>
      <c r="O146" s="121">
        <f t="shared" si="39"/>
        <v>0.99432733158533149</v>
      </c>
      <c r="P146" s="121">
        <f t="shared" si="39"/>
        <v>8.0672668414668511E-2</v>
      </c>
      <c r="Q146" s="121">
        <f t="shared" si="39"/>
        <v>1.075</v>
      </c>
      <c r="R146" s="121">
        <f t="shared" si="39"/>
        <v>1.075</v>
      </c>
      <c r="S146" s="121">
        <f t="shared" si="39"/>
        <v>1.075</v>
      </c>
      <c r="T146" s="79"/>
      <c r="U146" s="79"/>
      <c r="W146" s="3"/>
    </row>
    <row r="147" spans="6:23" x14ac:dyDescent="0.3">
      <c r="F147" t="s">
        <v>832</v>
      </c>
      <c r="G147" s="72" t="s">
        <v>285</v>
      </c>
      <c r="H147" s="63"/>
      <c r="J147" s="121">
        <f t="shared" ref="J147:S147" si="40">$H128 * J106</f>
        <v>1.075</v>
      </c>
      <c r="K147" s="121">
        <f t="shared" si="40"/>
        <v>1.075</v>
      </c>
      <c r="L147" s="121">
        <f t="shared" si="40"/>
        <v>1.075</v>
      </c>
      <c r="M147" s="121">
        <f t="shared" si="40"/>
        <v>0.99432733158533149</v>
      </c>
      <c r="N147" s="121">
        <f t="shared" si="40"/>
        <v>0.99432733158533149</v>
      </c>
      <c r="O147" s="121">
        <f t="shared" si="40"/>
        <v>0.99432733158533149</v>
      </c>
      <c r="P147" s="121">
        <f t="shared" si="40"/>
        <v>8.0672668414668511E-2</v>
      </c>
      <c r="Q147" s="121">
        <f t="shared" si="40"/>
        <v>1.075</v>
      </c>
      <c r="R147" s="121">
        <f t="shared" si="40"/>
        <v>1.075</v>
      </c>
      <c r="S147" s="121">
        <f t="shared" si="40"/>
        <v>1.075</v>
      </c>
      <c r="T147" s="79"/>
      <c r="U147" s="79"/>
      <c r="W147" s="3"/>
    </row>
    <row r="148" spans="6:23" x14ac:dyDescent="0.3">
      <c r="F148" t="s">
        <v>834</v>
      </c>
      <c r="G148" s="72" t="s">
        <v>285</v>
      </c>
      <c r="H148" s="63"/>
      <c r="J148" s="121">
        <f t="shared" ref="J148:S148" si="41">$H129 * J107</f>
        <v>1.075</v>
      </c>
      <c r="K148" s="121">
        <f t="shared" si="41"/>
        <v>1.075</v>
      </c>
      <c r="L148" s="121">
        <f t="shared" si="41"/>
        <v>1.075</v>
      </c>
      <c r="M148" s="121">
        <f t="shared" si="41"/>
        <v>0.99432733158533149</v>
      </c>
      <c r="N148" s="121">
        <f t="shared" si="41"/>
        <v>0.99432733158533149</v>
      </c>
      <c r="O148" s="121">
        <f t="shared" si="41"/>
        <v>0.99432733158533149</v>
      </c>
      <c r="P148" s="121">
        <f t="shared" si="41"/>
        <v>8.0672668414668511E-2</v>
      </c>
      <c r="Q148" s="121">
        <f t="shared" si="41"/>
        <v>1.075</v>
      </c>
      <c r="R148" s="121">
        <f t="shared" si="41"/>
        <v>1.075</v>
      </c>
      <c r="S148" s="121">
        <f t="shared" si="41"/>
        <v>1.075</v>
      </c>
      <c r="T148" s="79"/>
      <c r="U148" s="79"/>
    </row>
    <row r="149" spans="6:23" x14ac:dyDescent="0.3">
      <c r="F149" t="s">
        <v>840</v>
      </c>
      <c r="G149" s="72" t="s">
        <v>285</v>
      </c>
      <c r="H149" s="63"/>
      <c r="J149" s="121">
        <f t="shared" ref="J149:S149" si="42">$H130 * J108</f>
        <v>1.075</v>
      </c>
      <c r="K149" s="121">
        <f t="shared" si="42"/>
        <v>1.075</v>
      </c>
      <c r="L149" s="121">
        <f t="shared" si="42"/>
        <v>1.075</v>
      </c>
      <c r="M149" s="121">
        <f t="shared" si="42"/>
        <v>0.99432733158533149</v>
      </c>
      <c r="N149" s="121">
        <f t="shared" si="42"/>
        <v>0.99432733158533149</v>
      </c>
      <c r="O149" s="121">
        <f t="shared" si="42"/>
        <v>0.99432733158533149</v>
      </c>
      <c r="P149" s="121">
        <f t="shared" si="42"/>
        <v>8.0672668414668511E-2</v>
      </c>
      <c r="Q149" s="121">
        <f t="shared" si="42"/>
        <v>1.075</v>
      </c>
      <c r="R149" s="121">
        <f t="shared" si="42"/>
        <v>1.075</v>
      </c>
      <c r="S149" s="121">
        <f t="shared" si="42"/>
        <v>1.075</v>
      </c>
      <c r="T149" s="79"/>
      <c r="U149" s="79"/>
    </row>
    <row r="150" spans="6:23" x14ac:dyDescent="0.3">
      <c r="F150" t="s">
        <v>841</v>
      </c>
      <c r="G150" s="72" t="s">
        <v>285</v>
      </c>
      <c r="H150" s="63"/>
      <c r="J150" s="121">
        <f t="shared" ref="J150:S150" si="43">$H131 * J109</f>
        <v>1.046</v>
      </c>
      <c r="K150" s="121">
        <f t="shared" si="43"/>
        <v>1.046</v>
      </c>
      <c r="L150" s="121">
        <f t="shared" si="43"/>
        <v>1.046</v>
      </c>
      <c r="M150" s="121">
        <f t="shared" si="43"/>
        <v>0.96750361752395975</v>
      </c>
      <c r="N150" s="121">
        <f t="shared" si="43"/>
        <v>0.96750361752395975</v>
      </c>
      <c r="O150" s="121">
        <f t="shared" si="43"/>
        <v>0.96750361752395975</v>
      </c>
      <c r="P150" s="121">
        <f t="shared" si="43"/>
        <v>7.8496382476040252E-2</v>
      </c>
      <c r="Q150" s="121">
        <f t="shared" si="43"/>
        <v>1.046</v>
      </c>
      <c r="R150" s="121">
        <f t="shared" si="43"/>
        <v>1.046</v>
      </c>
      <c r="S150" s="121">
        <f t="shared" si="43"/>
        <v>0</v>
      </c>
      <c r="T150" s="79"/>
      <c r="U150" s="79"/>
    </row>
    <row r="151" spans="6:23" x14ac:dyDescent="0.3">
      <c r="F151" t="s">
        <v>842</v>
      </c>
      <c r="G151" s="72" t="s">
        <v>285</v>
      </c>
      <c r="H151" s="63"/>
      <c r="J151" s="121">
        <f t="shared" ref="J151:S151" si="44">$H132 * J110</f>
        <v>1.034</v>
      </c>
      <c r="K151" s="121">
        <f t="shared" si="44"/>
        <v>1.034</v>
      </c>
      <c r="L151" s="121">
        <f t="shared" si="44"/>
        <v>1.034</v>
      </c>
      <c r="M151" s="121">
        <f t="shared" si="44"/>
        <v>0.95640414963649567</v>
      </c>
      <c r="N151" s="121">
        <f t="shared" si="44"/>
        <v>0.95640414963649567</v>
      </c>
      <c r="O151" s="121">
        <f t="shared" si="44"/>
        <v>0.95640414963649567</v>
      </c>
      <c r="P151" s="121">
        <f t="shared" si="44"/>
        <v>7.7595850363504415E-2</v>
      </c>
      <c r="Q151" s="121">
        <f t="shared" si="44"/>
        <v>1.034</v>
      </c>
      <c r="R151" s="121">
        <f t="shared" si="44"/>
        <v>0</v>
      </c>
      <c r="S151" s="121">
        <f t="shared" si="44"/>
        <v>0</v>
      </c>
      <c r="T151" s="79"/>
      <c r="U151" s="79"/>
    </row>
    <row r="152" spans="6:23" x14ac:dyDescent="0.3">
      <c r="F152" t="s">
        <v>843</v>
      </c>
      <c r="G152" s="72" t="s">
        <v>285</v>
      </c>
      <c r="H152" s="63"/>
      <c r="J152" s="121">
        <f t="shared" ref="J152:S152" si="45">$H133 * J111</f>
        <v>1.075</v>
      </c>
      <c r="K152" s="121">
        <f t="shared" si="45"/>
        <v>1.075</v>
      </c>
      <c r="L152" s="121">
        <f t="shared" si="45"/>
        <v>1.075</v>
      </c>
      <c r="M152" s="121">
        <f t="shared" si="45"/>
        <v>0.99432733158533149</v>
      </c>
      <c r="N152" s="121">
        <f t="shared" si="45"/>
        <v>0.99432733158533149</v>
      </c>
      <c r="O152" s="121">
        <f t="shared" si="45"/>
        <v>0.99432733158533149</v>
      </c>
      <c r="P152" s="121">
        <f t="shared" si="45"/>
        <v>8.0672668414668511E-2</v>
      </c>
      <c r="Q152" s="121">
        <f t="shared" si="45"/>
        <v>1.075</v>
      </c>
      <c r="R152" s="121">
        <f t="shared" si="45"/>
        <v>1.075</v>
      </c>
      <c r="S152" s="121">
        <f t="shared" si="45"/>
        <v>1.075</v>
      </c>
      <c r="T152" s="79"/>
      <c r="U152" s="79"/>
    </row>
    <row r="153" spans="6:23" x14ac:dyDescent="0.3">
      <c r="F153" t="s">
        <v>835</v>
      </c>
      <c r="G153" s="72" t="s">
        <v>285</v>
      </c>
      <c r="H153" s="63"/>
      <c r="J153" s="121">
        <f t="shared" ref="J153:S153" si="46">$H134 * J112</f>
        <v>-1.075</v>
      </c>
      <c r="K153" s="121">
        <f t="shared" si="46"/>
        <v>-1.075</v>
      </c>
      <c r="L153" s="121">
        <f t="shared" si="46"/>
        <v>-1.075</v>
      </c>
      <c r="M153" s="121">
        <f t="shared" si="46"/>
        <v>-0.99432733158533149</v>
      </c>
      <c r="N153" s="121">
        <f t="shared" si="46"/>
        <v>-0.99432733158533149</v>
      </c>
      <c r="O153" s="121">
        <f t="shared" si="46"/>
        <v>-0.99432733158533149</v>
      </c>
      <c r="P153" s="121">
        <f t="shared" si="46"/>
        <v>-8.0672668414668511E-2</v>
      </c>
      <c r="Q153" s="121">
        <f t="shared" si="46"/>
        <v>-1.075</v>
      </c>
      <c r="R153" s="121">
        <f t="shared" si="46"/>
        <v>-1.075</v>
      </c>
      <c r="S153" s="121">
        <f t="shared" si="46"/>
        <v>0</v>
      </c>
      <c r="T153" s="79"/>
      <c r="U153" s="79"/>
    </row>
    <row r="154" spans="6:23" x14ac:dyDescent="0.3">
      <c r="F154" t="s">
        <v>836</v>
      </c>
      <c r="G154" s="72" t="s">
        <v>285</v>
      </c>
      <c r="H154" s="63"/>
      <c r="J154" s="121">
        <f t="shared" ref="J154:S154" si="47">$H135 * J113</f>
        <v>-1.046</v>
      </c>
      <c r="K154" s="121">
        <f t="shared" si="47"/>
        <v>-1.046</v>
      </c>
      <c r="L154" s="121">
        <f t="shared" si="47"/>
        <v>-1.046</v>
      </c>
      <c r="M154" s="121">
        <f t="shared" si="47"/>
        <v>-0.96750361752395975</v>
      </c>
      <c r="N154" s="121">
        <f t="shared" si="47"/>
        <v>-0.96750361752395975</v>
      </c>
      <c r="O154" s="121">
        <f t="shared" si="47"/>
        <v>-0.96750361752395975</v>
      </c>
      <c r="P154" s="121">
        <f t="shared" si="47"/>
        <v>-7.8496382476040252E-2</v>
      </c>
      <c r="Q154" s="121">
        <f t="shared" si="47"/>
        <v>-1.046</v>
      </c>
      <c r="R154" s="121">
        <f t="shared" si="47"/>
        <v>0</v>
      </c>
      <c r="S154" s="121">
        <f t="shared" si="47"/>
        <v>0</v>
      </c>
      <c r="T154" s="79"/>
      <c r="U154" s="79"/>
    </row>
    <row r="155" spans="6:23" x14ac:dyDescent="0.3">
      <c r="F155" t="s">
        <v>837</v>
      </c>
      <c r="G155" s="72" t="s">
        <v>285</v>
      </c>
      <c r="H155" s="63"/>
      <c r="J155" s="121">
        <f t="shared" ref="J155:S155" si="48">$H136 * J114</f>
        <v>-1.075</v>
      </c>
      <c r="K155" s="121">
        <f t="shared" si="48"/>
        <v>-1.075</v>
      </c>
      <c r="L155" s="121">
        <f t="shared" si="48"/>
        <v>-1.075</v>
      </c>
      <c r="M155" s="121">
        <f t="shared" si="48"/>
        <v>-0.99432733158533149</v>
      </c>
      <c r="N155" s="121">
        <f t="shared" si="48"/>
        <v>-0.99432733158533149</v>
      </c>
      <c r="O155" s="121">
        <f t="shared" si="48"/>
        <v>-0.99432733158533149</v>
      </c>
      <c r="P155" s="121">
        <f t="shared" si="48"/>
        <v>-8.0672668414668511E-2</v>
      </c>
      <c r="Q155" s="121">
        <f t="shared" si="48"/>
        <v>-1.075</v>
      </c>
      <c r="R155" s="121">
        <f t="shared" si="48"/>
        <v>-1.075</v>
      </c>
      <c r="S155" s="121">
        <f t="shared" si="48"/>
        <v>0</v>
      </c>
      <c r="T155" s="79"/>
      <c r="U155" s="79"/>
    </row>
    <row r="156" spans="6:23" x14ac:dyDescent="0.3">
      <c r="F156" t="s">
        <v>846</v>
      </c>
      <c r="G156" s="72" t="s">
        <v>285</v>
      </c>
      <c r="H156" s="63"/>
      <c r="J156" s="121">
        <f t="shared" ref="J156:S156" si="49">$H137 * J115</f>
        <v>-1.075</v>
      </c>
      <c r="K156" s="121">
        <f t="shared" si="49"/>
        <v>-1.075</v>
      </c>
      <c r="L156" s="121">
        <f t="shared" si="49"/>
        <v>-1.075</v>
      </c>
      <c r="M156" s="121">
        <f t="shared" si="49"/>
        <v>-0.99432733158533149</v>
      </c>
      <c r="N156" s="121">
        <f t="shared" si="49"/>
        <v>-0.99432733158533149</v>
      </c>
      <c r="O156" s="121">
        <f t="shared" si="49"/>
        <v>-0.99432733158533149</v>
      </c>
      <c r="P156" s="121">
        <f t="shared" si="49"/>
        <v>-8.0672668414668511E-2</v>
      </c>
      <c r="Q156" s="121">
        <f t="shared" si="49"/>
        <v>-1.075</v>
      </c>
      <c r="R156" s="121">
        <f t="shared" si="49"/>
        <v>-1.075</v>
      </c>
      <c r="S156" s="121">
        <f t="shared" si="49"/>
        <v>0</v>
      </c>
      <c r="T156" s="79"/>
      <c r="U156" s="79"/>
    </row>
    <row r="157" spans="6:23" x14ac:dyDescent="0.3">
      <c r="F157" t="s">
        <v>838</v>
      </c>
      <c r="G157" s="72" t="s">
        <v>285</v>
      </c>
      <c r="H157" s="63"/>
      <c r="J157" s="121">
        <f t="shared" ref="J157:S157" si="50">$H138 * J116</f>
        <v>-1.046</v>
      </c>
      <c r="K157" s="121">
        <f t="shared" si="50"/>
        <v>-1.046</v>
      </c>
      <c r="L157" s="121">
        <f t="shared" si="50"/>
        <v>-1.046</v>
      </c>
      <c r="M157" s="121">
        <f t="shared" si="50"/>
        <v>-0.96750361752395975</v>
      </c>
      <c r="N157" s="121">
        <f t="shared" si="50"/>
        <v>-0.96750361752395975</v>
      </c>
      <c r="O157" s="121">
        <f t="shared" si="50"/>
        <v>-0.96750361752395975</v>
      </c>
      <c r="P157" s="121">
        <f t="shared" si="50"/>
        <v>-7.8496382476040252E-2</v>
      </c>
      <c r="Q157" s="121">
        <f t="shared" si="50"/>
        <v>-1.046</v>
      </c>
      <c r="R157" s="121">
        <f t="shared" si="50"/>
        <v>0</v>
      </c>
      <c r="S157" s="121">
        <f t="shared" si="50"/>
        <v>0</v>
      </c>
      <c r="T157" s="79"/>
      <c r="U157" s="79"/>
    </row>
    <row r="158" spans="6:23" x14ac:dyDescent="0.3">
      <c r="F158" t="s">
        <v>845</v>
      </c>
      <c r="G158" s="72" t="s">
        <v>285</v>
      </c>
      <c r="H158" s="63"/>
      <c r="J158" s="121">
        <f t="shared" ref="J158:S158" si="51">$H139 * J117</f>
        <v>-1.046</v>
      </c>
      <c r="K158" s="121">
        <f t="shared" si="51"/>
        <v>-1.046</v>
      </c>
      <c r="L158" s="121">
        <f t="shared" si="51"/>
        <v>-1.046</v>
      </c>
      <c r="M158" s="121">
        <f t="shared" si="51"/>
        <v>-0.96750361752395975</v>
      </c>
      <c r="N158" s="121">
        <f t="shared" si="51"/>
        <v>-0.96750361752395975</v>
      </c>
      <c r="O158" s="121">
        <f t="shared" si="51"/>
        <v>-0.96750361752395975</v>
      </c>
      <c r="P158" s="121">
        <f t="shared" si="51"/>
        <v>-7.8496382476040252E-2</v>
      </c>
      <c r="Q158" s="121">
        <f t="shared" si="51"/>
        <v>-1.046</v>
      </c>
      <c r="R158" s="121">
        <f t="shared" si="51"/>
        <v>0</v>
      </c>
      <c r="S158" s="121">
        <f t="shared" si="51"/>
        <v>0</v>
      </c>
      <c r="T158" s="79"/>
      <c r="U158" s="79"/>
    </row>
    <row r="159" spans="6:23" x14ac:dyDescent="0.3">
      <c r="F159" t="s">
        <v>839</v>
      </c>
      <c r="G159" s="72" t="s">
        <v>285</v>
      </c>
      <c r="H159" s="63"/>
      <c r="J159" s="121">
        <f t="shared" ref="J159:S159" si="52">$H140 * J118</f>
        <v>-1.034</v>
      </c>
      <c r="K159" s="121">
        <f t="shared" si="52"/>
        <v>-1.034</v>
      </c>
      <c r="L159" s="121">
        <f t="shared" si="52"/>
        <v>-1.034</v>
      </c>
      <c r="M159" s="121">
        <f t="shared" si="52"/>
        <v>-0.95640414963649567</v>
      </c>
      <c r="N159" s="121">
        <f t="shared" si="52"/>
        <v>-0.95640414963649567</v>
      </c>
      <c r="O159" s="121">
        <f t="shared" si="52"/>
        <v>-0.95640414963649567</v>
      </c>
      <c r="P159" s="121">
        <f t="shared" si="52"/>
        <v>-7.7595850363504415E-2</v>
      </c>
      <c r="Q159" s="121">
        <f t="shared" si="52"/>
        <v>0</v>
      </c>
      <c r="R159" s="121">
        <f t="shared" si="52"/>
        <v>0</v>
      </c>
      <c r="S159" s="121">
        <f t="shared" si="52"/>
        <v>0</v>
      </c>
      <c r="T159" s="79"/>
      <c r="U159" s="79"/>
    </row>
    <row r="160" spans="6:23" x14ac:dyDescent="0.3">
      <c r="F160" s="37" t="s">
        <v>844</v>
      </c>
      <c r="G160" s="80" t="s">
        <v>285</v>
      </c>
      <c r="H160" s="130"/>
      <c r="I160" s="37"/>
      <c r="J160" s="131">
        <f t="shared" ref="J160:S160" si="53">$H141 * J119</f>
        <v>-1.034</v>
      </c>
      <c r="K160" s="131">
        <f t="shared" si="53"/>
        <v>-1.034</v>
      </c>
      <c r="L160" s="131">
        <f t="shared" si="53"/>
        <v>-1.034</v>
      </c>
      <c r="M160" s="131">
        <f t="shared" si="53"/>
        <v>-0.95640414963649567</v>
      </c>
      <c r="N160" s="131">
        <f t="shared" si="53"/>
        <v>-0.95640414963649567</v>
      </c>
      <c r="O160" s="131">
        <f t="shared" si="53"/>
        <v>-0.95640414963649567</v>
      </c>
      <c r="P160" s="131">
        <f t="shared" si="53"/>
        <v>-7.7595850363504415E-2</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406</v>
      </c>
      <c r="G162" s="13"/>
      <c r="I162" t="s">
        <v>156</v>
      </c>
      <c r="J162" s="89"/>
      <c r="K162" s="89"/>
      <c r="L162" s="89"/>
      <c r="M162" s="89"/>
      <c r="N162" s="89"/>
      <c r="O162" s="89"/>
      <c r="P162" s="89"/>
      <c r="Q162" s="89"/>
      <c r="R162" s="89"/>
      <c r="S162" s="89"/>
      <c r="T162" s="89"/>
      <c r="U162" s="89"/>
      <c r="W162" s="3" t="s">
        <v>411</v>
      </c>
    </row>
    <row r="163" spans="5:23" x14ac:dyDescent="0.3">
      <c r="E163" s="29" t="s">
        <v>403</v>
      </c>
      <c r="G163" s="13"/>
      <c r="J163" s="89"/>
      <c r="K163" s="89"/>
      <c r="L163" s="89"/>
      <c r="M163" s="89"/>
      <c r="N163" s="89"/>
      <c r="O163" s="89"/>
      <c r="P163" s="89"/>
      <c r="Q163" s="89"/>
      <c r="R163" s="89"/>
      <c r="S163" s="89"/>
      <c r="T163" s="89"/>
      <c r="U163" s="89"/>
    </row>
    <row r="164" spans="5:23" x14ac:dyDescent="0.3">
      <c r="F164" s="23" t="s">
        <v>831</v>
      </c>
      <c r="G164" s="78" t="s">
        <v>285</v>
      </c>
      <c r="H164" s="129"/>
      <c r="I164" s="23"/>
      <c r="J164" s="83"/>
      <c r="K164" s="83"/>
      <c r="L164" s="83"/>
      <c r="M164" s="83"/>
      <c r="N164" s="83"/>
      <c r="O164" s="83"/>
      <c r="P164" s="83"/>
      <c r="Q164" s="83"/>
      <c r="R164" s="83"/>
      <c r="S164" s="83"/>
      <c r="T164" s="83"/>
      <c r="U164" s="83"/>
    </row>
    <row r="165" spans="5:23" x14ac:dyDescent="0.3">
      <c r="F165" t="s">
        <v>833</v>
      </c>
      <c r="G165" s="72" t="s">
        <v>285</v>
      </c>
      <c r="H165" s="63"/>
      <c r="J165" s="79"/>
      <c r="K165" s="79"/>
      <c r="L165" s="79"/>
      <c r="M165" s="79"/>
      <c r="N165" s="79"/>
      <c r="O165" s="79"/>
      <c r="P165" s="79"/>
      <c r="Q165" s="79"/>
      <c r="R165" s="79"/>
      <c r="S165" s="79"/>
      <c r="T165" s="79"/>
      <c r="U165" s="79"/>
      <c r="W165" s="3"/>
    </row>
    <row r="166" spans="5:23" x14ac:dyDescent="0.3">
      <c r="F166" t="s">
        <v>832</v>
      </c>
      <c r="G166" s="72" t="s">
        <v>285</v>
      </c>
      <c r="H166" s="63"/>
      <c r="J166" s="79"/>
      <c r="K166" s="79"/>
      <c r="L166" s="79"/>
      <c r="M166" s="79"/>
      <c r="N166" s="79"/>
      <c r="O166" s="79"/>
      <c r="P166" s="79"/>
      <c r="Q166" s="79"/>
      <c r="R166" s="79"/>
      <c r="S166" s="79"/>
      <c r="T166" s="79"/>
      <c r="U166" s="79"/>
      <c r="W166" s="3"/>
    </row>
    <row r="167" spans="5:23" x14ac:dyDescent="0.3">
      <c r="F167" t="s">
        <v>834</v>
      </c>
      <c r="G167" s="72" t="s">
        <v>285</v>
      </c>
      <c r="H167" s="63"/>
      <c r="J167" s="79"/>
      <c r="K167" s="79"/>
      <c r="L167" s="79"/>
      <c r="M167" s="79"/>
      <c r="N167" s="79"/>
      <c r="O167" s="79"/>
      <c r="P167" s="79"/>
      <c r="Q167" s="79"/>
      <c r="R167" s="79"/>
      <c r="S167" s="79"/>
      <c r="T167" s="79"/>
      <c r="U167" s="79"/>
    </row>
    <row r="168" spans="5:23" x14ac:dyDescent="0.3">
      <c r="F168" t="s">
        <v>840</v>
      </c>
      <c r="G168" s="72" t="s">
        <v>285</v>
      </c>
      <c r="H168" s="63"/>
      <c r="J168" s="79"/>
      <c r="K168" s="79"/>
      <c r="L168" s="79"/>
      <c r="M168" s="79"/>
      <c r="N168" s="79"/>
      <c r="O168" s="79"/>
      <c r="P168" s="79"/>
      <c r="Q168" s="79"/>
      <c r="R168" s="79"/>
      <c r="S168" s="79"/>
      <c r="T168" s="79"/>
      <c r="U168" s="79"/>
    </row>
    <row r="169" spans="5:23" x14ac:dyDescent="0.3">
      <c r="F169" t="s">
        <v>841</v>
      </c>
      <c r="G169" s="72" t="s">
        <v>285</v>
      </c>
      <c r="H169" s="63"/>
      <c r="J169" s="79"/>
      <c r="K169" s="79"/>
      <c r="L169" s="79"/>
      <c r="M169" s="79"/>
      <c r="N169" s="79"/>
      <c r="O169" s="79"/>
      <c r="P169" s="79"/>
      <c r="Q169" s="79"/>
      <c r="R169" s="79"/>
      <c r="S169" s="79"/>
      <c r="T169" s="79"/>
      <c r="U169" s="79"/>
    </row>
    <row r="170" spans="5:23" x14ac:dyDescent="0.3">
      <c r="F170" t="s">
        <v>842</v>
      </c>
      <c r="G170" s="72" t="s">
        <v>285</v>
      </c>
      <c r="H170" s="63"/>
      <c r="J170" s="79"/>
      <c r="K170" s="79"/>
      <c r="L170" s="79"/>
      <c r="M170" s="79"/>
      <c r="N170" s="79"/>
      <c r="O170" s="79"/>
      <c r="P170" s="79"/>
      <c r="Q170" s="79"/>
      <c r="R170" s="79"/>
      <c r="S170" s="79"/>
      <c r="T170" s="79"/>
      <c r="U170" s="79"/>
    </row>
    <row r="171" spans="5:23" x14ac:dyDescent="0.3">
      <c r="F171" t="s">
        <v>843</v>
      </c>
      <c r="G171" s="72" t="s">
        <v>285</v>
      </c>
      <c r="H171" s="63"/>
      <c r="J171" s="79"/>
      <c r="K171" s="79"/>
      <c r="L171" s="79"/>
      <c r="M171" s="79"/>
      <c r="N171" s="79"/>
      <c r="O171" s="79"/>
      <c r="P171" s="79"/>
      <c r="Q171" s="79"/>
      <c r="R171" s="79"/>
      <c r="S171" s="79"/>
      <c r="T171" s="79"/>
      <c r="U171" s="79"/>
    </row>
    <row r="172" spans="5:23" x14ac:dyDescent="0.3">
      <c r="F172" t="s">
        <v>835</v>
      </c>
      <c r="G172" s="72" t="s">
        <v>285</v>
      </c>
      <c r="H172" s="63"/>
      <c r="J172" s="121">
        <f t="shared" ref="J172:S172" si="54">$H134 * J73</f>
        <v>-1.075</v>
      </c>
      <c r="K172" s="121">
        <f t="shared" si="54"/>
        <v>-1.075</v>
      </c>
      <c r="L172" s="121">
        <f t="shared" si="54"/>
        <v>-1.075</v>
      </c>
      <c r="M172" s="121">
        <f t="shared" si="54"/>
        <v>-0.99432733158533149</v>
      </c>
      <c r="N172" s="121">
        <f t="shared" si="54"/>
        <v>-0.99432733158533149</v>
      </c>
      <c r="O172" s="121">
        <f t="shared" si="54"/>
        <v>-0.99432733158533149</v>
      </c>
      <c r="P172" s="121">
        <f t="shared" si="54"/>
        <v>-8.0672668414668511E-2</v>
      </c>
      <c r="Q172" s="121">
        <f t="shared" si="54"/>
        <v>-1.075</v>
      </c>
      <c r="R172" s="121">
        <f t="shared" si="54"/>
        <v>-1.075</v>
      </c>
      <c r="S172" s="121">
        <f t="shared" si="54"/>
        <v>-1.075</v>
      </c>
      <c r="T172" s="79"/>
      <c r="U172" s="79"/>
    </row>
    <row r="173" spans="5:23" x14ac:dyDescent="0.3">
      <c r="F173" t="s">
        <v>836</v>
      </c>
      <c r="G173" s="72" t="s">
        <v>285</v>
      </c>
      <c r="H173" s="63"/>
      <c r="J173" s="121">
        <f t="shared" ref="J173:S173" si="55">$H135 * J74</f>
        <v>-1.046</v>
      </c>
      <c r="K173" s="121">
        <f t="shared" si="55"/>
        <v>-1.046</v>
      </c>
      <c r="L173" s="121">
        <f t="shared" si="55"/>
        <v>-1.046</v>
      </c>
      <c r="M173" s="121">
        <f t="shared" si="55"/>
        <v>-0.96750361752395975</v>
      </c>
      <c r="N173" s="121">
        <f t="shared" si="55"/>
        <v>-0.96750361752395975</v>
      </c>
      <c r="O173" s="121">
        <f t="shared" si="55"/>
        <v>-0.96750361752395975</v>
      </c>
      <c r="P173" s="121">
        <f t="shared" si="55"/>
        <v>-7.8496382476040252E-2</v>
      </c>
      <c r="Q173" s="121">
        <f t="shared" si="55"/>
        <v>-1.046</v>
      </c>
      <c r="R173" s="121">
        <f t="shared" si="55"/>
        <v>-1.046</v>
      </c>
      <c r="S173" s="121">
        <f t="shared" si="55"/>
        <v>0</v>
      </c>
      <c r="T173" s="79"/>
      <c r="U173" s="79"/>
    </row>
    <row r="174" spans="5:23" x14ac:dyDescent="0.3">
      <c r="F174" t="s">
        <v>837</v>
      </c>
      <c r="G174" s="72" t="s">
        <v>285</v>
      </c>
      <c r="H174" s="63"/>
      <c r="J174" s="121">
        <f t="shared" ref="J174:S174" si="56">$H136 * J75</f>
        <v>-1.075</v>
      </c>
      <c r="K174" s="121">
        <f t="shared" si="56"/>
        <v>-1.075</v>
      </c>
      <c r="L174" s="121">
        <f t="shared" si="56"/>
        <v>-1.075</v>
      </c>
      <c r="M174" s="121">
        <f t="shared" si="56"/>
        <v>-0.99432733158533149</v>
      </c>
      <c r="N174" s="121">
        <f t="shared" si="56"/>
        <v>-0.99432733158533149</v>
      </c>
      <c r="O174" s="121">
        <f t="shared" si="56"/>
        <v>-0.99432733158533149</v>
      </c>
      <c r="P174" s="121">
        <f t="shared" si="56"/>
        <v>-8.0672668414668511E-2</v>
      </c>
      <c r="Q174" s="121">
        <f t="shared" si="56"/>
        <v>-1.075</v>
      </c>
      <c r="R174" s="121">
        <f t="shared" si="56"/>
        <v>-1.075</v>
      </c>
      <c r="S174" s="121">
        <f t="shared" si="56"/>
        <v>-1.075</v>
      </c>
      <c r="T174" s="79"/>
      <c r="U174" s="79"/>
    </row>
    <row r="175" spans="5:23" x14ac:dyDescent="0.3">
      <c r="F175" t="s">
        <v>846</v>
      </c>
      <c r="G175" s="72" t="s">
        <v>285</v>
      </c>
      <c r="H175" s="63"/>
      <c r="J175" s="121">
        <f t="shared" ref="J175:S175" si="57">$H137 * J76</f>
        <v>-1.075</v>
      </c>
      <c r="K175" s="121">
        <f t="shared" si="57"/>
        <v>-1.075</v>
      </c>
      <c r="L175" s="121">
        <f t="shared" si="57"/>
        <v>-1.075</v>
      </c>
      <c r="M175" s="121">
        <f t="shared" si="57"/>
        <v>-0.99432733158533149</v>
      </c>
      <c r="N175" s="121">
        <f t="shared" si="57"/>
        <v>-0.99432733158533149</v>
      </c>
      <c r="O175" s="121">
        <f t="shared" si="57"/>
        <v>-0.99432733158533149</v>
      </c>
      <c r="P175" s="121">
        <f t="shared" si="57"/>
        <v>-8.0672668414668511E-2</v>
      </c>
      <c r="Q175" s="121">
        <f t="shared" si="57"/>
        <v>-1.075</v>
      </c>
      <c r="R175" s="121">
        <f t="shared" si="57"/>
        <v>-1.075</v>
      </c>
      <c r="S175" s="121">
        <f t="shared" si="57"/>
        <v>-1.075</v>
      </c>
      <c r="T175" s="79"/>
      <c r="U175" s="79"/>
    </row>
    <row r="176" spans="5:23" x14ac:dyDescent="0.3">
      <c r="F176" t="s">
        <v>838</v>
      </c>
      <c r="G176" s="72" t="s">
        <v>285</v>
      </c>
      <c r="H176" s="63"/>
      <c r="J176" s="121">
        <f t="shared" ref="J176:S176" si="58">$H138 * J77</f>
        <v>-1.046</v>
      </c>
      <c r="K176" s="121">
        <f t="shared" si="58"/>
        <v>-1.046</v>
      </c>
      <c r="L176" s="121">
        <f t="shared" si="58"/>
        <v>-1.046</v>
      </c>
      <c r="M176" s="121">
        <f t="shared" si="58"/>
        <v>-0.96750361752395975</v>
      </c>
      <c r="N176" s="121">
        <f t="shared" si="58"/>
        <v>-0.96750361752395975</v>
      </c>
      <c r="O176" s="121">
        <f t="shared" si="58"/>
        <v>-0.96750361752395975</v>
      </c>
      <c r="P176" s="121">
        <f t="shared" si="58"/>
        <v>-7.8496382476040252E-2</v>
      </c>
      <c r="Q176" s="121">
        <f t="shared" si="58"/>
        <v>-1.046</v>
      </c>
      <c r="R176" s="121">
        <f t="shared" si="58"/>
        <v>-1.046</v>
      </c>
      <c r="S176" s="121">
        <f t="shared" si="58"/>
        <v>0</v>
      </c>
      <c r="T176" s="79"/>
      <c r="U176" s="79"/>
    </row>
    <row r="177" spans="2:23" x14ac:dyDescent="0.3">
      <c r="F177" t="s">
        <v>845</v>
      </c>
      <c r="G177" s="72" t="s">
        <v>285</v>
      </c>
      <c r="H177" s="63"/>
      <c r="J177" s="121">
        <f t="shared" ref="J177:S177" si="59">$H139 * J78</f>
        <v>-1.046</v>
      </c>
      <c r="K177" s="121">
        <f t="shared" si="59"/>
        <v>-1.046</v>
      </c>
      <c r="L177" s="121">
        <f t="shared" si="59"/>
        <v>-1.046</v>
      </c>
      <c r="M177" s="121">
        <f t="shared" si="59"/>
        <v>-0.96750361752395975</v>
      </c>
      <c r="N177" s="121">
        <f t="shared" si="59"/>
        <v>-0.96750361752395975</v>
      </c>
      <c r="O177" s="121">
        <f t="shared" si="59"/>
        <v>-0.96750361752395975</v>
      </c>
      <c r="P177" s="121">
        <f t="shared" si="59"/>
        <v>-7.8496382476040252E-2</v>
      </c>
      <c r="Q177" s="121">
        <f t="shared" si="59"/>
        <v>-1.046</v>
      </c>
      <c r="R177" s="121">
        <f t="shared" si="59"/>
        <v>-1.046</v>
      </c>
      <c r="S177" s="121">
        <f t="shared" si="59"/>
        <v>0</v>
      </c>
      <c r="T177" s="79"/>
      <c r="U177" s="79"/>
    </row>
    <row r="178" spans="2:23" x14ac:dyDescent="0.3">
      <c r="F178" t="s">
        <v>839</v>
      </c>
      <c r="G178" s="72" t="s">
        <v>285</v>
      </c>
      <c r="H178" s="63"/>
      <c r="J178" s="121">
        <f t="shared" ref="J178:S178" si="60">$H140 * J79</f>
        <v>-1.034</v>
      </c>
      <c r="K178" s="121">
        <f t="shared" si="60"/>
        <v>-1.034</v>
      </c>
      <c r="L178" s="121">
        <f t="shared" si="60"/>
        <v>-1.034</v>
      </c>
      <c r="M178" s="121">
        <f t="shared" si="60"/>
        <v>-0.95640414963649567</v>
      </c>
      <c r="N178" s="121">
        <f t="shared" si="60"/>
        <v>-0.95640414963649567</v>
      </c>
      <c r="O178" s="121">
        <f t="shared" si="60"/>
        <v>-0.95640414963649567</v>
      </c>
      <c r="P178" s="121">
        <f t="shared" si="60"/>
        <v>-7.7595850363504415E-2</v>
      </c>
      <c r="Q178" s="121">
        <f t="shared" si="60"/>
        <v>-1.034</v>
      </c>
      <c r="R178" s="121">
        <f t="shared" si="60"/>
        <v>0</v>
      </c>
      <c r="S178" s="121">
        <f t="shared" si="60"/>
        <v>0</v>
      </c>
      <c r="T178" s="79"/>
      <c r="U178" s="79"/>
    </row>
    <row r="179" spans="2:23" x14ac:dyDescent="0.3">
      <c r="F179" s="37" t="s">
        <v>844</v>
      </c>
      <c r="G179" s="80" t="s">
        <v>285</v>
      </c>
      <c r="H179" s="130"/>
      <c r="I179" s="37"/>
      <c r="J179" s="131">
        <f t="shared" ref="J179:S179" si="61">$H141 * J80</f>
        <v>-1.034</v>
      </c>
      <c r="K179" s="131">
        <f t="shared" si="61"/>
        <v>-1.034</v>
      </c>
      <c r="L179" s="131">
        <f t="shared" si="61"/>
        <v>-1.034</v>
      </c>
      <c r="M179" s="131">
        <f t="shared" si="61"/>
        <v>-0.95640414963649567</v>
      </c>
      <c r="N179" s="131">
        <f t="shared" si="61"/>
        <v>-0.95640414963649567</v>
      </c>
      <c r="O179" s="131">
        <f t="shared" si="61"/>
        <v>-0.95640414963649567</v>
      </c>
      <c r="P179" s="131">
        <f t="shared" si="61"/>
        <v>-7.7595850363504415E-2</v>
      </c>
      <c r="Q179" s="131">
        <f t="shared" si="61"/>
        <v>-1.034</v>
      </c>
      <c r="R179" s="131">
        <f t="shared" si="61"/>
        <v>0</v>
      </c>
      <c r="S179" s="131">
        <f t="shared" si="61"/>
        <v>0</v>
      </c>
      <c r="T179" s="81"/>
      <c r="U179" s="81"/>
    </row>
    <row r="180" spans="2:23" x14ac:dyDescent="0.3">
      <c r="G180" s="13"/>
    </row>
    <row r="181" spans="2:23" x14ac:dyDescent="0.3">
      <c r="B181" s="30" t="s">
        <v>233</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234</v>
      </c>
      <c r="G183" s="6" t="s">
        <v>57</v>
      </c>
      <c r="H183" s="103">
        <f t="array" ref="H183">SUM(IF(ISERROR(H19:W181), 1))</f>
        <v>0</v>
      </c>
    </row>
    <row r="185" spans="2:23" x14ac:dyDescent="0.3">
      <c r="B185" s="30" t="s">
        <v>108</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144</v>
      </c>
      <c r="C5" s="60"/>
      <c r="D5" s="60"/>
      <c r="E5" s="60"/>
      <c r="F5" s="60"/>
      <c r="G5" s="61" t="s">
        <v>145</v>
      </c>
      <c r="H5" s="62" t="s">
        <v>146</v>
      </c>
      <c r="W5" s="61" t="s">
        <v>147</v>
      </c>
    </row>
    <row r="7" spans="1:23" x14ac:dyDescent="0.3">
      <c r="B7" s="30" t="s">
        <v>12</v>
      </c>
      <c r="C7" s="30"/>
      <c r="D7" s="30"/>
      <c r="E7" s="30"/>
      <c r="F7" s="30"/>
      <c r="G7" s="30"/>
      <c r="H7" s="30"/>
      <c r="I7" s="30"/>
      <c r="J7" s="30"/>
      <c r="K7" s="30"/>
      <c r="L7" s="30"/>
      <c r="M7" s="30"/>
      <c r="N7" s="30"/>
      <c r="O7" s="30"/>
      <c r="P7" s="30"/>
      <c r="Q7" s="30"/>
      <c r="R7" s="30"/>
      <c r="S7" s="30"/>
      <c r="T7" s="30"/>
      <c r="U7" s="30"/>
      <c r="V7" s="30"/>
      <c r="W7" s="30"/>
    </row>
    <row r="9" spans="1:23" x14ac:dyDescent="0.3">
      <c r="C9" s="29" t="s">
        <v>412</v>
      </c>
    </row>
    <row r="10" spans="1:23" x14ac:dyDescent="0.3">
      <c r="C10" s="29" t="s">
        <v>413</v>
      </c>
    </row>
    <row r="12" spans="1:23" x14ac:dyDescent="0.3">
      <c r="B12" s="30" t="s">
        <v>68</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414</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182</v>
      </c>
      <c r="H18" s="3"/>
      <c r="I18" s="3" t="s">
        <v>156</v>
      </c>
      <c r="J18" s="3"/>
      <c r="K18" s="3"/>
      <c r="L18" s="3"/>
      <c r="M18" s="3"/>
      <c r="N18" s="3"/>
      <c r="O18" s="3"/>
      <c r="P18" s="3"/>
      <c r="Q18" s="3"/>
      <c r="R18" s="3"/>
      <c r="S18" s="3"/>
      <c r="T18" s="3"/>
      <c r="U18" s="3"/>
      <c r="W18" s="3" t="s">
        <v>183</v>
      </c>
    </row>
    <row r="19" spans="5:23" x14ac:dyDescent="0.3">
      <c r="E19" s="29" t="s">
        <v>184</v>
      </c>
      <c r="H19" s="3"/>
      <c r="I19" s="3"/>
      <c r="J19" s="3"/>
      <c r="K19" s="3"/>
      <c r="L19" s="3"/>
      <c r="M19" s="3"/>
      <c r="N19" s="3"/>
      <c r="O19" s="3"/>
      <c r="P19" s="3"/>
      <c r="Q19" s="3"/>
      <c r="R19" s="3"/>
      <c r="S19" s="3"/>
      <c r="T19" s="3"/>
      <c r="U19" s="3"/>
      <c r="W19" s="3"/>
    </row>
    <row r="20" spans="5:23" x14ac:dyDescent="0.3">
      <c r="F20" s="134"/>
      <c r="G20" s="134"/>
      <c r="H20" s="135"/>
      <c r="I20" s="135"/>
      <c r="J20" s="136" t="s">
        <v>185</v>
      </c>
      <c r="K20" s="136" t="s">
        <v>186</v>
      </c>
      <c r="L20" s="136" t="s">
        <v>187</v>
      </c>
      <c r="M20" s="136" t="s">
        <v>188</v>
      </c>
      <c r="O20" s="3"/>
      <c r="P20" s="3"/>
      <c r="Q20" s="3"/>
      <c r="R20" s="3"/>
      <c r="S20" s="3"/>
      <c r="T20" s="3"/>
      <c r="U20" s="3"/>
    </row>
    <row r="21" spans="5:23" x14ac:dyDescent="0.3">
      <c r="F21" s="28" t="s">
        <v>831</v>
      </c>
      <c r="G21" s="13" t="s">
        <v>178</v>
      </c>
      <c r="H21" s="3"/>
      <c r="I21" s="3"/>
      <c r="J21" s="137">
        <f t="array" ref="J21:M36">TRANSPOSE('Fixed inputs'!J53:Y56)</f>
        <v>0</v>
      </c>
      <c r="K21" s="137">
        <v>0</v>
      </c>
      <c r="L21" s="137">
        <v>0</v>
      </c>
      <c r="M21" s="137">
        <v>1</v>
      </c>
      <c r="S21" s="3"/>
      <c r="T21" s="3"/>
      <c r="U21" s="3"/>
      <c r="W21" s="3"/>
    </row>
    <row r="22" spans="5:23" x14ac:dyDescent="0.3">
      <c r="F22" s="28" t="s">
        <v>833</v>
      </c>
      <c r="G22" s="13" t="s">
        <v>178</v>
      </c>
      <c r="H22" s="3"/>
      <c r="I22" s="3"/>
      <c r="J22" s="137">
        <v>0</v>
      </c>
      <c r="K22" s="137">
        <v>0</v>
      </c>
      <c r="L22" s="137">
        <v>0</v>
      </c>
      <c r="M22" s="137">
        <v>1</v>
      </c>
      <c r="S22" s="3"/>
      <c r="T22" s="3"/>
      <c r="U22" s="3"/>
      <c r="W22" s="3"/>
    </row>
    <row r="23" spans="5:23" x14ac:dyDescent="0.3">
      <c r="F23" s="28" t="s">
        <v>832</v>
      </c>
      <c r="G23" s="13" t="s">
        <v>178</v>
      </c>
      <c r="H23" s="3"/>
      <c r="I23" s="3"/>
      <c r="J23" s="137">
        <v>0</v>
      </c>
      <c r="K23" s="137">
        <v>0</v>
      </c>
      <c r="L23" s="137">
        <v>0</v>
      </c>
      <c r="M23" s="137">
        <v>1</v>
      </c>
      <c r="S23" s="3"/>
      <c r="T23" s="3"/>
      <c r="U23" s="3"/>
      <c r="W23" s="3"/>
    </row>
    <row r="24" spans="5:23" x14ac:dyDescent="0.3">
      <c r="F24" s="28" t="s">
        <v>834</v>
      </c>
      <c r="G24" s="13" t="s">
        <v>178</v>
      </c>
      <c r="H24" s="3"/>
      <c r="I24" s="3"/>
      <c r="J24" s="137">
        <v>0</v>
      </c>
      <c r="K24" s="137">
        <v>0</v>
      </c>
      <c r="L24" s="137">
        <v>0</v>
      </c>
      <c r="M24" s="137">
        <v>1</v>
      </c>
      <c r="S24" s="3"/>
      <c r="T24" s="3"/>
      <c r="U24" s="3"/>
      <c r="W24" s="3"/>
    </row>
    <row r="25" spans="5:23" x14ac:dyDescent="0.3">
      <c r="F25" s="28" t="s">
        <v>840</v>
      </c>
      <c r="G25" s="13" t="s">
        <v>178</v>
      </c>
      <c r="H25" s="3"/>
      <c r="I25" s="3"/>
      <c r="J25" s="137">
        <v>0</v>
      </c>
      <c r="K25" s="137">
        <v>0</v>
      </c>
      <c r="L25" s="137">
        <v>0</v>
      </c>
      <c r="M25" s="137">
        <v>1</v>
      </c>
      <c r="S25" s="3"/>
      <c r="T25" s="3"/>
      <c r="U25" s="3"/>
      <c r="W25" s="3"/>
    </row>
    <row r="26" spans="5:23" x14ac:dyDescent="0.3">
      <c r="F26" s="28" t="s">
        <v>841</v>
      </c>
      <c r="G26" s="13" t="s">
        <v>178</v>
      </c>
      <c r="H26" s="3"/>
      <c r="I26" s="3"/>
      <c r="J26" s="137">
        <v>0</v>
      </c>
      <c r="K26" s="137">
        <v>0</v>
      </c>
      <c r="L26" s="137">
        <v>1</v>
      </c>
      <c r="M26" s="137">
        <v>0</v>
      </c>
      <c r="S26" s="3"/>
      <c r="T26" s="3"/>
      <c r="U26" s="3"/>
      <c r="W26" s="3"/>
    </row>
    <row r="27" spans="5:23" x14ac:dyDescent="0.3">
      <c r="F27" s="28" t="s">
        <v>842</v>
      </c>
      <c r="G27" s="13" t="s">
        <v>178</v>
      </c>
      <c r="H27" s="3"/>
      <c r="I27" s="3"/>
      <c r="J27" s="137">
        <v>0</v>
      </c>
      <c r="K27" s="137">
        <v>1</v>
      </c>
      <c r="L27" s="137">
        <v>0</v>
      </c>
      <c r="M27" s="137">
        <v>0</v>
      </c>
      <c r="S27" s="3"/>
      <c r="T27" s="3"/>
      <c r="U27" s="3"/>
      <c r="W27" s="3"/>
    </row>
    <row r="28" spans="5:23" x14ac:dyDescent="0.3">
      <c r="F28" s="28" t="s">
        <v>843</v>
      </c>
      <c r="G28" s="13" t="s">
        <v>178</v>
      </c>
      <c r="H28" s="3"/>
      <c r="I28" s="3"/>
      <c r="J28" s="137">
        <v>0</v>
      </c>
      <c r="K28" s="137">
        <v>0</v>
      </c>
      <c r="L28" s="137">
        <v>0</v>
      </c>
      <c r="M28" s="137">
        <v>1</v>
      </c>
      <c r="S28" s="3"/>
      <c r="T28" s="3"/>
      <c r="U28" s="3"/>
      <c r="W28" s="3"/>
    </row>
    <row r="29" spans="5:23" x14ac:dyDescent="0.3">
      <c r="F29" s="28" t="s">
        <v>835</v>
      </c>
      <c r="G29" s="13" t="s">
        <v>178</v>
      </c>
      <c r="H29" s="3"/>
      <c r="I29" s="3"/>
      <c r="J29" s="137">
        <v>0</v>
      </c>
      <c r="K29" s="137">
        <v>0</v>
      </c>
      <c r="L29" s="137">
        <v>0</v>
      </c>
      <c r="M29" s="137">
        <v>1</v>
      </c>
      <c r="S29" s="3"/>
      <c r="T29" s="3"/>
      <c r="U29" s="3"/>
      <c r="W29" s="3"/>
    </row>
    <row r="30" spans="5:23" x14ac:dyDescent="0.3">
      <c r="F30" s="28" t="s">
        <v>836</v>
      </c>
      <c r="G30" s="13" t="s">
        <v>178</v>
      </c>
      <c r="H30" s="3"/>
      <c r="I30" s="3"/>
      <c r="J30" s="137">
        <v>0</v>
      </c>
      <c r="K30" s="137">
        <v>0</v>
      </c>
      <c r="L30" s="137">
        <v>1</v>
      </c>
      <c r="M30" s="137">
        <v>0</v>
      </c>
      <c r="S30" s="3"/>
      <c r="T30" s="3"/>
      <c r="U30" s="3"/>
      <c r="W30" s="3"/>
    </row>
    <row r="31" spans="5:23" x14ac:dyDescent="0.3">
      <c r="F31" s="28" t="s">
        <v>837</v>
      </c>
      <c r="G31" s="13" t="s">
        <v>178</v>
      </c>
      <c r="H31" s="3"/>
      <c r="I31" s="3"/>
      <c r="J31" s="137">
        <v>0</v>
      </c>
      <c r="K31" s="137">
        <v>0</v>
      </c>
      <c r="L31" s="137">
        <v>0</v>
      </c>
      <c r="M31" s="137">
        <v>1</v>
      </c>
      <c r="S31" s="3"/>
      <c r="T31" s="3"/>
      <c r="U31" s="3"/>
      <c r="W31" s="3"/>
    </row>
    <row r="32" spans="5:23" x14ac:dyDescent="0.3">
      <c r="F32" s="28" t="s">
        <v>846</v>
      </c>
      <c r="G32" s="13" t="s">
        <v>178</v>
      </c>
      <c r="H32" s="3"/>
      <c r="I32" s="3"/>
      <c r="J32" s="137">
        <v>0</v>
      </c>
      <c r="K32" s="137">
        <v>0</v>
      </c>
      <c r="L32" s="137">
        <v>0</v>
      </c>
      <c r="M32" s="137">
        <v>1</v>
      </c>
      <c r="S32" s="3"/>
      <c r="T32" s="3"/>
      <c r="U32" s="3"/>
      <c r="W32" s="3"/>
    </row>
    <row r="33" spans="3:23" x14ac:dyDescent="0.3">
      <c r="F33" s="28" t="s">
        <v>838</v>
      </c>
      <c r="G33" s="13" t="s">
        <v>178</v>
      </c>
      <c r="H33" s="3"/>
      <c r="I33" s="3"/>
      <c r="J33" s="137">
        <v>0</v>
      </c>
      <c r="K33" s="137">
        <v>0</v>
      </c>
      <c r="L33" s="137">
        <v>1</v>
      </c>
      <c r="M33" s="137">
        <v>0</v>
      </c>
      <c r="S33" s="3"/>
      <c r="T33" s="3"/>
      <c r="U33" s="3"/>
      <c r="W33" s="3"/>
    </row>
    <row r="34" spans="3:23" x14ac:dyDescent="0.3">
      <c r="F34" s="28" t="s">
        <v>845</v>
      </c>
      <c r="G34" s="13" t="s">
        <v>178</v>
      </c>
      <c r="H34" s="3"/>
      <c r="I34" s="3"/>
      <c r="J34" s="137">
        <v>0</v>
      </c>
      <c r="K34" s="137">
        <v>0</v>
      </c>
      <c r="L34" s="137">
        <v>1</v>
      </c>
      <c r="M34" s="137">
        <v>0</v>
      </c>
      <c r="S34" s="3"/>
      <c r="T34" s="3"/>
      <c r="U34" s="3"/>
      <c r="W34" s="3"/>
    </row>
    <row r="35" spans="3:23" x14ac:dyDescent="0.3">
      <c r="F35" s="28" t="s">
        <v>839</v>
      </c>
      <c r="G35" s="13" t="s">
        <v>178</v>
      </c>
      <c r="H35" s="3"/>
      <c r="I35" s="3"/>
      <c r="J35" s="137">
        <v>0</v>
      </c>
      <c r="K35" s="137">
        <v>1</v>
      </c>
      <c r="L35" s="137">
        <v>0</v>
      </c>
      <c r="M35" s="137">
        <v>0</v>
      </c>
      <c r="S35" s="3"/>
      <c r="T35" s="3"/>
      <c r="U35" s="3"/>
      <c r="W35" s="3"/>
    </row>
    <row r="36" spans="3:23" x14ac:dyDescent="0.3">
      <c r="F36" s="67" t="s">
        <v>844</v>
      </c>
      <c r="G36" s="86" t="s">
        <v>178</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415</v>
      </c>
      <c r="H40" s="3"/>
      <c r="I40" s="3" t="s">
        <v>156</v>
      </c>
      <c r="J40" s="3"/>
      <c r="K40" s="3"/>
      <c r="L40" s="3"/>
      <c r="M40" s="3"/>
      <c r="N40" s="3"/>
      <c r="O40" s="3"/>
      <c r="P40" s="3"/>
      <c r="Q40" s="3"/>
      <c r="R40" s="3"/>
      <c r="S40" s="3"/>
      <c r="T40" s="3"/>
      <c r="U40" s="3"/>
      <c r="W40" s="3" t="s">
        <v>416</v>
      </c>
    </row>
    <row r="41" spans="3:23" x14ac:dyDescent="0.3">
      <c r="E41" s="29" t="s">
        <v>417</v>
      </c>
      <c r="H41" s="3"/>
      <c r="I41" s="3"/>
      <c r="J41" s="3"/>
      <c r="K41" s="3"/>
      <c r="L41" s="3"/>
      <c r="M41" s="3"/>
      <c r="N41" s="3"/>
      <c r="O41" s="3"/>
      <c r="P41" s="3"/>
      <c r="Q41" s="3"/>
      <c r="R41" s="3"/>
      <c r="S41" s="3"/>
      <c r="T41" s="3"/>
      <c r="U41" s="3"/>
      <c r="W41" s="3"/>
    </row>
    <row r="42" spans="3:23" x14ac:dyDescent="0.3">
      <c r="E42" s="32"/>
      <c r="F42" s="139"/>
      <c r="G42" s="139"/>
      <c r="H42" s="139"/>
      <c r="I42" s="139"/>
      <c r="J42" s="139" t="s">
        <v>191</v>
      </c>
      <c r="K42" s="140" t="s">
        <v>193</v>
      </c>
      <c r="L42" s="140" t="s">
        <v>194</v>
      </c>
      <c r="M42" s="140" t="s">
        <v>195</v>
      </c>
      <c r="N42" s="140" t="s">
        <v>196</v>
      </c>
      <c r="O42" s="140" t="s">
        <v>197</v>
      </c>
      <c r="P42" s="140" t="s">
        <v>198</v>
      </c>
      <c r="Q42" s="140" t="s">
        <v>199</v>
      </c>
      <c r="R42" s="140" t="s">
        <v>200</v>
      </c>
      <c r="S42" s="140" t="s">
        <v>201</v>
      </c>
      <c r="T42" s="140" t="s">
        <v>378</v>
      </c>
      <c r="U42" s="140" t="s">
        <v>379</v>
      </c>
    </row>
    <row r="43" spans="3:23" x14ac:dyDescent="0.3">
      <c r="F43" s="28" t="s">
        <v>188</v>
      </c>
      <c r="G43" s="72" t="s">
        <v>169</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0.47913351897273304</v>
      </c>
      <c r="R43" s="25">
        <f>'Inputs by network level'!R26</f>
        <v>0.70892384564689981</v>
      </c>
      <c r="S43" s="25">
        <f>'Inputs by network level'!S26</f>
        <v>0.93871417232106646</v>
      </c>
      <c r="T43" s="66"/>
      <c r="U43" s="66"/>
      <c r="W43" s="3"/>
    </row>
    <row r="44" spans="3:23" x14ac:dyDescent="0.3">
      <c r="F44" s="28" t="s">
        <v>187</v>
      </c>
      <c r="G44" s="72" t="s">
        <v>169</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0.47913351897273304</v>
      </c>
      <c r="R44" s="25">
        <f>'Inputs by network level'!R27</f>
        <v>0.70892384564689981</v>
      </c>
      <c r="S44" s="25">
        <f>'Inputs by network level'!S27</f>
        <v>0</v>
      </c>
      <c r="T44" s="66"/>
      <c r="U44" s="66"/>
      <c r="W44" s="3"/>
    </row>
    <row r="45" spans="3:23" x14ac:dyDescent="0.3">
      <c r="F45" s="28" t="s">
        <v>186</v>
      </c>
      <c r="G45" s="72" t="s">
        <v>169</v>
      </c>
      <c r="H45" s="3"/>
      <c r="I45" s="3"/>
      <c r="J45" s="66"/>
      <c r="K45" s="66"/>
      <c r="L45" s="25">
        <f>'Inputs by network level'!L28</f>
        <v>0</v>
      </c>
      <c r="M45" s="25">
        <f>'Inputs by network level'!M28</f>
        <v>0</v>
      </c>
      <c r="N45" s="25">
        <f>'Inputs by network level'!N28</f>
        <v>6.5420049562801799E-2</v>
      </c>
      <c r="O45" s="25">
        <f>'Inputs by network level'!O28</f>
        <v>0.35162962287700078</v>
      </c>
      <c r="P45" s="25">
        <f>'Inputs by network level'!P28</f>
        <v>0.35162962287700078</v>
      </c>
      <c r="Q45" s="25">
        <f>'Inputs by network level'!Q28</f>
        <v>0.63783919619119978</v>
      </c>
      <c r="R45" s="25">
        <f>'Inputs by network level'!R28</f>
        <v>0</v>
      </c>
      <c r="S45" s="25">
        <f>'Inputs by network level'!S28</f>
        <v>0</v>
      </c>
      <c r="T45" s="66"/>
      <c r="U45" s="66"/>
      <c r="W45" s="3"/>
    </row>
    <row r="46" spans="3:23" x14ac:dyDescent="0.3">
      <c r="F46" s="67" t="s">
        <v>185</v>
      </c>
      <c r="G46" s="80" t="s">
        <v>169</v>
      </c>
      <c r="H46" s="76"/>
      <c r="I46" s="76"/>
      <c r="J46" s="68"/>
      <c r="K46" s="68"/>
      <c r="L46" s="141">
        <f>'Inputs by network level'!L29</f>
        <v>0</v>
      </c>
      <c r="M46" s="141">
        <f>'Inputs by network level'!M29</f>
        <v>0</v>
      </c>
      <c r="N46" s="141">
        <f>'Inputs by network level'!N29</f>
        <v>6.5420049562801799E-2</v>
      </c>
      <c r="O46" s="141">
        <f>'Inputs by network level'!O29</f>
        <v>0.35162962287700078</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418</v>
      </c>
      <c r="H48" s="13"/>
      <c r="I48" s="3"/>
      <c r="J48" s="3"/>
      <c r="K48" s="3"/>
      <c r="L48" s="3"/>
      <c r="M48" s="3"/>
      <c r="N48" s="3"/>
      <c r="O48" s="3"/>
      <c r="P48" s="3"/>
      <c r="Q48" s="3"/>
      <c r="R48" s="3"/>
      <c r="S48" s="3"/>
      <c r="T48" s="3"/>
      <c r="U48" s="3"/>
      <c r="W48" s="3"/>
    </row>
    <row r="49" spans="5:23" x14ac:dyDescent="0.3">
      <c r="E49" s="29" t="s">
        <v>419</v>
      </c>
      <c r="H49" s="13"/>
      <c r="I49" s="3"/>
      <c r="J49" s="3"/>
      <c r="K49" s="3"/>
      <c r="L49" s="3"/>
      <c r="M49" s="3"/>
      <c r="N49" s="3"/>
      <c r="O49" s="3"/>
      <c r="P49" s="3"/>
      <c r="Q49" s="3"/>
      <c r="R49" s="3"/>
      <c r="S49" s="3"/>
      <c r="T49" s="3"/>
      <c r="U49" s="3"/>
      <c r="W49" s="3"/>
    </row>
    <row r="50" spans="5:23" x14ac:dyDescent="0.3">
      <c r="F50" s="139"/>
      <c r="G50" s="139"/>
      <c r="H50" s="142"/>
      <c r="I50" s="139"/>
      <c r="J50" s="139" t="s">
        <v>191</v>
      </c>
      <c r="K50" s="140" t="s">
        <v>193</v>
      </c>
      <c r="L50" s="140" t="s">
        <v>194</v>
      </c>
      <c r="M50" s="140" t="s">
        <v>195</v>
      </c>
      <c r="N50" s="140" t="s">
        <v>196</v>
      </c>
      <c r="O50" s="140" t="s">
        <v>197</v>
      </c>
      <c r="P50" s="140" t="s">
        <v>198</v>
      </c>
      <c r="Q50" s="140" t="s">
        <v>199</v>
      </c>
      <c r="R50" s="140" t="s">
        <v>200</v>
      </c>
      <c r="S50" s="140" t="s">
        <v>201</v>
      </c>
      <c r="T50" s="140" t="s">
        <v>378</v>
      </c>
      <c r="U50" s="140" t="s">
        <v>379</v>
      </c>
      <c r="W50" s="3"/>
    </row>
    <row r="51" spans="5:23" x14ac:dyDescent="0.3">
      <c r="F51" s="28" t="s">
        <v>831</v>
      </c>
      <c r="G51" s="28"/>
      <c r="H51" s="72" t="s">
        <v>169</v>
      </c>
      <c r="J51" s="70"/>
      <c r="K51" s="70"/>
      <c r="L51" s="111">
        <f t="shared" ref="L51:S60" si="0">$M21 * L$43 + $L21 * L$44 + $K21 * L$45 + $J21 * L$46</f>
        <v>0</v>
      </c>
      <c r="M51" s="111">
        <f t="shared" si="0"/>
        <v>0</v>
      </c>
      <c r="N51" s="111">
        <f t="shared" si="0"/>
        <v>0</v>
      </c>
      <c r="O51" s="111">
        <f t="shared" si="0"/>
        <v>0</v>
      </c>
      <c r="P51" s="111">
        <f t="shared" si="0"/>
        <v>0</v>
      </c>
      <c r="Q51" s="111">
        <f t="shared" si="0"/>
        <v>0.47913351897273304</v>
      </c>
      <c r="R51" s="111">
        <f t="shared" si="0"/>
        <v>0.70892384564689981</v>
      </c>
      <c r="S51" s="111">
        <f t="shared" si="0"/>
        <v>0.93871417232106646</v>
      </c>
      <c r="T51" s="70"/>
      <c r="U51" s="70"/>
    </row>
    <row r="52" spans="5:23" x14ac:dyDescent="0.3">
      <c r="F52" s="28" t="s">
        <v>833</v>
      </c>
      <c r="G52" s="28"/>
      <c r="H52" s="72" t="s">
        <v>169</v>
      </c>
      <c r="J52" s="70"/>
      <c r="K52" s="70"/>
      <c r="L52" s="111">
        <f t="shared" si="0"/>
        <v>0</v>
      </c>
      <c r="M52" s="111">
        <f t="shared" si="0"/>
        <v>0</v>
      </c>
      <c r="N52" s="111">
        <f t="shared" si="0"/>
        <v>0</v>
      </c>
      <c r="O52" s="111">
        <f t="shared" si="0"/>
        <v>0</v>
      </c>
      <c r="P52" s="111">
        <f t="shared" si="0"/>
        <v>0</v>
      </c>
      <c r="Q52" s="111">
        <f t="shared" si="0"/>
        <v>0.47913351897273304</v>
      </c>
      <c r="R52" s="111">
        <f t="shared" si="0"/>
        <v>0.70892384564689981</v>
      </c>
      <c r="S52" s="111">
        <f t="shared" si="0"/>
        <v>0.93871417232106646</v>
      </c>
      <c r="T52" s="70"/>
      <c r="U52" s="70"/>
    </row>
    <row r="53" spans="5:23" x14ac:dyDescent="0.3">
      <c r="F53" s="28" t="s">
        <v>832</v>
      </c>
      <c r="G53" s="28"/>
      <c r="H53" s="72" t="s">
        <v>169</v>
      </c>
      <c r="J53" s="70"/>
      <c r="K53" s="70"/>
      <c r="L53" s="111">
        <f t="shared" si="0"/>
        <v>0</v>
      </c>
      <c r="M53" s="111">
        <f t="shared" si="0"/>
        <v>0</v>
      </c>
      <c r="N53" s="111">
        <f t="shared" si="0"/>
        <v>0</v>
      </c>
      <c r="O53" s="111">
        <f t="shared" si="0"/>
        <v>0</v>
      </c>
      <c r="P53" s="111">
        <f t="shared" si="0"/>
        <v>0</v>
      </c>
      <c r="Q53" s="111">
        <f t="shared" si="0"/>
        <v>0.47913351897273304</v>
      </c>
      <c r="R53" s="111">
        <f t="shared" si="0"/>
        <v>0.70892384564689981</v>
      </c>
      <c r="S53" s="111">
        <f t="shared" si="0"/>
        <v>0.93871417232106646</v>
      </c>
      <c r="T53" s="70"/>
      <c r="U53" s="70"/>
    </row>
    <row r="54" spans="5:23" x14ac:dyDescent="0.3">
      <c r="F54" s="28" t="s">
        <v>834</v>
      </c>
      <c r="G54" s="28"/>
      <c r="H54" s="72" t="s">
        <v>169</v>
      </c>
      <c r="J54" s="70"/>
      <c r="K54" s="70"/>
      <c r="L54" s="111">
        <f t="shared" si="0"/>
        <v>0</v>
      </c>
      <c r="M54" s="111">
        <f t="shared" si="0"/>
        <v>0</v>
      </c>
      <c r="N54" s="111">
        <f t="shared" si="0"/>
        <v>0</v>
      </c>
      <c r="O54" s="111">
        <f t="shared" si="0"/>
        <v>0</v>
      </c>
      <c r="P54" s="111">
        <f t="shared" si="0"/>
        <v>0</v>
      </c>
      <c r="Q54" s="111">
        <f t="shared" si="0"/>
        <v>0.47913351897273304</v>
      </c>
      <c r="R54" s="111">
        <f t="shared" si="0"/>
        <v>0.70892384564689981</v>
      </c>
      <c r="S54" s="111">
        <f t="shared" si="0"/>
        <v>0.93871417232106646</v>
      </c>
      <c r="T54" s="70"/>
      <c r="U54" s="70"/>
    </row>
    <row r="55" spans="5:23" x14ac:dyDescent="0.3">
      <c r="F55" s="28" t="s">
        <v>840</v>
      </c>
      <c r="G55" s="28"/>
      <c r="H55" s="72" t="s">
        <v>169</v>
      </c>
      <c r="J55" s="70"/>
      <c r="K55" s="70"/>
      <c r="L55" s="111">
        <f t="shared" si="0"/>
        <v>0</v>
      </c>
      <c r="M55" s="111">
        <f t="shared" si="0"/>
        <v>0</v>
      </c>
      <c r="N55" s="111">
        <f t="shared" si="0"/>
        <v>0</v>
      </c>
      <c r="O55" s="111">
        <f t="shared" si="0"/>
        <v>0</v>
      </c>
      <c r="P55" s="111">
        <f t="shared" si="0"/>
        <v>0</v>
      </c>
      <c r="Q55" s="111">
        <f t="shared" si="0"/>
        <v>0.47913351897273304</v>
      </c>
      <c r="R55" s="111">
        <f t="shared" si="0"/>
        <v>0.70892384564689981</v>
      </c>
      <c r="S55" s="111">
        <f t="shared" si="0"/>
        <v>0.93871417232106646</v>
      </c>
      <c r="T55" s="70"/>
      <c r="U55" s="70"/>
    </row>
    <row r="56" spans="5:23" x14ac:dyDescent="0.3">
      <c r="F56" s="28" t="s">
        <v>841</v>
      </c>
      <c r="G56" s="28"/>
      <c r="H56" s="72" t="s">
        <v>169</v>
      </c>
      <c r="J56" s="70"/>
      <c r="K56" s="70"/>
      <c r="L56" s="111">
        <f t="shared" si="0"/>
        <v>0</v>
      </c>
      <c r="M56" s="111">
        <f t="shared" si="0"/>
        <v>0</v>
      </c>
      <c r="N56" s="111">
        <f t="shared" si="0"/>
        <v>0</v>
      </c>
      <c r="O56" s="111">
        <f t="shared" si="0"/>
        <v>0</v>
      </c>
      <c r="P56" s="111">
        <f t="shared" si="0"/>
        <v>0</v>
      </c>
      <c r="Q56" s="111">
        <f t="shared" si="0"/>
        <v>0.47913351897273304</v>
      </c>
      <c r="R56" s="111">
        <f t="shared" si="0"/>
        <v>0.70892384564689981</v>
      </c>
      <c r="S56" s="111">
        <f t="shared" si="0"/>
        <v>0</v>
      </c>
      <c r="T56" s="70"/>
      <c r="U56" s="70"/>
    </row>
    <row r="57" spans="5:23" x14ac:dyDescent="0.3">
      <c r="F57" s="28" t="s">
        <v>842</v>
      </c>
      <c r="G57" s="28"/>
      <c r="H57" s="72" t="s">
        <v>169</v>
      </c>
      <c r="J57" s="70"/>
      <c r="K57" s="70"/>
      <c r="L57" s="111">
        <f t="shared" si="0"/>
        <v>0</v>
      </c>
      <c r="M57" s="111">
        <f t="shared" si="0"/>
        <v>0</v>
      </c>
      <c r="N57" s="111">
        <f t="shared" si="0"/>
        <v>6.5420049562801799E-2</v>
      </c>
      <c r="O57" s="111">
        <f t="shared" si="0"/>
        <v>0.35162962287700078</v>
      </c>
      <c r="P57" s="111">
        <f t="shared" si="0"/>
        <v>0.35162962287700078</v>
      </c>
      <c r="Q57" s="111">
        <f t="shared" si="0"/>
        <v>0.63783919619119978</v>
      </c>
      <c r="R57" s="111">
        <f t="shared" si="0"/>
        <v>0</v>
      </c>
      <c r="S57" s="111">
        <f t="shared" si="0"/>
        <v>0</v>
      </c>
      <c r="T57" s="70"/>
      <c r="U57" s="70"/>
    </row>
    <row r="58" spans="5:23" x14ac:dyDescent="0.3">
      <c r="F58" s="28" t="s">
        <v>843</v>
      </c>
      <c r="G58" s="28"/>
      <c r="H58" s="72" t="s">
        <v>169</v>
      </c>
      <c r="J58" s="70"/>
      <c r="K58" s="70"/>
      <c r="L58" s="111">
        <f t="shared" si="0"/>
        <v>0</v>
      </c>
      <c r="M58" s="111">
        <f t="shared" si="0"/>
        <v>0</v>
      </c>
      <c r="N58" s="111">
        <f t="shared" si="0"/>
        <v>0</v>
      </c>
      <c r="O58" s="111">
        <f t="shared" si="0"/>
        <v>0</v>
      </c>
      <c r="P58" s="111">
        <f t="shared" si="0"/>
        <v>0</v>
      </c>
      <c r="Q58" s="111">
        <f t="shared" si="0"/>
        <v>0.47913351897273304</v>
      </c>
      <c r="R58" s="111">
        <f t="shared" si="0"/>
        <v>0.70892384564689981</v>
      </c>
      <c r="S58" s="111">
        <f t="shared" si="0"/>
        <v>0.93871417232106646</v>
      </c>
      <c r="T58" s="70"/>
      <c r="U58" s="70"/>
    </row>
    <row r="59" spans="5:23" x14ac:dyDescent="0.3">
      <c r="F59" s="28" t="s">
        <v>835</v>
      </c>
      <c r="G59" s="28"/>
      <c r="H59" s="72" t="s">
        <v>169</v>
      </c>
      <c r="J59" s="70"/>
      <c r="K59" s="70"/>
      <c r="L59" s="111">
        <f t="shared" si="0"/>
        <v>0</v>
      </c>
      <c r="M59" s="111">
        <f t="shared" si="0"/>
        <v>0</v>
      </c>
      <c r="N59" s="111">
        <f t="shared" si="0"/>
        <v>0</v>
      </c>
      <c r="O59" s="111">
        <f t="shared" si="0"/>
        <v>0</v>
      </c>
      <c r="P59" s="111">
        <f t="shared" si="0"/>
        <v>0</v>
      </c>
      <c r="Q59" s="111">
        <f t="shared" si="0"/>
        <v>0.47913351897273304</v>
      </c>
      <c r="R59" s="111">
        <f t="shared" si="0"/>
        <v>0.70892384564689981</v>
      </c>
      <c r="S59" s="111">
        <f t="shared" si="0"/>
        <v>0.93871417232106646</v>
      </c>
      <c r="T59" s="70"/>
      <c r="U59" s="70"/>
    </row>
    <row r="60" spans="5:23" x14ac:dyDescent="0.3">
      <c r="F60" s="28" t="s">
        <v>836</v>
      </c>
      <c r="G60" s="28"/>
      <c r="H60" s="72" t="s">
        <v>169</v>
      </c>
      <c r="J60" s="70"/>
      <c r="K60" s="70"/>
      <c r="L60" s="111">
        <f t="shared" si="0"/>
        <v>0</v>
      </c>
      <c r="M60" s="111">
        <f t="shared" si="0"/>
        <v>0</v>
      </c>
      <c r="N60" s="111">
        <f t="shared" si="0"/>
        <v>0</v>
      </c>
      <c r="O60" s="111">
        <f t="shared" si="0"/>
        <v>0</v>
      </c>
      <c r="P60" s="111">
        <f t="shared" si="0"/>
        <v>0</v>
      </c>
      <c r="Q60" s="111">
        <f t="shared" si="0"/>
        <v>0.47913351897273304</v>
      </c>
      <c r="R60" s="111">
        <f t="shared" si="0"/>
        <v>0.70892384564689981</v>
      </c>
      <c r="S60" s="111">
        <f t="shared" si="0"/>
        <v>0</v>
      </c>
      <c r="T60" s="70"/>
      <c r="U60" s="70"/>
    </row>
    <row r="61" spans="5:23" x14ac:dyDescent="0.3">
      <c r="F61" s="28" t="s">
        <v>837</v>
      </c>
      <c r="G61" s="28"/>
      <c r="H61" s="72" t="s">
        <v>169</v>
      </c>
      <c r="J61" s="70"/>
      <c r="K61" s="70"/>
      <c r="L61" s="111">
        <f t="shared" ref="L61:S66" si="1">$M31 * L$43 + $L31 * L$44 + $K31 * L$45 + $J31 * L$46</f>
        <v>0</v>
      </c>
      <c r="M61" s="111">
        <f t="shared" si="1"/>
        <v>0</v>
      </c>
      <c r="N61" s="111">
        <f t="shared" si="1"/>
        <v>0</v>
      </c>
      <c r="O61" s="111">
        <f t="shared" si="1"/>
        <v>0</v>
      </c>
      <c r="P61" s="111">
        <f t="shared" si="1"/>
        <v>0</v>
      </c>
      <c r="Q61" s="111">
        <f t="shared" si="1"/>
        <v>0.47913351897273304</v>
      </c>
      <c r="R61" s="111">
        <f t="shared" si="1"/>
        <v>0.70892384564689981</v>
      </c>
      <c r="S61" s="111">
        <f t="shared" si="1"/>
        <v>0.93871417232106646</v>
      </c>
      <c r="T61" s="70"/>
      <c r="U61" s="70"/>
    </row>
    <row r="62" spans="5:23" x14ac:dyDescent="0.3">
      <c r="F62" s="28" t="s">
        <v>846</v>
      </c>
      <c r="G62" s="28"/>
      <c r="H62" s="72" t="s">
        <v>169</v>
      </c>
      <c r="J62" s="70"/>
      <c r="K62" s="70"/>
      <c r="L62" s="111">
        <f t="shared" si="1"/>
        <v>0</v>
      </c>
      <c r="M62" s="111">
        <f t="shared" si="1"/>
        <v>0</v>
      </c>
      <c r="N62" s="111">
        <f t="shared" si="1"/>
        <v>0</v>
      </c>
      <c r="O62" s="111">
        <f t="shared" si="1"/>
        <v>0</v>
      </c>
      <c r="P62" s="111">
        <f t="shared" si="1"/>
        <v>0</v>
      </c>
      <c r="Q62" s="111">
        <f t="shared" si="1"/>
        <v>0.47913351897273304</v>
      </c>
      <c r="R62" s="111">
        <f t="shared" si="1"/>
        <v>0.70892384564689981</v>
      </c>
      <c r="S62" s="111">
        <f t="shared" si="1"/>
        <v>0.93871417232106646</v>
      </c>
      <c r="T62" s="70"/>
      <c r="U62" s="70"/>
    </row>
    <row r="63" spans="5:23" x14ac:dyDescent="0.3">
      <c r="F63" s="28" t="s">
        <v>838</v>
      </c>
      <c r="G63" s="28"/>
      <c r="H63" s="72" t="s">
        <v>169</v>
      </c>
      <c r="J63" s="70"/>
      <c r="K63" s="70"/>
      <c r="L63" s="111">
        <f t="shared" si="1"/>
        <v>0</v>
      </c>
      <c r="M63" s="111">
        <f t="shared" si="1"/>
        <v>0</v>
      </c>
      <c r="N63" s="111">
        <f t="shared" si="1"/>
        <v>0</v>
      </c>
      <c r="O63" s="111">
        <f t="shared" si="1"/>
        <v>0</v>
      </c>
      <c r="P63" s="111">
        <f t="shared" si="1"/>
        <v>0</v>
      </c>
      <c r="Q63" s="111">
        <f t="shared" si="1"/>
        <v>0.47913351897273304</v>
      </c>
      <c r="R63" s="111">
        <f t="shared" si="1"/>
        <v>0.70892384564689981</v>
      </c>
      <c r="S63" s="111">
        <f t="shared" si="1"/>
        <v>0</v>
      </c>
      <c r="T63" s="70"/>
      <c r="U63" s="70"/>
    </row>
    <row r="64" spans="5:23" x14ac:dyDescent="0.3">
      <c r="F64" s="28" t="s">
        <v>845</v>
      </c>
      <c r="G64" s="28"/>
      <c r="H64" s="72" t="s">
        <v>169</v>
      </c>
      <c r="J64" s="70"/>
      <c r="K64" s="70"/>
      <c r="L64" s="111">
        <f t="shared" si="1"/>
        <v>0</v>
      </c>
      <c r="M64" s="111">
        <f t="shared" si="1"/>
        <v>0</v>
      </c>
      <c r="N64" s="111">
        <f t="shared" si="1"/>
        <v>0</v>
      </c>
      <c r="O64" s="111">
        <f t="shared" si="1"/>
        <v>0</v>
      </c>
      <c r="P64" s="111">
        <f t="shared" si="1"/>
        <v>0</v>
      </c>
      <c r="Q64" s="111">
        <f t="shared" si="1"/>
        <v>0.47913351897273304</v>
      </c>
      <c r="R64" s="111">
        <f t="shared" si="1"/>
        <v>0.70892384564689981</v>
      </c>
      <c r="S64" s="111">
        <f t="shared" si="1"/>
        <v>0</v>
      </c>
      <c r="T64" s="70"/>
      <c r="U64" s="70"/>
    </row>
    <row r="65" spans="2:23" x14ac:dyDescent="0.3">
      <c r="F65" s="28" t="s">
        <v>839</v>
      </c>
      <c r="G65" s="28"/>
      <c r="H65" s="72" t="s">
        <v>169</v>
      </c>
      <c r="J65" s="70"/>
      <c r="K65" s="70"/>
      <c r="L65" s="111">
        <f t="shared" si="1"/>
        <v>0</v>
      </c>
      <c r="M65" s="111">
        <f t="shared" si="1"/>
        <v>0</v>
      </c>
      <c r="N65" s="111">
        <f t="shared" si="1"/>
        <v>6.5420049562801799E-2</v>
      </c>
      <c r="O65" s="111">
        <f t="shared" si="1"/>
        <v>0.35162962287700078</v>
      </c>
      <c r="P65" s="111">
        <f t="shared" si="1"/>
        <v>0.35162962287700078</v>
      </c>
      <c r="Q65" s="111">
        <f t="shared" si="1"/>
        <v>0.63783919619119978</v>
      </c>
      <c r="R65" s="111">
        <f t="shared" si="1"/>
        <v>0</v>
      </c>
      <c r="S65" s="111">
        <f t="shared" si="1"/>
        <v>0</v>
      </c>
      <c r="T65" s="70"/>
      <c r="U65" s="70"/>
    </row>
    <row r="66" spans="2:23" x14ac:dyDescent="0.3">
      <c r="F66" s="67" t="s">
        <v>844</v>
      </c>
      <c r="G66" s="67"/>
      <c r="H66" s="80" t="s">
        <v>169</v>
      </c>
      <c r="I66" s="37"/>
      <c r="J66" s="71"/>
      <c r="K66" s="71"/>
      <c r="L66" s="143">
        <f t="shared" si="1"/>
        <v>0</v>
      </c>
      <c r="M66" s="143">
        <f t="shared" si="1"/>
        <v>0</v>
      </c>
      <c r="N66" s="143">
        <f t="shared" si="1"/>
        <v>6.5420049562801799E-2</v>
      </c>
      <c r="O66" s="143">
        <f t="shared" si="1"/>
        <v>0.35162962287700078</v>
      </c>
      <c r="P66" s="143">
        <f t="shared" si="1"/>
        <v>0.35162962287700078</v>
      </c>
      <c r="Q66" s="143">
        <f t="shared" si="1"/>
        <v>0.63783919619119978</v>
      </c>
      <c r="R66" s="143">
        <f t="shared" si="1"/>
        <v>0</v>
      </c>
      <c r="S66" s="143">
        <f t="shared" si="1"/>
        <v>0</v>
      </c>
      <c r="T66" s="71"/>
      <c r="U66" s="71"/>
    </row>
    <row r="68" spans="2:23" x14ac:dyDescent="0.3">
      <c r="B68" s="30" t="s">
        <v>233</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234</v>
      </c>
      <c r="G70" s="6" t="s">
        <v>57</v>
      </c>
      <c r="H70" s="103">
        <f t="array" ref="H70">SUM(IF(ISERROR(H21:U66), 1))</f>
        <v>0</v>
      </c>
    </row>
    <row r="72" spans="2:23" x14ac:dyDescent="0.3">
      <c r="B72" s="30" t="s">
        <v>108</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420</v>
      </c>
    </row>
    <row r="10" spans="1:43" x14ac:dyDescent="0.3">
      <c r="C10" s="29" t="s">
        <v>421</v>
      </c>
    </row>
    <row r="11" spans="1:43" x14ac:dyDescent="0.3">
      <c r="C11" s="29" t="s">
        <v>422</v>
      </c>
    </row>
    <row r="13" spans="1:43" x14ac:dyDescent="0.3">
      <c r="B13" s="30" t="s">
        <v>423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424</v>
      </c>
    </row>
    <row r="18" spans="4:43" x14ac:dyDescent="0.3">
      <c r="D18" s="29" t="s">
        <v>425</v>
      </c>
    </row>
    <row r="19" spans="4:43" x14ac:dyDescent="0.3">
      <c r="D19" s="29"/>
    </row>
    <row r="20" spans="4:43" x14ac:dyDescent="0.3">
      <c r="E20" s="88" t="s">
        <v>426</v>
      </c>
      <c r="I20" t="s">
        <v>156</v>
      </c>
      <c r="J20" s="63"/>
      <c r="K20" s="63"/>
      <c r="L20" s="63"/>
      <c r="M20" s="63"/>
      <c r="N20" s="63"/>
      <c r="O20" s="63"/>
      <c r="P20" s="63"/>
      <c r="Q20" s="63"/>
      <c r="R20" s="63"/>
      <c r="S20" s="63"/>
      <c r="T20" s="63"/>
      <c r="U20" s="63"/>
      <c r="V20" s="63"/>
      <c r="W20" s="63"/>
      <c r="X20" s="63"/>
      <c r="Y20" s="63"/>
    </row>
    <row r="21" spans="4:43" x14ac:dyDescent="0.3">
      <c r="E21" s="29" t="s">
        <v>427</v>
      </c>
      <c r="AA21" t="s">
        <v>428</v>
      </c>
    </row>
    <row r="22" spans="4:43" x14ac:dyDescent="0.3">
      <c r="F22" s="23" t="s">
        <v>177</v>
      </c>
      <c r="G22" s="23" t="s">
        <v>169</v>
      </c>
      <c r="H22" s="107">
        <f>'General inputs'!H30</f>
        <v>0.30293723133621986</v>
      </c>
      <c r="AQ22" s="3"/>
    </row>
    <row r="23" spans="4:43" x14ac:dyDescent="0.3">
      <c r="F23" t="s">
        <v>179</v>
      </c>
      <c r="G23" t="s">
        <v>169</v>
      </c>
      <c r="H23" s="25">
        <f>'General inputs'!H31</f>
        <v>0.440304373746851</v>
      </c>
      <c r="AQ23" s="3"/>
    </row>
    <row r="24" spans="4:43" x14ac:dyDescent="0.3">
      <c r="F24" t="s">
        <v>180</v>
      </c>
      <c r="G24" t="s">
        <v>169</v>
      </c>
      <c r="H24" s="25">
        <f>'General inputs'!H32</f>
        <v>0.1825428677643125</v>
      </c>
      <c r="AQ24" s="3"/>
    </row>
    <row r="25" spans="4:43" x14ac:dyDescent="0.3">
      <c r="F25" s="37" t="s">
        <v>181</v>
      </c>
      <c r="G25" s="37" t="s">
        <v>169</v>
      </c>
      <c r="H25" s="141">
        <f>'General inputs'!H33</f>
        <v>7.3486631222764401E-2</v>
      </c>
      <c r="AQ25" s="3"/>
    </row>
    <row r="27" spans="4:43" x14ac:dyDescent="0.3">
      <c r="E27" s="32" t="s">
        <v>429</v>
      </c>
      <c r="I27" t="s">
        <v>156</v>
      </c>
      <c r="AA27" t="s">
        <v>430</v>
      </c>
      <c r="AQ27" s="3"/>
    </row>
    <row r="28" spans="4:43" x14ac:dyDescent="0.3">
      <c r="E28" s="29" t="s">
        <v>431</v>
      </c>
    </row>
    <row r="29" spans="4:43" x14ac:dyDescent="0.3">
      <c r="E29" s="29" t="s">
        <v>432</v>
      </c>
    </row>
    <row r="30" spans="4:43" x14ac:dyDescent="0.3">
      <c r="F30" s="23" t="s">
        <v>177</v>
      </c>
      <c r="G30" s="23" t="s">
        <v>178</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179</v>
      </c>
      <c r="G31" t="s">
        <v>178</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180</v>
      </c>
      <c r="G32" t="s">
        <v>178</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181</v>
      </c>
      <c r="G33" s="37" t="s">
        <v>178</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433</v>
      </c>
      <c r="G34" s="28" t="s">
        <v>169</v>
      </c>
      <c r="J34" s="145">
        <f t="shared" ref="J34:Y34" si="0">J30 * $H$22</f>
        <v>0.30293723133621986</v>
      </c>
      <c r="K34" s="145">
        <f t="shared" si="0"/>
        <v>0.30293723133621986</v>
      </c>
      <c r="L34" s="145">
        <f t="shared" si="0"/>
        <v>0.30293723133621986</v>
      </c>
      <c r="M34" s="145">
        <f t="shared" si="0"/>
        <v>0.30293723133621986</v>
      </c>
      <c r="N34" s="145">
        <f t="shared" si="0"/>
        <v>0.30293723133621986</v>
      </c>
      <c r="O34" s="145">
        <f t="shared" si="0"/>
        <v>0</v>
      </c>
      <c r="P34" s="145">
        <f t="shared" si="0"/>
        <v>0</v>
      </c>
      <c r="Q34" s="145">
        <f t="shared" si="0"/>
        <v>0.30293723133621986</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434</v>
      </c>
      <c r="G35" s="28" t="s">
        <v>169</v>
      </c>
      <c r="J35" s="145">
        <f t="shared" ref="J35:Y35" si="1">SUMPRODUCT(J31:J33,$H$23:$H$25)</f>
        <v>0.440304373746851</v>
      </c>
      <c r="K35" s="145">
        <f t="shared" si="1"/>
        <v>0.440304373746851</v>
      </c>
      <c r="L35" s="145">
        <f t="shared" si="1"/>
        <v>0.440304373746851</v>
      </c>
      <c r="M35" s="145">
        <f t="shared" si="1"/>
        <v>0.440304373746851</v>
      </c>
      <c r="N35" s="145">
        <f t="shared" si="1"/>
        <v>0.440304373746851</v>
      </c>
      <c r="O35" s="145">
        <f t="shared" si="1"/>
        <v>0.1825428677643125</v>
      </c>
      <c r="P35" s="145">
        <f t="shared" si="1"/>
        <v>7.3486631222764401E-2</v>
      </c>
      <c r="Q35" s="145">
        <f t="shared" si="1"/>
        <v>0.440304373746851</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435</v>
      </c>
      <c r="I37" t="s">
        <v>156</v>
      </c>
      <c r="AA37" t="s">
        <v>430</v>
      </c>
      <c r="AQ37" s="3"/>
    </row>
    <row r="38" spans="4:43" x14ac:dyDescent="0.3">
      <c r="E38" s="29" t="s">
        <v>436</v>
      </c>
    </row>
    <row r="39" spans="4:43" x14ac:dyDescent="0.3">
      <c r="F39" s="28" t="s">
        <v>437</v>
      </c>
      <c r="G39" s="28" t="s">
        <v>211</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438</v>
      </c>
      <c r="G40" s="28" t="s">
        <v>211</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439</v>
      </c>
      <c r="G41" s="28" t="s">
        <v>211</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440</v>
      </c>
      <c r="G42" s="28" t="s">
        <v>211</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441</v>
      </c>
      <c r="G43" s="28" t="s">
        <v>211</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442</v>
      </c>
      <c r="G45" s="28" t="s">
        <v>169</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443</v>
      </c>
      <c r="G46" s="28" t="s">
        <v>169</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444</v>
      </c>
      <c r="G47" s="28" t="s">
        <v>169</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445</v>
      </c>
      <c r="G48" s="28" t="s">
        <v>169</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446</v>
      </c>
      <c r="G49" s="28" t="s">
        <v>169</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447</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966</v>
      </c>
      <c r="AQ55" s="3"/>
    </row>
    <row r="56" spans="2:43" x14ac:dyDescent="0.3">
      <c r="C56" s="29"/>
      <c r="AQ56" s="3"/>
    </row>
    <row r="57" spans="2:43" x14ac:dyDescent="0.3">
      <c r="C57" s="29"/>
      <c r="E57" s="32" t="s">
        <v>911</v>
      </c>
      <c r="G57" s="13"/>
      <c r="I57" t="s">
        <v>156</v>
      </c>
      <c r="AQ57" s="3"/>
    </row>
    <row r="58" spans="2:43" x14ac:dyDescent="0.3">
      <c r="C58" s="29"/>
      <c r="E58" s="32"/>
      <c r="F58" s="78" t="s">
        <v>249</v>
      </c>
      <c r="G58" s="78" t="s">
        <v>209</v>
      </c>
      <c r="H58" s="23"/>
      <c r="I58" s="23"/>
      <c r="J58" s="83"/>
      <c r="K58" s="124">
        <f>'Inputs by customer type'!K23</f>
        <v>907.55296879515561</v>
      </c>
      <c r="L58" s="124">
        <f>'Inputs by customer type'!L23</f>
        <v>0</v>
      </c>
      <c r="M58" s="124">
        <f>'Inputs by customer type'!M23</f>
        <v>38.5327591755619</v>
      </c>
      <c r="N58" s="124">
        <f>'Inputs by customer type'!N23</f>
        <v>0</v>
      </c>
      <c r="O58" s="124">
        <f>'Inputs by customer type'!O23</f>
        <v>0</v>
      </c>
      <c r="P58" s="124">
        <f>'Inputs by customer type'!P23</f>
        <v>0</v>
      </c>
      <c r="Q58" s="83"/>
      <c r="R58" s="124">
        <f>'Inputs by customer type'!R23</f>
        <v>68.229870901863052</v>
      </c>
      <c r="S58" s="124">
        <f>'Inputs by customer type'!S23</f>
        <v>0</v>
      </c>
      <c r="T58" s="124">
        <f>'Inputs by customer type'!T23</f>
        <v>4775.2942813887903</v>
      </c>
      <c r="U58" s="124">
        <f>'Inputs by customer type'!U23</f>
        <v>0</v>
      </c>
      <c r="V58" s="124">
        <f>'Inputs by customer type'!V23</f>
        <v>643.59278860763663</v>
      </c>
      <c r="W58" s="124">
        <f>'Inputs by customer type'!W23</f>
        <v>0</v>
      </c>
      <c r="X58" s="124">
        <f>'Inputs by customer type'!X23</f>
        <v>278149.15352828434</v>
      </c>
      <c r="Y58" s="124">
        <f>'Inputs by customer type'!Y23</f>
        <v>0</v>
      </c>
      <c r="AQ58" s="3"/>
    </row>
    <row r="59" spans="2:43" x14ac:dyDescent="0.3">
      <c r="E59" s="32"/>
      <c r="F59" s="72" t="s">
        <v>250</v>
      </c>
      <c r="G59" s="72" t="s">
        <v>209</v>
      </c>
      <c r="J59" s="331"/>
      <c r="K59" s="333">
        <f>'Inputs by customer type'!K24</f>
        <v>5824.4312721126043</v>
      </c>
      <c r="L59" s="333">
        <f>'Inputs by customer type'!L24</f>
        <v>0</v>
      </c>
      <c r="M59" s="333">
        <f>'Inputs by customer type'!M24</f>
        <v>502.36485110192183</v>
      </c>
      <c r="N59" s="333">
        <f>'Inputs by customer type'!N24</f>
        <v>0</v>
      </c>
      <c r="O59" s="333">
        <f>'Inputs by customer type'!O24</f>
        <v>0</v>
      </c>
      <c r="P59" s="333">
        <f>'Inputs by customer type'!P24</f>
        <v>0</v>
      </c>
      <c r="Q59" s="331"/>
      <c r="R59" s="333">
        <f>'Inputs by customer type'!R24</f>
        <v>449.63349348982825</v>
      </c>
      <c r="S59" s="333">
        <f>'Inputs by customer type'!S24</f>
        <v>0</v>
      </c>
      <c r="T59" s="333">
        <f>'Inputs by customer type'!T24</f>
        <v>23780.951178135838</v>
      </c>
      <c r="U59" s="333">
        <f>'Inputs by customer type'!U24</f>
        <v>0</v>
      </c>
      <c r="V59" s="333">
        <f>'Inputs by customer type'!V24</f>
        <v>2524.6060767726581</v>
      </c>
      <c r="W59" s="333">
        <f>'Inputs by customer type'!W24</f>
        <v>0</v>
      </c>
      <c r="X59" s="333">
        <f>'Inputs by customer type'!X24</f>
        <v>600091.23989919515</v>
      </c>
      <c r="Y59" s="333">
        <f>'Inputs by customer type'!Y24</f>
        <v>0</v>
      </c>
      <c r="AQ59" s="3"/>
    </row>
    <row r="60" spans="2:43" x14ac:dyDescent="0.3">
      <c r="E60" s="32"/>
      <c r="F60" s="72" t="s">
        <v>251</v>
      </c>
      <c r="G60" s="72" t="s">
        <v>209</v>
      </c>
      <c r="J60" s="331"/>
      <c r="K60" s="333">
        <f>'Inputs by customer type'!K25</f>
        <v>10388.832210240402</v>
      </c>
      <c r="L60" s="333">
        <f>'Inputs by customer type'!L25</f>
        <v>0</v>
      </c>
      <c r="M60" s="333">
        <f>'Inputs by customer type'!M25</f>
        <v>1825.2777420810467</v>
      </c>
      <c r="N60" s="333">
        <f>'Inputs by customer type'!N25</f>
        <v>0</v>
      </c>
      <c r="O60" s="333">
        <f>'Inputs by customer type'!O25</f>
        <v>0</v>
      </c>
      <c r="P60" s="333">
        <f>'Inputs by customer type'!P25</f>
        <v>0</v>
      </c>
      <c r="Q60" s="331"/>
      <c r="R60" s="333">
        <f>'Inputs by customer type'!R25</f>
        <v>251.99826680064848</v>
      </c>
      <c r="S60" s="333">
        <f>'Inputs by customer type'!S25</f>
        <v>0</v>
      </c>
      <c r="T60" s="333">
        <f>'Inputs by customer type'!T25</f>
        <v>24197.561642861572</v>
      </c>
      <c r="U60" s="333">
        <f>'Inputs by customer type'!U25</f>
        <v>0</v>
      </c>
      <c r="V60" s="333">
        <f>'Inputs by customer type'!V25</f>
        <v>4216.2054199370059</v>
      </c>
      <c r="W60" s="333">
        <f>'Inputs by customer type'!W25</f>
        <v>0</v>
      </c>
      <c r="X60" s="333">
        <f>'Inputs by customer type'!X25</f>
        <v>673152.99157943716</v>
      </c>
      <c r="Y60" s="333">
        <f>'Inputs by customer type'!Y25</f>
        <v>0</v>
      </c>
      <c r="AQ60" s="3"/>
    </row>
    <row r="61" spans="2:43" x14ac:dyDescent="0.3">
      <c r="E61" s="32"/>
      <c r="F61" s="72" t="s">
        <v>214</v>
      </c>
      <c r="G61" s="72" t="s">
        <v>214</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734.26186025829247</v>
      </c>
      <c r="U61" s="333">
        <f>'Inputs by customer type'!U26</f>
        <v>0</v>
      </c>
      <c r="V61" s="333">
        <f>'Inputs by customer type'!V26</f>
        <v>50.04201140862741</v>
      </c>
      <c r="W61" s="333">
        <f>'Inputs by customer type'!W26</f>
        <v>0</v>
      </c>
      <c r="X61" s="333">
        <f>'Inputs by customer type'!X26</f>
        <v>449.38337701268659</v>
      </c>
      <c r="Y61" s="333">
        <f>'Inputs by customer type'!Y26</f>
        <v>0</v>
      </c>
      <c r="AQ61" s="3"/>
    </row>
    <row r="62" spans="2:43" x14ac:dyDescent="0.3">
      <c r="E62" s="32"/>
      <c r="F62" s="72" t="s">
        <v>252</v>
      </c>
      <c r="G62" s="72" t="s">
        <v>253</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254</v>
      </c>
      <c r="G63" s="72" t="s">
        <v>253</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255</v>
      </c>
      <c r="G64" s="80" t="s">
        <v>256</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3663.5475540790721</v>
      </c>
      <c r="U64" s="125">
        <f>'Inputs by customer type'!U29</f>
        <v>0</v>
      </c>
      <c r="V64" s="125">
        <f>'Inputs by customer type'!V29</f>
        <v>397.56062338257436</v>
      </c>
      <c r="W64" s="125">
        <f>'Inputs by customer type'!W29</f>
        <v>0</v>
      </c>
      <c r="X64" s="125">
        <f>'Inputs by customer type'!X29</f>
        <v>20979.429173597407</v>
      </c>
      <c r="Y64" s="125">
        <f>'Inputs by customer type'!Y29</f>
        <v>0</v>
      </c>
      <c r="AQ64" s="3"/>
    </row>
    <row r="65" spans="3:43" x14ac:dyDescent="0.3">
      <c r="C65" s="29"/>
      <c r="AQ65" s="3"/>
    </row>
    <row r="66" spans="3:43" x14ac:dyDescent="0.3">
      <c r="C66" s="29"/>
      <c r="E66" s="32" t="s">
        <v>951</v>
      </c>
      <c r="G66" s="13"/>
      <c r="I66" t="s">
        <v>156</v>
      </c>
      <c r="AQ66" s="3"/>
    </row>
    <row r="67" spans="3:43" x14ac:dyDescent="0.3">
      <c r="C67" s="29"/>
      <c r="E67" s="32"/>
      <c r="F67" s="78" t="s">
        <v>249</v>
      </c>
      <c r="G67" s="78" t="s">
        <v>209</v>
      </c>
      <c r="H67" s="23"/>
      <c r="I67" s="23"/>
      <c r="J67" s="124">
        <f>'Inputs by customer type'!J32</f>
        <v>963611.57957705879</v>
      </c>
      <c r="K67" s="83"/>
      <c r="L67" s="124">
        <f>'Inputs by customer type'!L32</f>
        <v>10077.067617770306</v>
      </c>
      <c r="M67" s="83"/>
      <c r="N67" s="124">
        <f>'Inputs by customer type'!N32</f>
        <v>54447.012806749743</v>
      </c>
      <c r="O67" s="124">
        <f>'Inputs by customer type'!O32</f>
        <v>376.99845725371262</v>
      </c>
      <c r="P67" s="124">
        <f>'Inputs by customer type'!P32</f>
        <v>63516.588073736195</v>
      </c>
      <c r="Q67" s="124">
        <f>'Inputs by customer type'!Q32</f>
        <v>8811.3898575429248</v>
      </c>
      <c r="R67" s="83"/>
      <c r="S67" s="83"/>
      <c r="T67" s="83"/>
      <c r="U67" s="83"/>
      <c r="V67" s="83"/>
      <c r="W67" s="83"/>
      <c r="X67" s="83"/>
      <c r="Y67" s="83"/>
      <c r="AQ67" s="3"/>
    </row>
    <row r="68" spans="3:43" x14ac:dyDescent="0.3">
      <c r="E68" s="32"/>
      <c r="F68" s="72" t="s">
        <v>250</v>
      </c>
      <c r="G68" s="72" t="s">
        <v>209</v>
      </c>
      <c r="J68" s="333">
        <f>'Inputs by customer type'!J33</f>
        <v>2859384.3281420832</v>
      </c>
      <c r="K68" s="331"/>
      <c r="L68" s="333">
        <f>'Inputs by customer type'!L33</f>
        <v>41491.897751145232</v>
      </c>
      <c r="M68" s="331"/>
      <c r="N68" s="333">
        <f>'Inputs by customer type'!N33</f>
        <v>230531.15914503945</v>
      </c>
      <c r="O68" s="333">
        <f>'Inputs by customer type'!O33</f>
        <v>1467.1113163535954</v>
      </c>
      <c r="P68" s="333">
        <f>'Inputs by customer type'!P33</f>
        <v>243028.09309919522</v>
      </c>
      <c r="Q68" s="333">
        <f>'Inputs by customer type'!Q33</f>
        <v>49189.058441586792</v>
      </c>
      <c r="R68" s="331"/>
      <c r="S68" s="331"/>
      <c r="T68" s="331"/>
      <c r="U68" s="331"/>
      <c r="V68" s="331"/>
      <c r="W68" s="331"/>
      <c r="X68" s="331"/>
      <c r="Y68" s="331"/>
      <c r="AQ68" s="3"/>
    </row>
    <row r="69" spans="3:43" x14ac:dyDescent="0.3">
      <c r="E69" s="32"/>
      <c r="F69" s="72" t="s">
        <v>251</v>
      </c>
      <c r="G69" s="72" t="s">
        <v>209</v>
      </c>
      <c r="J69" s="333">
        <f>'Inputs by customer type'!J34</f>
        <v>4737373.0104243234</v>
      </c>
      <c r="K69" s="331"/>
      <c r="L69" s="333">
        <f>'Inputs by customer type'!L34</f>
        <v>45575.712249303608</v>
      </c>
      <c r="M69" s="331"/>
      <c r="N69" s="333">
        <f>'Inputs by customer type'!N34</f>
        <v>251242.6131015287</v>
      </c>
      <c r="O69" s="333">
        <f>'Inputs by customer type'!O34</f>
        <v>1640.7478089642348</v>
      </c>
      <c r="P69" s="333">
        <f>'Inputs by customer type'!P34</f>
        <v>346376.39665689884</v>
      </c>
      <c r="Q69" s="333">
        <f>'Inputs by customer type'!Q34</f>
        <v>159418.28502479228</v>
      </c>
      <c r="R69" s="331"/>
      <c r="S69" s="331"/>
      <c r="T69" s="331"/>
      <c r="U69" s="331"/>
      <c r="V69" s="331"/>
      <c r="W69" s="331"/>
      <c r="X69" s="331"/>
      <c r="Y69" s="331"/>
      <c r="AQ69" s="3"/>
    </row>
    <row r="70" spans="3:43" x14ac:dyDescent="0.3">
      <c r="E70" s="32"/>
      <c r="F70" s="72" t="s">
        <v>214</v>
      </c>
      <c r="G70" s="72" t="s">
        <v>214</v>
      </c>
      <c r="J70" s="333">
        <f>'Inputs by customer type'!J35</f>
        <v>2477396.9025159678</v>
      </c>
      <c r="K70" s="331"/>
      <c r="L70" s="333">
        <f>'Inputs by customer type'!L35</f>
        <v>66707.473785459209</v>
      </c>
      <c r="M70" s="331"/>
      <c r="N70" s="333">
        <f>'Inputs by customer type'!N35</f>
        <v>5372.1278746213347</v>
      </c>
      <c r="O70" s="333">
        <f>'Inputs by customer type'!O35</f>
        <v>13.688496567162147</v>
      </c>
      <c r="P70" s="333">
        <f>'Inputs by customer type'!P35</f>
        <v>1527.8223765518344</v>
      </c>
      <c r="Q70" s="333">
        <f>'Inputs by customer type'!Q35</f>
        <v>37.113907471596569</v>
      </c>
      <c r="R70" s="331"/>
      <c r="S70" s="331"/>
      <c r="T70" s="331"/>
      <c r="U70" s="331"/>
      <c r="V70" s="331"/>
      <c r="W70" s="331"/>
      <c r="X70" s="331"/>
      <c r="Y70" s="331"/>
      <c r="AQ70" s="3"/>
    </row>
    <row r="71" spans="3:43" x14ac:dyDescent="0.3">
      <c r="E71" s="32"/>
      <c r="F71" s="72" t="s">
        <v>252</v>
      </c>
      <c r="G71" s="72" t="s">
        <v>253</v>
      </c>
      <c r="J71" s="333">
        <f>'Inputs by customer type'!J36</f>
        <v>0</v>
      </c>
      <c r="K71" s="331"/>
      <c r="L71" s="333">
        <f>'Inputs by customer type'!L36</f>
        <v>0</v>
      </c>
      <c r="M71" s="331"/>
      <c r="N71" s="333">
        <f>'Inputs by customer type'!N36</f>
        <v>255460.28358215367</v>
      </c>
      <c r="O71" s="333">
        <f>'Inputs by customer type'!O36</f>
        <v>109.35326295178152</v>
      </c>
      <c r="P71" s="333">
        <f>'Inputs by customer type'!P36</f>
        <v>309930.28523199819</v>
      </c>
      <c r="Q71" s="333">
        <f>'Inputs by customer type'!Q36</f>
        <v>0</v>
      </c>
      <c r="R71" s="331"/>
      <c r="S71" s="331"/>
      <c r="T71" s="331"/>
      <c r="U71" s="331"/>
      <c r="V71" s="331"/>
      <c r="W71" s="331"/>
      <c r="X71" s="331"/>
      <c r="Y71" s="331"/>
      <c r="AQ71" s="3"/>
    </row>
    <row r="72" spans="3:43" x14ac:dyDescent="0.3">
      <c r="E72" s="32"/>
      <c r="F72" s="72" t="s">
        <v>254</v>
      </c>
      <c r="G72" s="72" t="s">
        <v>253</v>
      </c>
      <c r="J72" s="333">
        <f>'Inputs by customer type'!J37</f>
        <v>0</v>
      </c>
      <c r="K72" s="331"/>
      <c r="L72" s="333">
        <f>'Inputs by customer type'!L37</f>
        <v>0</v>
      </c>
      <c r="M72" s="331"/>
      <c r="N72" s="333">
        <f>'Inputs by customer type'!N37</f>
        <v>4359.4712095938203</v>
      </c>
      <c r="O72" s="333">
        <f>'Inputs by customer type'!O37</f>
        <v>0.61790524733844565</v>
      </c>
      <c r="P72" s="333">
        <f>'Inputs by customer type'!P37</f>
        <v>4018.3170988580564</v>
      </c>
      <c r="Q72" s="333">
        <f>'Inputs by customer type'!Q37</f>
        <v>0</v>
      </c>
      <c r="R72" s="331"/>
      <c r="S72" s="331"/>
      <c r="T72" s="331"/>
      <c r="U72" s="331"/>
      <c r="V72" s="331"/>
      <c r="W72" s="331"/>
      <c r="X72" s="331"/>
      <c r="Y72" s="331"/>
      <c r="AQ72" s="3"/>
    </row>
    <row r="73" spans="3:43" x14ac:dyDescent="0.3">
      <c r="E73" s="32"/>
      <c r="F73" s="80" t="s">
        <v>255</v>
      </c>
      <c r="G73" s="80" t="s">
        <v>256</v>
      </c>
      <c r="H73" s="37"/>
      <c r="I73" s="37"/>
      <c r="J73" s="125">
        <f>'Inputs by customer type'!J38</f>
        <v>0</v>
      </c>
      <c r="K73" s="81"/>
      <c r="L73" s="125">
        <f>'Inputs by customer type'!L38</f>
        <v>0</v>
      </c>
      <c r="M73" s="81"/>
      <c r="N73" s="125">
        <f>'Inputs by customer type'!N38</f>
        <v>57440.724377999293</v>
      </c>
      <c r="O73" s="125">
        <f>'Inputs by customer type'!O38</f>
        <v>490.70112202356984</v>
      </c>
      <c r="P73" s="125">
        <f>'Inputs by customer type'!P38</f>
        <v>54589.717629115243</v>
      </c>
      <c r="Q73" s="125">
        <f>'Inputs by customer type'!Q38</f>
        <v>0</v>
      </c>
      <c r="R73" s="81"/>
      <c r="S73" s="81"/>
      <c r="T73" s="81"/>
      <c r="U73" s="81"/>
      <c r="V73" s="81"/>
      <c r="W73" s="81"/>
      <c r="X73" s="81"/>
      <c r="Y73" s="81"/>
      <c r="AQ73" s="3"/>
    </row>
    <row r="74" spans="3:43" x14ac:dyDescent="0.3">
      <c r="AQ74" s="3"/>
    </row>
    <row r="75" spans="3:43" x14ac:dyDescent="0.3">
      <c r="C75" s="29"/>
      <c r="E75" s="32" t="s">
        <v>952</v>
      </c>
      <c r="G75" s="13"/>
      <c r="I75" t="s">
        <v>156</v>
      </c>
      <c r="AQ75" s="3"/>
    </row>
    <row r="76" spans="3:43" x14ac:dyDescent="0.3">
      <c r="C76" s="29"/>
      <c r="E76" s="32"/>
      <c r="F76" s="78" t="s">
        <v>249</v>
      </c>
      <c r="G76" s="78" t="s">
        <v>209</v>
      </c>
      <c r="H76" s="23"/>
      <c r="I76" s="23"/>
      <c r="J76" s="83"/>
      <c r="K76" s="83"/>
      <c r="L76" s="124">
        <f>'Inputs by customer type'!L41</f>
        <v>46380.797342607533</v>
      </c>
      <c r="M76" s="83"/>
      <c r="N76" s="124">
        <f>'Inputs by customer type'!N41</f>
        <v>98684.405595474527</v>
      </c>
      <c r="O76" s="124">
        <f>'Inputs by customer type'!O41</f>
        <v>745.06830569498231</v>
      </c>
      <c r="P76" s="124">
        <f>'Inputs by customer type'!P41</f>
        <v>155361.22844926195</v>
      </c>
      <c r="Q76" s="83"/>
      <c r="R76" s="83"/>
      <c r="S76" s="83"/>
      <c r="T76" s="83"/>
      <c r="U76" s="83"/>
      <c r="V76" s="83"/>
      <c r="W76" s="83"/>
      <c r="X76" s="83"/>
      <c r="Y76" s="83"/>
      <c r="AQ76" s="3"/>
    </row>
    <row r="77" spans="3:43" x14ac:dyDescent="0.3">
      <c r="E77" s="32"/>
      <c r="F77" s="72" t="s">
        <v>250</v>
      </c>
      <c r="G77" s="72" t="s">
        <v>209</v>
      </c>
      <c r="J77" s="331"/>
      <c r="K77" s="331"/>
      <c r="L77" s="333">
        <f>'Inputs by customer type'!L42</f>
        <v>190970.96238219619</v>
      </c>
      <c r="M77" s="331"/>
      <c r="N77" s="333">
        <f>'Inputs by customer type'!N42</f>
        <v>417834.31704895449</v>
      </c>
      <c r="O77" s="333">
        <f>'Inputs by customer type'!O42</f>
        <v>2899.4764347427417</v>
      </c>
      <c r="P77" s="333">
        <f>'Inputs by customer type'!P42</f>
        <v>594445.39193037932</v>
      </c>
      <c r="Q77" s="331"/>
      <c r="R77" s="331"/>
      <c r="S77" s="331"/>
      <c r="T77" s="331"/>
      <c r="U77" s="331"/>
      <c r="V77" s="331"/>
      <c r="W77" s="331"/>
      <c r="X77" s="331"/>
      <c r="Y77" s="331"/>
      <c r="AQ77" s="3"/>
    </row>
    <row r="78" spans="3:43" x14ac:dyDescent="0.3">
      <c r="E78" s="32"/>
      <c r="F78" s="72" t="s">
        <v>251</v>
      </c>
      <c r="G78" s="72" t="s">
        <v>209</v>
      </c>
      <c r="J78" s="331"/>
      <c r="K78" s="331"/>
      <c r="L78" s="333">
        <f>'Inputs by customer type'!L43</f>
        <v>209767.16181325607</v>
      </c>
      <c r="M78" s="331"/>
      <c r="N78" s="333">
        <f>'Inputs by customer type'!N43</f>
        <v>455373.52108148136</v>
      </c>
      <c r="O78" s="333">
        <f>'Inputs by customer type'!O43</f>
        <v>3242.6371158199172</v>
      </c>
      <c r="P78" s="333">
        <f>'Inputs by customer type'!P43</f>
        <v>847234.77948741138</v>
      </c>
      <c r="Q78" s="331"/>
      <c r="R78" s="331"/>
      <c r="S78" s="331"/>
      <c r="T78" s="331"/>
      <c r="U78" s="331"/>
      <c r="V78" s="331"/>
      <c r="W78" s="331"/>
      <c r="X78" s="331"/>
      <c r="Y78" s="331"/>
      <c r="AQ78" s="3"/>
    </row>
    <row r="79" spans="3:43" x14ac:dyDescent="0.3">
      <c r="E79" s="32"/>
      <c r="F79" s="72" t="s">
        <v>214</v>
      </c>
      <c r="G79" s="72" t="s">
        <v>214</v>
      </c>
      <c r="J79" s="331"/>
      <c r="K79" s="331"/>
      <c r="L79" s="333">
        <f>'Inputs by customer type'!L44</f>
        <v>58008.136695282345</v>
      </c>
      <c r="M79" s="331"/>
      <c r="N79" s="333">
        <f>'Inputs by customer type'!N44</f>
        <v>5652.2294775029186</v>
      </c>
      <c r="O79" s="333">
        <f>'Inputs by customer type'!O44</f>
        <v>36.958940731337798</v>
      </c>
      <c r="P79" s="333">
        <f>'Inputs by customer type'!P44</f>
        <v>1064.0737565844663</v>
      </c>
      <c r="Q79" s="331"/>
      <c r="R79" s="331"/>
      <c r="S79" s="331"/>
      <c r="T79" s="331"/>
      <c r="U79" s="331"/>
      <c r="V79" s="331"/>
      <c r="W79" s="331"/>
      <c r="X79" s="331"/>
      <c r="Y79" s="331"/>
      <c r="AQ79" s="3"/>
    </row>
    <row r="80" spans="3:43" x14ac:dyDescent="0.3">
      <c r="E80" s="32"/>
      <c r="F80" s="72" t="s">
        <v>252</v>
      </c>
      <c r="G80" s="72" t="s">
        <v>253</v>
      </c>
      <c r="J80" s="331"/>
      <c r="K80" s="331"/>
      <c r="L80" s="333">
        <f>'Inputs by customer type'!L45</f>
        <v>0</v>
      </c>
      <c r="M80" s="331"/>
      <c r="N80" s="333">
        <f>'Inputs by customer type'!N45</f>
        <v>662575.12256898556</v>
      </c>
      <c r="O80" s="333">
        <f>'Inputs by customer type'!O45</f>
        <v>4932.5751714703129</v>
      </c>
      <c r="P80" s="333">
        <f>'Inputs by customer type'!P45</f>
        <v>692359.02086749545</v>
      </c>
      <c r="Q80" s="331"/>
      <c r="R80" s="331"/>
      <c r="S80" s="331"/>
      <c r="T80" s="331"/>
      <c r="U80" s="331"/>
      <c r="V80" s="331"/>
      <c r="W80" s="331"/>
      <c r="X80" s="331"/>
      <c r="Y80" s="331"/>
      <c r="AQ80" s="3"/>
    </row>
    <row r="81" spans="3:43" x14ac:dyDescent="0.3">
      <c r="E81" s="32"/>
      <c r="F81" s="72" t="s">
        <v>254</v>
      </c>
      <c r="G81" s="72" t="s">
        <v>253</v>
      </c>
      <c r="J81" s="331"/>
      <c r="K81" s="331"/>
      <c r="L81" s="333">
        <f>'Inputs by customer type'!L46</f>
        <v>0</v>
      </c>
      <c r="M81" s="331"/>
      <c r="N81" s="333">
        <f>'Inputs by customer type'!N46</f>
        <v>11306.952026081508</v>
      </c>
      <c r="O81" s="333">
        <f>'Inputs by customer type'!O46</f>
        <v>27.87172507771233</v>
      </c>
      <c r="P81" s="333">
        <f>'Inputs by customer type'!P46</f>
        <v>8976.5932039133422</v>
      </c>
      <c r="Q81" s="331"/>
      <c r="R81" s="331"/>
      <c r="S81" s="331"/>
      <c r="T81" s="331"/>
      <c r="U81" s="331"/>
      <c r="V81" s="331"/>
      <c r="W81" s="331"/>
      <c r="X81" s="331"/>
      <c r="Y81" s="331"/>
      <c r="AQ81" s="3"/>
    </row>
    <row r="82" spans="3:43" x14ac:dyDescent="0.3">
      <c r="E82" s="32"/>
      <c r="F82" s="80" t="s">
        <v>255</v>
      </c>
      <c r="G82" s="80" t="s">
        <v>256</v>
      </c>
      <c r="H82" s="37"/>
      <c r="I82" s="37"/>
      <c r="J82" s="81"/>
      <c r="K82" s="81"/>
      <c r="L82" s="125">
        <f>'Inputs by customer type'!L47</f>
        <v>0</v>
      </c>
      <c r="M82" s="81"/>
      <c r="N82" s="125">
        <f>'Inputs by customer type'!N47</f>
        <v>104110.46354986852</v>
      </c>
      <c r="O82" s="125">
        <f>'Inputs by customer type'!O47</f>
        <v>969.78076847323098</v>
      </c>
      <c r="P82" s="125">
        <f>'Inputs by customer type'!P47</f>
        <v>133526.15196697853</v>
      </c>
      <c r="Q82" s="81"/>
      <c r="R82" s="81"/>
      <c r="S82" s="81"/>
      <c r="T82" s="81"/>
      <c r="U82" s="81"/>
      <c r="V82" s="81"/>
      <c r="W82" s="81"/>
      <c r="X82" s="81"/>
      <c r="Y82" s="81"/>
      <c r="AQ82" s="3"/>
    </row>
    <row r="83" spans="3:43" x14ac:dyDescent="0.3">
      <c r="AQ83" s="3"/>
    </row>
    <row r="84" spans="3:43" x14ac:dyDescent="0.3">
      <c r="C84" s="29"/>
      <c r="E84" s="32" t="s">
        <v>953</v>
      </c>
      <c r="G84" s="13"/>
      <c r="I84" t="s">
        <v>156</v>
      </c>
      <c r="AQ84" s="3"/>
    </row>
    <row r="85" spans="3:43" x14ac:dyDescent="0.3">
      <c r="C85" s="29"/>
      <c r="E85" s="32"/>
      <c r="F85" s="78" t="s">
        <v>249</v>
      </c>
      <c r="G85" s="78" t="s">
        <v>209</v>
      </c>
      <c r="H85" s="23"/>
      <c r="I85" s="23"/>
      <c r="J85" s="83"/>
      <c r="K85" s="83"/>
      <c r="L85" s="124">
        <f>'Inputs by customer type'!L50</f>
        <v>57407.439884495587</v>
      </c>
      <c r="M85" s="83"/>
      <c r="N85" s="124">
        <f>'Inputs by customer type'!N50</f>
        <v>62815.054690667086</v>
      </c>
      <c r="O85" s="124">
        <f>'Inputs by customer type'!O50</f>
        <v>1577.1131724573945</v>
      </c>
      <c r="P85" s="124">
        <f>'Inputs by customer type'!P50</f>
        <v>109995.27078543647</v>
      </c>
      <c r="Q85" s="83"/>
      <c r="R85" s="83"/>
      <c r="S85" s="83"/>
      <c r="T85" s="83"/>
      <c r="U85" s="83"/>
      <c r="V85" s="83"/>
      <c r="W85" s="83"/>
      <c r="X85" s="83"/>
      <c r="Y85" s="83"/>
      <c r="AQ85" s="3"/>
    </row>
    <row r="86" spans="3:43" x14ac:dyDescent="0.3">
      <c r="E86" s="32"/>
      <c r="F86" s="72" t="s">
        <v>250</v>
      </c>
      <c r="G86" s="72" t="s">
        <v>209</v>
      </c>
      <c r="J86" s="331"/>
      <c r="K86" s="331"/>
      <c r="L86" s="333">
        <f>'Inputs by customer type'!L51</f>
        <v>236372.69453686033</v>
      </c>
      <c r="M86" s="331"/>
      <c r="N86" s="333">
        <f>'Inputs by customer type'!N51</f>
        <v>265961.83377397986</v>
      </c>
      <c r="O86" s="333">
        <f>'Inputs by customer type'!O51</f>
        <v>6137.4271909166473</v>
      </c>
      <c r="P86" s="333">
        <f>'Inputs by customer type'!P51</f>
        <v>420865.50489584269</v>
      </c>
      <c r="Q86" s="331"/>
      <c r="R86" s="331"/>
      <c r="S86" s="331"/>
      <c r="T86" s="331"/>
      <c r="U86" s="331"/>
      <c r="V86" s="331"/>
      <c r="W86" s="331"/>
      <c r="X86" s="331"/>
      <c r="Y86" s="331"/>
      <c r="AQ86" s="3"/>
    </row>
    <row r="87" spans="3:43" x14ac:dyDescent="0.3">
      <c r="E87" s="32"/>
      <c r="F87" s="72" t="s">
        <v>251</v>
      </c>
      <c r="G87" s="72" t="s">
        <v>209</v>
      </c>
      <c r="J87" s="331"/>
      <c r="K87" s="331"/>
      <c r="L87" s="333">
        <f>'Inputs by customer type'!L52</f>
        <v>259637.53151076686</v>
      </c>
      <c r="M87" s="331"/>
      <c r="N87" s="333">
        <f>'Inputs by customer type'!N52</f>
        <v>289856.46170550201</v>
      </c>
      <c r="O87" s="333">
        <f>'Inputs by customer type'!O52</f>
        <v>6863.8078814648015</v>
      </c>
      <c r="P87" s="333">
        <f>'Inputs by customer type'!P52</f>
        <v>599839.6119723788</v>
      </c>
      <c r="Q87" s="331"/>
      <c r="R87" s="331"/>
      <c r="S87" s="331"/>
      <c r="T87" s="331"/>
      <c r="U87" s="331"/>
      <c r="V87" s="331"/>
      <c r="W87" s="331"/>
      <c r="X87" s="331"/>
      <c r="Y87" s="331"/>
      <c r="AQ87" s="3"/>
    </row>
    <row r="88" spans="3:43" x14ac:dyDescent="0.3">
      <c r="E88" s="32"/>
      <c r="F88" s="72" t="s">
        <v>214</v>
      </c>
      <c r="G88" s="72" t="s">
        <v>214</v>
      </c>
      <c r="J88" s="331"/>
      <c r="K88" s="331"/>
      <c r="L88" s="333">
        <f>'Inputs by customer type'!L53</f>
        <v>28801.983103357954</v>
      </c>
      <c r="M88" s="331"/>
      <c r="N88" s="333">
        <f>'Inputs by customer type'!N53</f>
        <v>2296.0299849110434</v>
      </c>
      <c r="O88" s="333">
        <f>'Inputs by customer type'!O53</f>
        <v>47.909737985067515</v>
      </c>
      <c r="P88" s="333">
        <f>'Inputs by customer type'!P53</f>
        <v>340.42206388813389</v>
      </c>
      <c r="Q88" s="331"/>
      <c r="R88" s="331"/>
      <c r="S88" s="331"/>
      <c r="T88" s="331"/>
      <c r="U88" s="331"/>
      <c r="V88" s="331"/>
      <c r="W88" s="331"/>
      <c r="X88" s="331"/>
      <c r="Y88" s="331"/>
      <c r="AQ88" s="3"/>
    </row>
    <row r="89" spans="3:43" x14ac:dyDescent="0.3">
      <c r="E89" s="32"/>
      <c r="F89" s="72" t="s">
        <v>252</v>
      </c>
      <c r="G89" s="72" t="s">
        <v>253</v>
      </c>
      <c r="J89" s="331"/>
      <c r="K89" s="331"/>
      <c r="L89" s="333">
        <f>'Inputs by customer type'!L54</f>
        <v>0</v>
      </c>
      <c r="M89" s="331"/>
      <c r="N89" s="333">
        <f>'Inputs by customer type'!N54</f>
        <v>417880.79807264765</v>
      </c>
      <c r="O89" s="333">
        <f>'Inputs by customer type'!O54</f>
        <v>9375.6306287699972</v>
      </c>
      <c r="P89" s="333">
        <f>'Inputs by customer type'!P54</f>
        <v>463240.66916449316</v>
      </c>
      <c r="Q89" s="331"/>
      <c r="R89" s="331"/>
      <c r="S89" s="331"/>
      <c r="T89" s="331"/>
      <c r="U89" s="331"/>
      <c r="V89" s="331"/>
      <c r="W89" s="331"/>
      <c r="X89" s="331"/>
      <c r="Y89" s="331"/>
      <c r="AQ89" s="3"/>
    </row>
    <row r="90" spans="3:43" x14ac:dyDescent="0.3">
      <c r="E90" s="32"/>
      <c r="F90" s="72" t="s">
        <v>254</v>
      </c>
      <c r="G90" s="72" t="s">
        <v>253</v>
      </c>
      <c r="J90" s="331"/>
      <c r="K90" s="331"/>
      <c r="L90" s="333">
        <f>'Inputs by customer type'!L55</f>
        <v>0</v>
      </c>
      <c r="M90" s="331"/>
      <c r="N90" s="333">
        <f>'Inputs by customer type'!N55</f>
        <v>7131.2036559841272</v>
      </c>
      <c r="O90" s="333">
        <f>'Inputs by customer type'!O55</f>
        <v>52.977398261801497</v>
      </c>
      <c r="P90" s="333">
        <f>'Inputs by customer type'!P55</f>
        <v>6006.0213231396365</v>
      </c>
      <c r="Q90" s="331"/>
      <c r="R90" s="331"/>
      <c r="S90" s="331"/>
      <c r="T90" s="331"/>
      <c r="U90" s="331"/>
      <c r="V90" s="331"/>
      <c r="W90" s="331"/>
      <c r="X90" s="331"/>
      <c r="Y90" s="331"/>
      <c r="AQ90" s="3"/>
    </row>
    <row r="91" spans="3:43" x14ac:dyDescent="0.3">
      <c r="E91" s="32"/>
      <c r="F91" s="80" t="s">
        <v>255</v>
      </c>
      <c r="G91" s="80" t="s">
        <v>256</v>
      </c>
      <c r="H91" s="37"/>
      <c r="I91" s="37"/>
      <c r="J91" s="81"/>
      <c r="K91" s="81"/>
      <c r="L91" s="125">
        <f>'Inputs by customer type'!L56</f>
        <v>0</v>
      </c>
      <c r="M91" s="81"/>
      <c r="N91" s="125">
        <f>'Inputs by customer type'!N56</f>
        <v>66268.874218720433</v>
      </c>
      <c r="O91" s="125">
        <f>'Inputs by customer type'!O56</f>
        <v>2052.7702126966042</v>
      </c>
      <c r="P91" s="125">
        <f>'Inputs by customer type'!P56</f>
        <v>94536.103950424949</v>
      </c>
      <c r="Q91" s="81"/>
      <c r="R91" s="81"/>
      <c r="S91" s="81"/>
      <c r="T91" s="81"/>
      <c r="U91" s="81"/>
      <c r="V91" s="81"/>
      <c r="W91" s="81"/>
      <c r="X91" s="81"/>
      <c r="Y91" s="81"/>
      <c r="AQ91" s="3"/>
    </row>
    <row r="92" spans="3:43" x14ac:dyDescent="0.3">
      <c r="AQ92" s="3"/>
    </row>
    <row r="93" spans="3:43" x14ac:dyDescent="0.3">
      <c r="C93" s="29"/>
      <c r="E93" s="32" t="s">
        <v>954</v>
      </c>
      <c r="G93" s="13"/>
      <c r="I93" t="s">
        <v>156</v>
      </c>
      <c r="AQ93" s="3"/>
    </row>
    <row r="94" spans="3:43" x14ac:dyDescent="0.3">
      <c r="C94" s="29"/>
      <c r="E94" s="32"/>
      <c r="F94" s="78" t="s">
        <v>249</v>
      </c>
      <c r="G94" s="78" t="s">
        <v>209</v>
      </c>
      <c r="H94" s="23"/>
      <c r="I94" s="23"/>
      <c r="J94" s="83"/>
      <c r="K94" s="83"/>
      <c r="L94" s="124">
        <f>'Inputs by customer type'!L59</f>
        <v>203593.86779338852</v>
      </c>
      <c r="M94" s="83"/>
      <c r="N94" s="124">
        <f>'Inputs by customer type'!N59</f>
        <v>109573.68863907221</v>
      </c>
      <c r="O94" s="124">
        <f>'Inputs by customer type'!O59</f>
        <v>22666.167120639308</v>
      </c>
      <c r="P94" s="124">
        <f>'Inputs by customer type'!P59</f>
        <v>331849.9096835152</v>
      </c>
      <c r="Q94" s="83"/>
      <c r="R94" s="83"/>
      <c r="S94" s="83"/>
      <c r="T94" s="83"/>
      <c r="U94" s="83"/>
      <c r="V94" s="83"/>
      <c r="W94" s="83"/>
      <c r="X94" s="83"/>
      <c r="Y94" s="83"/>
      <c r="AQ94" s="3"/>
    </row>
    <row r="95" spans="3:43" x14ac:dyDescent="0.3">
      <c r="E95" s="32"/>
      <c r="F95" s="72" t="s">
        <v>250</v>
      </c>
      <c r="G95" s="72" t="s">
        <v>209</v>
      </c>
      <c r="J95" s="331"/>
      <c r="K95" s="331"/>
      <c r="L95" s="333">
        <f>'Inputs by customer type'!L60</f>
        <v>838289.10012936732</v>
      </c>
      <c r="M95" s="331"/>
      <c r="N95" s="333">
        <f>'Inputs by customer type'!N60</f>
        <v>463940.0428342963</v>
      </c>
      <c r="O95" s="333">
        <f>'Inputs by customer type'!O60</f>
        <v>88206.701224436474</v>
      </c>
      <c r="P95" s="333">
        <f>'Inputs by customer type'!P60</f>
        <v>1269728.9509930837</v>
      </c>
      <c r="Q95" s="331"/>
      <c r="R95" s="331"/>
      <c r="S95" s="331"/>
      <c r="T95" s="331"/>
      <c r="U95" s="331"/>
      <c r="V95" s="331"/>
      <c r="W95" s="331"/>
      <c r="X95" s="331"/>
      <c r="Y95" s="331"/>
      <c r="AQ95" s="3"/>
    </row>
    <row r="96" spans="3:43" x14ac:dyDescent="0.3">
      <c r="E96" s="32"/>
      <c r="F96" s="72" t="s">
        <v>251</v>
      </c>
      <c r="G96" s="72" t="s">
        <v>209</v>
      </c>
      <c r="J96" s="331"/>
      <c r="K96" s="331"/>
      <c r="L96" s="333">
        <f>'Inputs by customer type'!L61</f>
        <v>920797.18884801259</v>
      </c>
      <c r="M96" s="331"/>
      <c r="N96" s="333">
        <f>'Inputs by customer type'!N61</f>
        <v>505621.49219398445</v>
      </c>
      <c r="O96" s="333">
        <f>'Inputs by customer type'!O61</f>
        <v>98646.196888223174</v>
      </c>
      <c r="P96" s="333">
        <f>'Inputs by customer type'!P61</f>
        <v>1809684.3585750242</v>
      </c>
      <c r="Q96" s="331"/>
      <c r="R96" s="331"/>
      <c r="S96" s="331"/>
      <c r="T96" s="331"/>
      <c r="U96" s="331"/>
      <c r="V96" s="331"/>
      <c r="W96" s="331"/>
      <c r="X96" s="331"/>
      <c r="Y96" s="331"/>
      <c r="AQ96" s="3"/>
    </row>
    <row r="97" spans="3:43" x14ac:dyDescent="0.3">
      <c r="E97" s="32"/>
      <c r="F97" s="72" t="s">
        <v>214</v>
      </c>
      <c r="G97" s="72" t="s">
        <v>214</v>
      </c>
      <c r="J97" s="331"/>
      <c r="K97" s="331"/>
      <c r="L97" s="333">
        <f>'Inputs by customer type'!L62</f>
        <v>32773.441732823128</v>
      </c>
      <c r="M97" s="331"/>
      <c r="N97" s="333">
        <f>'Inputs by customer type'!N62</f>
        <v>2193.6272483736902</v>
      </c>
      <c r="O97" s="333">
        <f>'Inputs by customer type'!O62</f>
        <v>402.44179907456714</v>
      </c>
      <c r="P97" s="333">
        <f>'Inputs by customer type'!P62</f>
        <v>394.44113390631082</v>
      </c>
      <c r="Q97" s="331"/>
      <c r="R97" s="331"/>
      <c r="S97" s="331"/>
      <c r="T97" s="331"/>
      <c r="U97" s="331"/>
      <c r="V97" s="331"/>
      <c r="W97" s="331"/>
      <c r="X97" s="331"/>
      <c r="Y97" s="331"/>
      <c r="AQ97" s="3"/>
    </row>
    <row r="98" spans="3:43" x14ac:dyDescent="0.3">
      <c r="E98" s="32"/>
      <c r="F98" s="72" t="s">
        <v>252</v>
      </c>
      <c r="G98" s="72" t="s">
        <v>253</v>
      </c>
      <c r="J98" s="331"/>
      <c r="K98" s="331"/>
      <c r="L98" s="333">
        <f>'Inputs by customer type'!L63</f>
        <v>0</v>
      </c>
      <c r="M98" s="331"/>
      <c r="N98" s="333">
        <f>'Inputs by customer type'!N63</f>
        <v>695650.9327625141</v>
      </c>
      <c r="O98" s="333">
        <f>'Inputs by customer type'!O63</f>
        <v>215017.71917869226</v>
      </c>
      <c r="P98" s="333">
        <f>'Inputs by customer type'!P63</f>
        <v>1290688.6557104315</v>
      </c>
      <c r="Q98" s="331"/>
      <c r="R98" s="331"/>
      <c r="S98" s="331"/>
      <c r="T98" s="331"/>
      <c r="U98" s="331"/>
      <c r="V98" s="331"/>
      <c r="W98" s="331"/>
      <c r="X98" s="331"/>
      <c r="Y98" s="331"/>
      <c r="AQ98" s="3"/>
    </row>
    <row r="99" spans="3:43" x14ac:dyDescent="0.3">
      <c r="E99" s="32"/>
      <c r="F99" s="72" t="s">
        <v>254</v>
      </c>
      <c r="G99" s="72" t="s">
        <v>253</v>
      </c>
      <c r="J99" s="331"/>
      <c r="K99" s="331"/>
      <c r="L99" s="333">
        <f>'Inputs by customer type'!L64</f>
        <v>0</v>
      </c>
      <c r="M99" s="331"/>
      <c r="N99" s="333">
        <f>'Inputs by customer type'!N64</f>
        <v>11871.396096411157</v>
      </c>
      <c r="O99" s="333">
        <f>'Inputs by customer type'!O64</f>
        <v>1214.9667359248544</v>
      </c>
      <c r="P99" s="333">
        <f>'Inputs by customer type'!P64</f>
        <v>16734.073892330565</v>
      </c>
      <c r="Q99" s="331"/>
      <c r="R99" s="331"/>
      <c r="S99" s="331"/>
      <c r="T99" s="331"/>
      <c r="U99" s="331"/>
      <c r="V99" s="331"/>
      <c r="W99" s="331"/>
      <c r="X99" s="331"/>
      <c r="Y99" s="331"/>
      <c r="AQ99" s="3"/>
    </row>
    <row r="100" spans="3:43" x14ac:dyDescent="0.3">
      <c r="E100" s="32"/>
      <c r="F100" s="80" t="s">
        <v>255</v>
      </c>
      <c r="G100" s="80" t="s">
        <v>256</v>
      </c>
      <c r="H100" s="37"/>
      <c r="I100" s="37"/>
      <c r="J100" s="81"/>
      <c r="K100" s="81"/>
      <c r="L100" s="125">
        <f>'Inputs by customer type'!L65</f>
        <v>0</v>
      </c>
      <c r="M100" s="81"/>
      <c r="N100" s="125">
        <f>'Inputs by customer type'!N65</f>
        <v>115598.48233615856</v>
      </c>
      <c r="O100" s="125">
        <f>'Inputs by customer type'!O65</f>
        <v>29502.27891937063</v>
      </c>
      <c r="P100" s="125">
        <f>'Inputs by customer type'!P65</f>
        <v>285210.42162781412</v>
      </c>
      <c r="Q100" s="81"/>
      <c r="R100" s="81"/>
      <c r="S100" s="81"/>
      <c r="T100" s="81"/>
      <c r="U100" s="81"/>
      <c r="V100" s="81"/>
      <c r="W100" s="81"/>
      <c r="X100" s="81"/>
      <c r="Y100" s="81"/>
      <c r="AQ100" s="3"/>
    </row>
    <row r="101" spans="3:43" x14ac:dyDescent="0.3">
      <c r="AQ101" s="3"/>
    </row>
    <row r="102" spans="3:43" x14ac:dyDescent="0.3">
      <c r="C102" s="29"/>
      <c r="D102" s="29" t="s">
        <v>967</v>
      </c>
      <c r="AQ102" s="3"/>
    </row>
    <row r="103" spans="3:43" x14ac:dyDescent="0.3">
      <c r="AQ103" s="3"/>
    </row>
    <row r="104" spans="3:43" x14ac:dyDescent="0.3">
      <c r="E104" s="32" t="s">
        <v>912</v>
      </c>
      <c r="G104" s="13"/>
      <c r="I104" t="s">
        <v>156</v>
      </c>
      <c r="AQ104" s="3"/>
    </row>
    <row r="105" spans="3:43" x14ac:dyDescent="0.3">
      <c r="E105" s="32"/>
      <c r="F105" s="78" t="s">
        <v>249</v>
      </c>
      <c r="G105" s="78" t="s">
        <v>209</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1.8728551428838309</v>
      </c>
      <c r="S105" s="83"/>
      <c r="T105" s="124">
        <f>'Inputs by customer type'!T70</f>
        <v>0</v>
      </c>
      <c r="U105" s="124">
        <f>'Inputs by customer type'!U70</f>
        <v>0</v>
      </c>
      <c r="V105" s="83"/>
      <c r="W105" s="83"/>
      <c r="X105" s="83"/>
      <c r="Y105" s="83"/>
      <c r="AQ105" s="3"/>
    </row>
    <row r="106" spans="3:43" x14ac:dyDescent="0.3">
      <c r="E106" s="32"/>
      <c r="F106" s="72" t="s">
        <v>250</v>
      </c>
      <c r="G106" s="72" t="s">
        <v>209</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9.0445144810384299</v>
      </c>
      <c r="S106" s="331"/>
      <c r="T106" s="333">
        <f>'Inputs by customer type'!T71</f>
        <v>0</v>
      </c>
      <c r="U106" s="333">
        <f>'Inputs by customer type'!U71</f>
        <v>0</v>
      </c>
      <c r="V106" s="331"/>
      <c r="W106" s="331"/>
      <c r="X106" s="331"/>
      <c r="Y106" s="331"/>
      <c r="AQ106" s="3"/>
    </row>
    <row r="107" spans="3:43" x14ac:dyDescent="0.3">
      <c r="E107" s="32"/>
      <c r="F107" s="72" t="s">
        <v>251</v>
      </c>
      <c r="G107" s="72" t="s">
        <v>209</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5.2527047793455779</v>
      </c>
      <c r="S107" s="331"/>
      <c r="T107" s="333">
        <f>'Inputs by customer type'!T72</f>
        <v>0</v>
      </c>
      <c r="U107" s="333">
        <f>'Inputs by customer type'!U72</f>
        <v>0</v>
      </c>
      <c r="V107" s="331"/>
      <c r="W107" s="331"/>
      <c r="X107" s="331"/>
      <c r="Y107" s="331"/>
      <c r="AQ107" s="3"/>
    </row>
    <row r="108" spans="3:43" x14ac:dyDescent="0.3">
      <c r="E108" s="32"/>
      <c r="F108" s="72" t="s">
        <v>214</v>
      </c>
      <c r="G108" s="72" t="s">
        <v>214</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252</v>
      </c>
      <c r="G109" s="72" t="s">
        <v>253</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254</v>
      </c>
      <c r="G110" s="72" t="s">
        <v>253</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255</v>
      </c>
      <c r="G111" s="80" t="s">
        <v>256</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955</v>
      </c>
      <c r="G113" s="13"/>
      <c r="I113" t="s">
        <v>156</v>
      </c>
      <c r="AQ113" s="3"/>
    </row>
    <row r="114" spans="5:43" x14ac:dyDescent="0.3">
      <c r="E114" s="32"/>
      <c r="F114" s="78" t="s">
        <v>249</v>
      </c>
      <c r="G114" s="78" t="s">
        <v>209</v>
      </c>
      <c r="H114" s="23"/>
      <c r="I114" s="23"/>
      <c r="J114" s="124">
        <f>'Inputs by customer type'!J79</f>
        <v>16844.83009576039</v>
      </c>
      <c r="K114" s="83"/>
      <c r="L114" s="124">
        <f>'Inputs by customer type'!L79</f>
        <v>18.942393434249407</v>
      </c>
      <c r="M114" s="83"/>
      <c r="N114" s="124">
        <f>'Inputs by customer type'!N79</f>
        <v>378.65762425467994</v>
      </c>
      <c r="O114" s="124">
        <f>'Inputs by customer type'!O79</f>
        <v>0</v>
      </c>
      <c r="P114" s="124">
        <f>'Inputs by customer type'!P79</f>
        <v>0</v>
      </c>
      <c r="Q114" s="124">
        <f>'Inputs by customer type'!Q79</f>
        <v>2.3648233621398798</v>
      </c>
      <c r="R114" s="83"/>
      <c r="S114" s="83"/>
      <c r="T114" s="83"/>
      <c r="U114" s="83"/>
      <c r="V114" s="83"/>
      <c r="W114" s="83"/>
      <c r="X114" s="83"/>
      <c r="Y114" s="83"/>
      <c r="AQ114" s="3"/>
    </row>
    <row r="115" spans="5:43" x14ac:dyDescent="0.3">
      <c r="E115" s="32"/>
      <c r="F115" s="72" t="s">
        <v>250</v>
      </c>
      <c r="G115" s="72" t="s">
        <v>209</v>
      </c>
      <c r="J115" s="333">
        <f>'Inputs by customer type'!J80</f>
        <v>47801.051720658063</v>
      </c>
      <c r="K115" s="331"/>
      <c r="L115" s="333">
        <f>'Inputs by customer type'!L80</f>
        <v>82.02939552550454</v>
      </c>
      <c r="M115" s="331"/>
      <c r="N115" s="333">
        <f>'Inputs by customer type'!N80</f>
        <v>1428.4247490910273</v>
      </c>
      <c r="O115" s="333">
        <f>'Inputs by customer type'!O80</f>
        <v>0</v>
      </c>
      <c r="P115" s="333">
        <f>'Inputs by customer type'!P80</f>
        <v>0</v>
      </c>
      <c r="Q115" s="333">
        <f>'Inputs by customer type'!Q80</f>
        <v>205.77520278102358</v>
      </c>
      <c r="R115" s="331"/>
      <c r="S115" s="331"/>
      <c r="T115" s="331"/>
      <c r="U115" s="331"/>
      <c r="V115" s="331"/>
      <c r="W115" s="331"/>
      <c r="X115" s="331"/>
      <c r="Y115" s="331"/>
      <c r="AQ115" s="3"/>
    </row>
    <row r="116" spans="5:43" x14ac:dyDescent="0.3">
      <c r="E116" s="32"/>
      <c r="F116" s="72" t="s">
        <v>251</v>
      </c>
      <c r="G116" s="72" t="s">
        <v>209</v>
      </c>
      <c r="J116" s="333">
        <f>'Inputs by customer type'!J81</f>
        <v>72046.381216640846</v>
      </c>
      <c r="K116" s="331"/>
      <c r="L116" s="333">
        <f>'Inputs by customer type'!L81</f>
        <v>77.114110048596388</v>
      </c>
      <c r="M116" s="331"/>
      <c r="N116" s="333">
        <f>'Inputs by customer type'!N81</f>
        <v>1804.2374556761986</v>
      </c>
      <c r="O116" s="333">
        <f>'Inputs by customer type'!O81</f>
        <v>0</v>
      </c>
      <c r="P116" s="333">
        <f>'Inputs by customer type'!P81</f>
        <v>0</v>
      </c>
      <c r="Q116" s="333">
        <f>'Inputs by customer type'!Q81</f>
        <v>349.2474447454577</v>
      </c>
      <c r="R116" s="331"/>
      <c r="S116" s="331"/>
      <c r="T116" s="331"/>
      <c r="U116" s="331"/>
      <c r="V116" s="331"/>
      <c r="W116" s="331"/>
      <c r="X116" s="331"/>
      <c r="Y116" s="331"/>
      <c r="AQ116" s="3"/>
    </row>
    <row r="117" spans="5:43" x14ac:dyDescent="0.3">
      <c r="E117" s="32"/>
      <c r="F117" s="72" t="s">
        <v>214</v>
      </c>
      <c r="G117" s="72" t="s">
        <v>214</v>
      </c>
      <c r="J117" s="333">
        <f>'Inputs by customer type'!J82</f>
        <v>40851.844073726381</v>
      </c>
      <c r="K117" s="331"/>
      <c r="L117" s="333">
        <f>'Inputs by customer type'!L82</f>
        <v>259.04965163873868</v>
      </c>
      <c r="M117" s="331"/>
      <c r="N117" s="333">
        <f>'Inputs by customer type'!N82</f>
        <v>27.369364813722179</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252</v>
      </c>
      <c r="G118" s="72" t="s">
        <v>253</v>
      </c>
      <c r="J118" s="333">
        <f>'Inputs by customer type'!J83</f>
        <v>0</v>
      </c>
      <c r="K118" s="331"/>
      <c r="L118" s="333">
        <f>'Inputs by customer type'!L83</f>
        <v>0</v>
      </c>
      <c r="M118" s="331"/>
      <c r="N118" s="333">
        <f>'Inputs by customer type'!N83</f>
        <v>1766.2552623260717</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254</v>
      </c>
      <c r="G119" s="72" t="s">
        <v>253</v>
      </c>
      <c r="J119" s="333">
        <f>'Inputs by customer type'!J84</f>
        <v>0</v>
      </c>
      <c r="K119" s="331"/>
      <c r="L119" s="333">
        <f>'Inputs by customer type'!L84</f>
        <v>0</v>
      </c>
      <c r="M119" s="331"/>
      <c r="N119" s="333">
        <f>'Inputs by customer type'!N84</f>
        <v>3.5313618344123192</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255</v>
      </c>
      <c r="G120" s="80" t="s">
        <v>256</v>
      </c>
      <c r="H120" s="37"/>
      <c r="I120" s="37"/>
      <c r="J120" s="125">
        <f>'Inputs by customer type'!J85</f>
        <v>0</v>
      </c>
      <c r="K120" s="81"/>
      <c r="L120" s="125">
        <f>'Inputs by customer type'!L85</f>
        <v>0</v>
      </c>
      <c r="M120" s="81"/>
      <c r="N120" s="125">
        <f>'Inputs by customer type'!N85</f>
        <v>236.04857804815131</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956</v>
      </c>
      <c r="G122" s="13"/>
      <c r="I122" t="s">
        <v>156</v>
      </c>
      <c r="AQ122" s="3"/>
    </row>
    <row r="123" spans="5:43" x14ac:dyDescent="0.3">
      <c r="E123" s="32"/>
      <c r="F123" s="78" t="s">
        <v>249</v>
      </c>
      <c r="G123" s="78" t="s">
        <v>209</v>
      </c>
      <c r="H123" s="23"/>
      <c r="I123" s="23"/>
      <c r="J123" s="83"/>
      <c r="K123" s="83"/>
      <c r="L123" s="124">
        <f>'Inputs by customer type'!L88</f>
        <v>87.18442153832207</v>
      </c>
      <c r="M123" s="83"/>
      <c r="N123" s="124">
        <f>'Inputs by customer type'!N88</f>
        <v>686.31134469024903</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250</v>
      </c>
      <c r="G124" s="72" t="s">
        <v>209</v>
      </c>
      <c r="J124" s="331"/>
      <c r="K124" s="331"/>
      <c r="L124" s="333">
        <f>'Inputs by customer type'!L89</f>
        <v>377.54919529326753</v>
      </c>
      <c r="M124" s="331"/>
      <c r="N124" s="333">
        <f>'Inputs by customer type'!N89</f>
        <v>2588.9987353803508</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251</v>
      </c>
      <c r="G125" s="72" t="s">
        <v>209</v>
      </c>
      <c r="J125" s="331"/>
      <c r="K125" s="331"/>
      <c r="L125" s="333">
        <f>'Inputs by customer type'!L90</f>
        <v>354.92606044563399</v>
      </c>
      <c r="M125" s="331"/>
      <c r="N125" s="333">
        <f>'Inputs by customer type'!N90</f>
        <v>3270.1537088628725</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214</v>
      </c>
      <c r="G126" s="72" t="s">
        <v>214</v>
      </c>
      <c r="J126" s="331"/>
      <c r="K126" s="331"/>
      <c r="L126" s="333">
        <f>'Inputs by customer type'!L91</f>
        <v>225.26692663335101</v>
      </c>
      <c r="M126" s="331"/>
      <c r="N126" s="333">
        <f>'Inputs by customer type'!N91</f>
        <v>28.796397664222738</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252</v>
      </c>
      <c r="G127" s="72" t="s">
        <v>253</v>
      </c>
      <c r="J127" s="331"/>
      <c r="K127" s="331"/>
      <c r="L127" s="333">
        <f>'Inputs by customer type'!L92</f>
        <v>0</v>
      </c>
      <c r="M127" s="331"/>
      <c r="N127" s="333">
        <f>'Inputs by customer type'!N92</f>
        <v>4581.0518195383684</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254</v>
      </c>
      <c r="G128" s="72" t="s">
        <v>253</v>
      </c>
      <c r="J128" s="331"/>
      <c r="K128" s="331"/>
      <c r="L128" s="333">
        <f>'Inputs by customer type'!L93</f>
        <v>0</v>
      </c>
      <c r="M128" s="331"/>
      <c r="N128" s="333">
        <f>'Inputs by customer type'!N93</f>
        <v>9.1591243361268884</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255</v>
      </c>
      <c r="G129" s="80" t="s">
        <v>256</v>
      </c>
      <c r="H129" s="37"/>
      <c r="I129" s="37"/>
      <c r="J129" s="81"/>
      <c r="K129" s="81"/>
      <c r="L129" s="125">
        <f>'Inputs by customer type'!L94</f>
        <v>0</v>
      </c>
      <c r="M129" s="81"/>
      <c r="N129" s="125">
        <f>'Inputs by customer type'!N94</f>
        <v>427.83455722388163</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957</v>
      </c>
      <c r="G131" s="13"/>
      <c r="I131" t="s">
        <v>156</v>
      </c>
      <c r="AQ131" s="3"/>
    </row>
    <row r="132" spans="5:43" x14ac:dyDescent="0.3">
      <c r="E132" s="32"/>
      <c r="F132" s="78" t="s">
        <v>249</v>
      </c>
      <c r="G132" s="78" t="s">
        <v>209</v>
      </c>
      <c r="H132" s="23"/>
      <c r="I132" s="23"/>
      <c r="J132" s="83"/>
      <c r="K132" s="83"/>
      <c r="L132" s="124">
        <f>'Inputs by customer type'!L97</f>
        <v>107.91178084659383</v>
      </c>
      <c r="M132" s="83"/>
      <c r="N132" s="124">
        <f>'Inputs by customer type'!N97</f>
        <v>436.85407427250323</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250</v>
      </c>
      <c r="G133" s="72" t="s">
        <v>209</v>
      </c>
      <c r="J133" s="331"/>
      <c r="K133" s="331"/>
      <c r="L133" s="333">
        <f>'Inputs by customer type'!L98</f>
        <v>467.30832529968347</v>
      </c>
      <c r="M133" s="331"/>
      <c r="N133" s="333">
        <f>'Inputs by customer type'!N98</f>
        <v>1647.9614603306934</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251</v>
      </c>
      <c r="G134" s="72" t="s">
        <v>209</v>
      </c>
      <c r="J134" s="331"/>
      <c r="K134" s="331"/>
      <c r="L134" s="333">
        <f>'Inputs by customer type'!L99</f>
        <v>439.30673136047625</v>
      </c>
      <c r="M134" s="331"/>
      <c r="N134" s="333">
        <f>'Inputs by customer type'!N99</f>
        <v>2081.5333773315956</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214</v>
      </c>
      <c r="G135" s="72" t="s">
        <v>214</v>
      </c>
      <c r="J135" s="331"/>
      <c r="K135" s="331"/>
      <c r="L135" s="333">
        <f>'Inputs by customer type'!L100</f>
        <v>111.8486919985281</v>
      </c>
      <c r="M135" s="331"/>
      <c r="N135" s="333">
        <f>'Inputs by customer type'!N100</f>
        <v>11.697577523637193</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252</v>
      </c>
      <c r="G136" s="72" t="s">
        <v>253</v>
      </c>
      <c r="J136" s="331"/>
      <c r="K136" s="331"/>
      <c r="L136" s="333">
        <f>'Inputs by customer type'!L101</f>
        <v>0</v>
      </c>
      <c r="M136" s="331"/>
      <c r="N136" s="333">
        <f>'Inputs by customer type'!N101</f>
        <v>2889.2325189307612</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254</v>
      </c>
      <c r="G137" s="72" t="s">
        <v>253</v>
      </c>
      <c r="J137" s="331"/>
      <c r="K137" s="331"/>
      <c r="L137" s="333">
        <f>'Inputs by customer type'!L102</f>
        <v>0</v>
      </c>
      <c r="M137" s="331"/>
      <c r="N137" s="333">
        <f>'Inputs by customer type'!N102</f>
        <v>5.7765860154654582</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255</v>
      </c>
      <c r="G138" s="80" t="s">
        <v>256</v>
      </c>
      <c r="H138" s="37"/>
      <c r="I138" s="37"/>
      <c r="J138" s="81"/>
      <c r="K138" s="81"/>
      <c r="L138" s="125">
        <f>'Inputs by customer type'!L103</f>
        <v>0</v>
      </c>
      <c r="M138" s="81"/>
      <c r="N138" s="125">
        <f>'Inputs by customer type'!N103</f>
        <v>272.32723294436977</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958</v>
      </c>
      <c r="G140" s="13"/>
      <c r="I140" t="s">
        <v>156</v>
      </c>
      <c r="AQ140" s="3"/>
    </row>
    <row r="141" spans="5:43" x14ac:dyDescent="0.3">
      <c r="E141" s="32"/>
      <c r="F141" s="78" t="s">
        <v>249</v>
      </c>
      <c r="G141" s="78" t="s">
        <v>209</v>
      </c>
      <c r="H141" s="23"/>
      <c r="I141" s="23"/>
      <c r="J141" s="83"/>
      <c r="K141" s="83"/>
      <c r="L141" s="124">
        <f>'Inputs by customer type'!L106</f>
        <v>382.70608978966459</v>
      </c>
      <c r="M141" s="83"/>
      <c r="N141" s="124">
        <f>'Inputs by customer type'!N106</f>
        <v>762.0420383420834</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250</v>
      </c>
      <c r="G142" s="72" t="s">
        <v>209</v>
      </c>
      <c r="J142" s="331"/>
      <c r="K142" s="331"/>
      <c r="L142" s="333">
        <f>'Inputs by customer type'!L107</f>
        <v>1657.2958068020198</v>
      </c>
      <c r="M142" s="331"/>
      <c r="N142" s="333">
        <f>'Inputs by customer type'!N107</f>
        <v>2874.6805496341517</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251</v>
      </c>
      <c r="G143" s="72" t="s">
        <v>209</v>
      </c>
      <c r="J143" s="331"/>
      <c r="K143" s="331"/>
      <c r="L143" s="333">
        <f>'Inputs by customer type'!L108</f>
        <v>1557.9889429890106</v>
      </c>
      <c r="M143" s="331"/>
      <c r="N143" s="333">
        <f>'Inputs by customer type'!N108</f>
        <v>3630.9972394795427</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214</v>
      </c>
      <c r="G144" s="72" t="s">
        <v>214</v>
      </c>
      <c r="J144" s="331"/>
      <c r="K144" s="331"/>
      <c r="L144" s="333">
        <f>'Inputs by customer type'!L109</f>
        <v>127.27132631637681</v>
      </c>
      <c r="M144" s="331"/>
      <c r="N144" s="333">
        <f>'Inputs by customer type'!N109</f>
        <v>11.175866589045592</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252</v>
      </c>
      <c r="G145" s="72" t="s">
        <v>253</v>
      </c>
      <c r="J145" s="331"/>
      <c r="K145" s="331"/>
      <c r="L145" s="333">
        <f>'Inputs by customer type'!L110</f>
        <v>0</v>
      </c>
      <c r="M145" s="331"/>
      <c r="N145" s="333">
        <f>'Inputs by customer type'!N110</f>
        <v>4809.7383417281499</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254</v>
      </c>
      <c r="G146" s="72" t="s">
        <v>253</v>
      </c>
      <c r="J146" s="331"/>
      <c r="K146" s="331"/>
      <c r="L146" s="333">
        <f>'Inputs by customer type'!L111</f>
        <v>0</v>
      </c>
      <c r="M146" s="331"/>
      <c r="N146" s="333">
        <f>'Inputs by customer type'!N111</f>
        <v>9.6163486534330662</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255</v>
      </c>
      <c r="G147" s="80" t="s">
        <v>256</v>
      </c>
      <c r="H147" s="37"/>
      <c r="I147" s="37"/>
      <c r="J147" s="81"/>
      <c r="K147" s="81"/>
      <c r="L147" s="125">
        <f>'Inputs by customer type'!L112</f>
        <v>0</v>
      </c>
      <c r="M147" s="81"/>
      <c r="N147" s="125">
        <f>'Inputs by customer type'!N112</f>
        <v>475.04375467844665</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968</v>
      </c>
      <c r="AQ149" s="3"/>
    </row>
    <row r="150" spans="3:43" x14ac:dyDescent="0.3">
      <c r="AQ150" s="3"/>
    </row>
    <row r="151" spans="3:43" x14ac:dyDescent="0.3">
      <c r="E151" s="32" t="s">
        <v>913</v>
      </c>
      <c r="G151" s="13"/>
      <c r="I151" t="s">
        <v>156</v>
      </c>
      <c r="AQ151" s="3"/>
    </row>
    <row r="152" spans="3:43" x14ac:dyDescent="0.3">
      <c r="E152" s="32"/>
      <c r="F152" s="78" t="s">
        <v>249</v>
      </c>
      <c r="G152" s="78" t="s">
        <v>209</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0.10207970836668105</v>
      </c>
      <c r="S152" s="124">
        <f>'Inputs by customer type'!S117</f>
        <v>0</v>
      </c>
      <c r="T152" s="124">
        <f>'Inputs by customer type'!T117</f>
        <v>9.3150819735035242</v>
      </c>
      <c r="U152" s="124">
        <f>'Inputs by customer type'!U117</f>
        <v>0</v>
      </c>
      <c r="V152" s="124">
        <f>'Inputs by customer type'!V117</f>
        <v>0</v>
      </c>
      <c r="W152" s="124">
        <f>'Inputs by customer type'!W117</f>
        <v>0</v>
      </c>
      <c r="X152" s="124">
        <f>'Inputs by customer type'!X117</f>
        <v>0</v>
      </c>
      <c r="Y152" s="124">
        <f>'Inputs by customer type'!Y117</f>
        <v>0</v>
      </c>
      <c r="AQ152" s="3"/>
    </row>
    <row r="153" spans="3:43" x14ac:dyDescent="0.3">
      <c r="E153" s="32"/>
      <c r="F153" s="72" t="s">
        <v>250</v>
      </c>
      <c r="G153" s="72" t="s">
        <v>209</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0.70602788921055704</v>
      </c>
      <c r="S153" s="333">
        <f>'Inputs by customer type'!S118</f>
        <v>0</v>
      </c>
      <c r="T153" s="333">
        <f>'Inputs by customer type'!T118</f>
        <v>50.757499276286254</v>
      </c>
      <c r="U153" s="333">
        <f>'Inputs by customer type'!U118</f>
        <v>0</v>
      </c>
      <c r="V153" s="333">
        <f>'Inputs by customer type'!V118</f>
        <v>0</v>
      </c>
      <c r="W153" s="333">
        <f>'Inputs by customer type'!W118</f>
        <v>0</v>
      </c>
      <c r="X153" s="333">
        <f>'Inputs by customer type'!X118</f>
        <v>0</v>
      </c>
      <c r="Y153" s="333">
        <f>'Inputs by customer type'!Y118</f>
        <v>0</v>
      </c>
      <c r="AQ153" s="3"/>
    </row>
    <row r="154" spans="3:43" x14ac:dyDescent="0.3">
      <c r="E154" s="32"/>
      <c r="F154" s="72" t="s">
        <v>251</v>
      </c>
      <c r="G154" s="72" t="s">
        <v>209</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0.53785825991290714</v>
      </c>
      <c r="S154" s="333">
        <f>'Inputs by customer type'!S119</f>
        <v>0</v>
      </c>
      <c r="T154" s="333">
        <f>'Inputs by customer type'!T119</f>
        <v>102.22566092765663</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3">
      <c r="E155" s="32"/>
      <c r="F155" s="72" t="s">
        <v>214</v>
      </c>
      <c r="G155" s="72" t="s">
        <v>214</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7.5227924811313303</v>
      </c>
      <c r="U155" s="333">
        <f>'Inputs by customer type'!U120</f>
        <v>0</v>
      </c>
      <c r="V155" s="333">
        <f>'Inputs by customer type'!V120</f>
        <v>0</v>
      </c>
      <c r="W155" s="333">
        <f>'Inputs by customer type'!W120</f>
        <v>0</v>
      </c>
      <c r="X155" s="333">
        <f>'Inputs by customer type'!X120</f>
        <v>0</v>
      </c>
      <c r="Y155" s="333">
        <f>'Inputs by customer type'!Y120</f>
        <v>0</v>
      </c>
      <c r="AQ155" s="3"/>
    </row>
    <row r="156" spans="3:43" x14ac:dyDescent="0.3">
      <c r="E156" s="32"/>
      <c r="F156" s="72" t="s">
        <v>252</v>
      </c>
      <c r="G156" s="72" t="s">
        <v>253</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254</v>
      </c>
      <c r="G157" s="72" t="s">
        <v>253</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255</v>
      </c>
      <c r="G158" s="80" t="s">
        <v>256</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83.119264278831736</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3">
      <c r="AQ159" s="3"/>
    </row>
    <row r="160" spans="3:43" x14ac:dyDescent="0.3">
      <c r="E160" s="32" t="s">
        <v>959</v>
      </c>
      <c r="G160" s="13"/>
      <c r="I160" t="s">
        <v>156</v>
      </c>
      <c r="AQ160" s="3"/>
    </row>
    <row r="161" spans="5:43" x14ac:dyDescent="0.3">
      <c r="E161" s="32"/>
      <c r="F161" s="78" t="s">
        <v>249</v>
      </c>
      <c r="G161" s="78" t="s">
        <v>209</v>
      </c>
      <c r="H161" s="23"/>
      <c r="I161" s="23"/>
      <c r="J161" s="124">
        <f>'Inputs by customer type'!J126</f>
        <v>38108.591813126724</v>
      </c>
      <c r="K161" s="83"/>
      <c r="L161" s="124">
        <f>'Inputs by customer type'!L126</f>
        <v>91.021235078130502</v>
      </c>
      <c r="M161" s="83"/>
      <c r="N161" s="124">
        <f>'Inputs by customer type'!N126</f>
        <v>3459.0095420465991</v>
      </c>
      <c r="O161" s="124">
        <f>'Inputs by customer type'!O126</f>
        <v>50.972586942372644</v>
      </c>
      <c r="P161" s="124">
        <f>'Inputs by customer type'!P126</f>
        <v>1187.0464416040249</v>
      </c>
      <c r="Q161" s="124">
        <f>'Inputs by customer type'!Q126</f>
        <v>5.6935103681417845</v>
      </c>
      <c r="R161" s="83"/>
      <c r="S161" s="83"/>
      <c r="T161" s="83"/>
      <c r="U161" s="83"/>
      <c r="V161" s="83"/>
      <c r="W161" s="83"/>
      <c r="X161" s="83"/>
      <c r="Y161" s="83"/>
      <c r="AQ161" s="3"/>
    </row>
    <row r="162" spans="5:43" x14ac:dyDescent="0.3">
      <c r="E162" s="32"/>
      <c r="F162" s="72" t="s">
        <v>250</v>
      </c>
      <c r="G162" s="72" t="s">
        <v>209</v>
      </c>
      <c r="J162" s="333">
        <f>'Inputs by customer type'!J127</f>
        <v>107950.2222213502</v>
      </c>
      <c r="K162" s="331"/>
      <c r="L162" s="333">
        <f>'Inputs by customer type'!L127</f>
        <v>391.20064627938979</v>
      </c>
      <c r="M162" s="331"/>
      <c r="N162" s="333">
        <f>'Inputs by customer type'!N127</f>
        <v>12792.967584846705</v>
      </c>
      <c r="O162" s="333">
        <f>'Inputs by customer type'!O127</f>
        <v>193.86605341280736</v>
      </c>
      <c r="P162" s="333">
        <f>'Inputs by customer type'!P127</f>
        <v>4196.4664762891389</v>
      </c>
      <c r="Q162" s="333">
        <f>'Inputs by customer type'!Q127</f>
        <v>484.30703219565856</v>
      </c>
      <c r="R162" s="331"/>
      <c r="S162" s="331"/>
      <c r="T162" s="331"/>
      <c r="U162" s="331"/>
      <c r="V162" s="331"/>
      <c r="W162" s="331"/>
      <c r="X162" s="331"/>
      <c r="Y162" s="331"/>
      <c r="AQ162" s="3"/>
    </row>
    <row r="163" spans="5:43" x14ac:dyDescent="0.3">
      <c r="E163" s="32"/>
      <c r="F163" s="72" t="s">
        <v>251</v>
      </c>
      <c r="G163" s="72" t="s">
        <v>209</v>
      </c>
      <c r="J163" s="333">
        <f>'Inputs by customer type'!J128</f>
        <v>162892.31444569505</v>
      </c>
      <c r="K163" s="331"/>
      <c r="L163" s="333">
        <f>'Inputs by customer type'!L128</f>
        <v>353.66662900835792</v>
      </c>
      <c r="M163" s="331"/>
      <c r="N163" s="333">
        <f>'Inputs by customer type'!N128</f>
        <v>16155.857858706488</v>
      </c>
      <c r="O163" s="333">
        <f>'Inputs by customer type'!O128</f>
        <v>278.76658312353277</v>
      </c>
      <c r="P163" s="333">
        <f>'Inputs by customer type'!P128</f>
        <v>6513.6984871214654</v>
      </c>
      <c r="Q163" s="333">
        <f>'Inputs by customer type'!Q128</f>
        <v>798.66787986561553</v>
      </c>
      <c r="R163" s="331"/>
      <c r="S163" s="331"/>
      <c r="T163" s="331"/>
      <c r="U163" s="331"/>
      <c r="V163" s="331"/>
      <c r="W163" s="331"/>
      <c r="X163" s="331"/>
      <c r="Y163" s="331"/>
      <c r="AQ163" s="3"/>
    </row>
    <row r="164" spans="5:43" x14ac:dyDescent="0.3">
      <c r="E164" s="32"/>
      <c r="F164" s="72" t="s">
        <v>214</v>
      </c>
      <c r="G164" s="72" t="s">
        <v>214</v>
      </c>
      <c r="J164" s="333">
        <f>'Inputs by customer type'!J129</f>
        <v>95331.946746646136</v>
      </c>
      <c r="K164" s="331"/>
      <c r="L164" s="333">
        <f>'Inputs by customer type'!L129</f>
        <v>776.5322375992281</v>
      </c>
      <c r="M164" s="331"/>
      <c r="N164" s="333">
        <f>'Inputs by customer type'!N129</f>
        <v>177.5611654517908</v>
      </c>
      <c r="O164" s="333">
        <f>'Inputs by customer type'!O129</f>
        <v>1.0308197941793038</v>
      </c>
      <c r="P164" s="333">
        <f>'Inputs by customer type'!P129</f>
        <v>22.500027373401814</v>
      </c>
      <c r="Q164" s="333">
        <f>'Inputs by customer type'!Q129</f>
        <v>0</v>
      </c>
      <c r="R164" s="331"/>
      <c r="S164" s="331"/>
      <c r="T164" s="331"/>
      <c r="U164" s="331"/>
      <c r="V164" s="331"/>
      <c r="W164" s="331"/>
      <c r="X164" s="331"/>
      <c r="Y164" s="331"/>
      <c r="AQ164" s="3"/>
    </row>
    <row r="165" spans="5:43" x14ac:dyDescent="0.3">
      <c r="E165" s="32"/>
      <c r="F165" s="72" t="s">
        <v>252</v>
      </c>
      <c r="G165" s="72" t="s">
        <v>253</v>
      </c>
      <c r="J165" s="333">
        <f>'Inputs by customer type'!J130</f>
        <v>0</v>
      </c>
      <c r="K165" s="331"/>
      <c r="L165" s="333">
        <f>'Inputs by customer type'!L130</f>
        <v>0</v>
      </c>
      <c r="M165" s="331"/>
      <c r="N165" s="333">
        <f>'Inputs by customer type'!N130</f>
        <v>18032.380369857019</v>
      </c>
      <c r="O165" s="333">
        <f>'Inputs by customer type'!O130</f>
        <v>12.063291022714548</v>
      </c>
      <c r="P165" s="333">
        <f>'Inputs by customer type'!P130</f>
        <v>8209.6062574963653</v>
      </c>
      <c r="Q165" s="333">
        <f>'Inputs by customer type'!Q130</f>
        <v>0</v>
      </c>
      <c r="R165" s="331"/>
      <c r="S165" s="331"/>
      <c r="T165" s="331"/>
      <c r="U165" s="331"/>
      <c r="V165" s="331"/>
      <c r="W165" s="331"/>
      <c r="X165" s="331"/>
      <c r="Y165" s="331"/>
      <c r="AQ165" s="3"/>
    </row>
    <row r="166" spans="5:43" x14ac:dyDescent="0.3">
      <c r="E166" s="32"/>
      <c r="F166" s="72" t="s">
        <v>254</v>
      </c>
      <c r="G166" s="72" t="s">
        <v>253</v>
      </c>
      <c r="J166" s="333">
        <f>'Inputs by customer type'!J131</f>
        <v>0</v>
      </c>
      <c r="K166" s="331"/>
      <c r="L166" s="333">
        <f>'Inputs by customer type'!L131</f>
        <v>0</v>
      </c>
      <c r="M166" s="331"/>
      <c r="N166" s="333">
        <f>'Inputs by customer type'!N131</f>
        <v>43.85799562311626</v>
      </c>
      <c r="O166" s="333">
        <f>'Inputs by customer type'!O131</f>
        <v>4.1748762263639147E-2</v>
      </c>
      <c r="P166" s="333">
        <f>'Inputs by customer type'!P131</f>
        <v>3.7547087400521213</v>
      </c>
      <c r="Q166" s="333">
        <f>'Inputs by customer type'!Q131</f>
        <v>0</v>
      </c>
      <c r="R166" s="331"/>
      <c r="S166" s="331"/>
      <c r="T166" s="331"/>
      <c r="U166" s="331"/>
      <c r="V166" s="331"/>
      <c r="W166" s="331"/>
      <c r="X166" s="331"/>
      <c r="Y166" s="331"/>
      <c r="AQ166" s="3"/>
    </row>
    <row r="167" spans="5:43" x14ac:dyDescent="0.3">
      <c r="E167" s="32"/>
      <c r="F167" s="80" t="s">
        <v>255</v>
      </c>
      <c r="G167" s="80" t="s">
        <v>256</v>
      </c>
      <c r="H167" s="37"/>
      <c r="I167" s="37"/>
      <c r="J167" s="125">
        <f>'Inputs by customer type'!J132</f>
        <v>0</v>
      </c>
      <c r="K167" s="81"/>
      <c r="L167" s="125">
        <f>'Inputs by customer type'!L132</f>
        <v>0</v>
      </c>
      <c r="M167" s="81"/>
      <c r="N167" s="125">
        <f>'Inputs by customer type'!N132</f>
        <v>2234.8537686899667</v>
      </c>
      <c r="O167" s="125">
        <f>'Inputs by customer type'!O132</f>
        <v>37.114812110610465</v>
      </c>
      <c r="P167" s="125">
        <f>'Inputs by customer type'!P132</f>
        <v>316.68356062222227</v>
      </c>
      <c r="Q167" s="125">
        <f>'Inputs by customer type'!Q132</f>
        <v>0</v>
      </c>
      <c r="R167" s="81"/>
      <c r="S167" s="81"/>
      <c r="T167" s="81"/>
      <c r="U167" s="81"/>
      <c r="V167" s="81"/>
      <c r="W167" s="81"/>
      <c r="X167" s="81"/>
      <c r="Y167" s="81"/>
      <c r="AQ167" s="3"/>
    </row>
    <row r="168" spans="5:43" x14ac:dyDescent="0.3">
      <c r="AQ168" s="3"/>
    </row>
    <row r="169" spans="5:43" x14ac:dyDescent="0.3">
      <c r="E169" s="32" t="s">
        <v>960</v>
      </c>
      <c r="G169" s="13"/>
      <c r="I169" t="s">
        <v>156</v>
      </c>
      <c r="AQ169" s="3"/>
    </row>
    <row r="170" spans="5:43" x14ac:dyDescent="0.3">
      <c r="E170" s="32"/>
      <c r="F170" s="78" t="s">
        <v>249</v>
      </c>
      <c r="G170" s="78" t="s">
        <v>209</v>
      </c>
      <c r="H170" s="23"/>
      <c r="I170" s="23"/>
      <c r="J170" s="83"/>
      <c r="K170" s="83"/>
      <c r="L170" s="124">
        <f>'Inputs by customer type'!L135</f>
        <v>418.93511268972793</v>
      </c>
      <c r="M170" s="83"/>
      <c r="N170" s="124">
        <f>'Inputs by customer type'!N135</f>
        <v>6269.4036460275065</v>
      </c>
      <c r="O170" s="124">
        <f>'Inputs by customer type'!O135</f>
        <v>100.73796923918252</v>
      </c>
      <c r="P170" s="124">
        <f>'Inputs by customer type'!P135</f>
        <v>2903.5091302422084</v>
      </c>
      <c r="Q170" s="83"/>
      <c r="R170" s="83"/>
      <c r="S170" s="83"/>
      <c r="T170" s="83"/>
      <c r="U170" s="83"/>
      <c r="V170" s="83"/>
      <c r="W170" s="83"/>
      <c r="X170" s="83"/>
      <c r="Y170" s="83"/>
      <c r="AQ170" s="3"/>
    </row>
    <row r="171" spans="5:43" x14ac:dyDescent="0.3">
      <c r="E171" s="32"/>
      <c r="F171" s="72" t="s">
        <v>250</v>
      </c>
      <c r="G171" s="72" t="s">
        <v>209</v>
      </c>
      <c r="J171" s="331"/>
      <c r="K171" s="331"/>
      <c r="L171" s="333">
        <f>'Inputs by customer type'!L136</f>
        <v>1800.5434302519977</v>
      </c>
      <c r="M171" s="331"/>
      <c r="N171" s="333">
        <f>'Inputs by customer type'!N136</f>
        <v>23187.064575859775</v>
      </c>
      <c r="O171" s="333">
        <f>'Inputs by customer type'!O136</f>
        <v>383.14069771072224</v>
      </c>
      <c r="P171" s="333">
        <f>'Inputs by customer type'!P136</f>
        <v>10264.534142570103</v>
      </c>
      <c r="Q171" s="331"/>
      <c r="R171" s="331"/>
      <c r="S171" s="331"/>
      <c r="T171" s="331"/>
      <c r="U171" s="331"/>
      <c r="V171" s="331"/>
      <c r="W171" s="331"/>
      <c r="X171" s="331"/>
      <c r="Y171" s="331"/>
      <c r="AQ171" s="3"/>
    </row>
    <row r="172" spans="5:43" x14ac:dyDescent="0.3">
      <c r="E172" s="32"/>
      <c r="F172" s="72" t="s">
        <v>251</v>
      </c>
      <c r="G172" s="72" t="s">
        <v>209</v>
      </c>
      <c r="J172" s="331"/>
      <c r="K172" s="331"/>
      <c r="L172" s="333">
        <f>'Inputs by customer type'!L137</f>
        <v>1627.7890423155943</v>
      </c>
      <c r="M172" s="331"/>
      <c r="N172" s="333">
        <f>'Inputs by customer type'!N137</f>
        <v>29282.253469629795</v>
      </c>
      <c r="O172" s="333">
        <f>'Inputs by customer type'!O137</f>
        <v>550.93102312737551</v>
      </c>
      <c r="P172" s="333">
        <f>'Inputs by customer type'!P137</f>
        <v>15932.471018948469</v>
      </c>
      <c r="Q172" s="331"/>
      <c r="R172" s="331"/>
      <c r="S172" s="331"/>
      <c r="T172" s="331"/>
      <c r="U172" s="331"/>
      <c r="V172" s="331"/>
      <c r="W172" s="331"/>
      <c r="X172" s="331"/>
      <c r="Y172" s="331"/>
      <c r="AQ172" s="3"/>
    </row>
    <row r="173" spans="5:43" x14ac:dyDescent="0.3">
      <c r="E173" s="32"/>
      <c r="F173" s="72" t="s">
        <v>214</v>
      </c>
      <c r="G173" s="72" t="s">
        <v>214</v>
      </c>
      <c r="J173" s="331"/>
      <c r="K173" s="331"/>
      <c r="L173" s="333">
        <f>'Inputs by customer type'!L138</f>
        <v>675.2644888310607</v>
      </c>
      <c r="M173" s="331"/>
      <c r="N173" s="333">
        <f>'Inputs by customer type'!N138</f>
        <v>186.81916679005462</v>
      </c>
      <c r="O173" s="333">
        <f>'Inputs by customer type'!O138</f>
        <v>2.7832134442841201</v>
      </c>
      <c r="P173" s="333">
        <f>'Inputs by customer type'!P138</f>
        <v>15.670466029240488</v>
      </c>
      <c r="Q173" s="331"/>
      <c r="R173" s="331"/>
      <c r="S173" s="331"/>
      <c r="T173" s="331"/>
      <c r="U173" s="331"/>
      <c r="V173" s="331"/>
      <c r="W173" s="331"/>
      <c r="X173" s="331"/>
      <c r="Y173" s="331"/>
      <c r="AQ173" s="3"/>
    </row>
    <row r="174" spans="5:43" x14ac:dyDescent="0.3">
      <c r="E174" s="32"/>
      <c r="F174" s="72" t="s">
        <v>252</v>
      </c>
      <c r="G174" s="72" t="s">
        <v>253</v>
      </c>
      <c r="J174" s="331"/>
      <c r="K174" s="331"/>
      <c r="L174" s="333">
        <f>'Inputs by customer type'!L139</f>
        <v>0</v>
      </c>
      <c r="M174" s="331"/>
      <c r="N174" s="333">
        <f>'Inputs by customer type'!N139</f>
        <v>46769.722738236451</v>
      </c>
      <c r="O174" s="333">
        <f>'Inputs by customer type'!O139</f>
        <v>544.1363904349148</v>
      </c>
      <c r="P174" s="333">
        <f>'Inputs by customer type'!P139</f>
        <v>18339.591904976616</v>
      </c>
      <c r="Q174" s="331"/>
      <c r="R174" s="331"/>
      <c r="S174" s="331"/>
      <c r="T174" s="331"/>
      <c r="U174" s="331"/>
      <c r="V174" s="331"/>
      <c r="W174" s="331"/>
      <c r="X174" s="331"/>
      <c r="Y174" s="331"/>
      <c r="AQ174" s="3"/>
    </row>
    <row r="175" spans="5:43" x14ac:dyDescent="0.3">
      <c r="E175" s="32"/>
      <c r="F175" s="72" t="s">
        <v>254</v>
      </c>
      <c r="G175" s="72" t="s">
        <v>253</v>
      </c>
      <c r="J175" s="331"/>
      <c r="K175" s="331"/>
      <c r="L175" s="333">
        <f>'Inputs by customer type'!L140</f>
        <v>0</v>
      </c>
      <c r="M175" s="331"/>
      <c r="N175" s="333">
        <f>'Inputs by customer type'!N140</f>
        <v>113.75238615622656</v>
      </c>
      <c r="O175" s="333">
        <f>'Inputs by customer type'!O140</f>
        <v>1.8831528444838994</v>
      </c>
      <c r="P175" s="333">
        <f>'Inputs by customer type'!P140</f>
        <v>8.3877135948788606</v>
      </c>
      <c r="Q175" s="331"/>
      <c r="R175" s="331"/>
      <c r="S175" s="331"/>
      <c r="T175" s="331"/>
      <c r="U175" s="331"/>
      <c r="V175" s="331"/>
      <c r="W175" s="331"/>
      <c r="X175" s="331"/>
      <c r="Y175" s="331"/>
      <c r="AQ175" s="3"/>
    </row>
    <row r="176" spans="5:43" x14ac:dyDescent="0.3">
      <c r="E176" s="32"/>
      <c r="F176" s="80" t="s">
        <v>255</v>
      </c>
      <c r="G176" s="80" t="s">
        <v>256</v>
      </c>
      <c r="H176" s="37"/>
      <c r="I176" s="37"/>
      <c r="J176" s="81"/>
      <c r="K176" s="81"/>
      <c r="L176" s="125">
        <f>'Inputs by customer type'!L141</f>
        <v>0</v>
      </c>
      <c r="M176" s="81"/>
      <c r="N176" s="125">
        <f>'Inputs by customer type'!N141</f>
        <v>4050.6394086074583</v>
      </c>
      <c r="O176" s="125">
        <f>'Inputs by customer type'!O141</f>
        <v>73.350618930597307</v>
      </c>
      <c r="P176" s="125">
        <f>'Inputs by customer type'!P141</f>
        <v>774.60626428545322</v>
      </c>
      <c r="Q176" s="81"/>
      <c r="R176" s="81"/>
      <c r="S176" s="81"/>
      <c r="T176" s="81"/>
      <c r="U176" s="81"/>
      <c r="V176" s="81"/>
      <c r="W176" s="81"/>
      <c r="X176" s="81"/>
      <c r="Y176" s="81"/>
      <c r="AQ176" s="3"/>
    </row>
    <row r="177" spans="5:43" x14ac:dyDescent="0.3">
      <c r="AQ177" s="3"/>
    </row>
    <row r="178" spans="5:43" x14ac:dyDescent="0.3">
      <c r="E178" s="32" t="s">
        <v>961</v>
      </c>
      <c r="G178" s="13"/>
      <c r="I178" t="s">
        <v>156</v>
      </c>
      <c r="AQ178" s="3"/>
    </row>
    <row r="179" spans="5:43" x14ac:dyDescent="0.3">
      <c r="E179" s="32"/>
      <c r="F179" s="78" t="s">
        <v>249</v>
      </c>
      <c r="G179" s="78" t="s">
        <v>209</v>
      </c>
      <c r="H179" s="23"/>
      <c r="I179" s="23"/>
      <c r="J179" s="83"/>
      <c r="K179" s="83"/>
      <c r="L179" s="124">
        <f>'Inputs by customer type'!L144</f>
        <v>518.53339474926418</v>
      </c>
      <c r="M179" s="83"/>
      <c r="N179" s="124">
        <f>'Inputs by customer type'!N144</f>
        <v>3990.6298318033841</v>
      </c>
      <c r="O179" s="124">
        <f>'Inputs by customer type'!O144</f>
        <v>213.23572220070147</v>
      </c>
      <c r="P179" s="124">
        <f>'Inputs by customer type'!P144</f>
        <v>2055.6755131044797</v>
      </c>
      <c r="Q179" s="83"/>
      <c r="R179" s="83"/>
      <c r="S179" s="83"/>
      <c r="T179" s="83"/>
      <c r="U179" s="83"/>
      <c r="V179" s="83"/>
      <c r="W179" s="83"/>
      <c r="X179" s="83"/>
      <c r="Y179" s="83"/>
      <c r="AQ179" s="3"/>
    </row>
    <row r="180" spans="5:43" x14ac:dyDescent="0.3">
      <c r="E180" s="32"/>
      <c r="F180" s="72" t="s">
        <v>250</v>
      </c>
      <c r="G180" s="72" t="s">
        <v>209</v>
      </c>
      <c r="J180" s="331"/>
      <c r="K180" s="331"/>
      <c r="L180" s="333">
        <f>'Inputs by customer type'!L145</f>
        <v>2228.6074119872787</v>
      </c>
      <c r="M180" s="331"/>
      <c r="N180" s="333">
        <f>'Inputs by customer type'!N145</f>
        <v>14759.137684013705</v>
      </c>
      <c r="O180" s="333">
        <f>'Inputs by customer type'!O145</f>
        <v>811.007845381989</v>
      </c>
      <c r="P180" s="333">
        <f>'Inputs by customer type'!P145</f>
        <v>7267.2585288361252</v>
      </c>
      <c r="Q180" s="331"/>
      <c r="R180" s="331"/>
      <c r="S180" s="331"/>
      <c r="T180" s="331"/>
      <c r="U180" s="331"/>
      <c r="V180" s="331"/>
      <c r="W180" s="331"/>
      <c r="X180" s="331"/>
      <c r="Y180" s="331"/>
      <c r="AQ180" s="3"/>
    </row>
    <row r="181" spans="5:43" x14ac:dyDescent="0.3">
      <c r="E181" s="32"/>
      <c r="F181" s="72" t="s">
        <v>251</v>
      </c>
      <c r="G181" s="72" t="s">
        <v>209</v>
      </c>
      <c r="J181" s="331"/>
      <c r="K181" s="331"/>
      <c r="L181" s="333">
        <f>'Inputs by customer type'!L146</f>
        <v>2014.7821284979984</v>
      </c>
      <c r="M181" s="331"/>
      <c r="N181" s="333">
        <f>'Inputs by customer type'!N146</f>
        <v>18638.875535215477</v>
      </c>
      <c r="O181" s="333">
        <f>'Inputs by customer type'!O146</f>
        <v>1166.1757278470486</v>
      </c>
      <c r="P181" s="333">
        <f>'Inputs by customer type'!P146</f>
        <v>11280.140363866189</v>
      </c>
      <c r="Q181" s="331"/>
      <c r="R181" s="331"/>
      <c r="S181" s="331"/>
      <c r="T181" s="331"/>
      <c r="U181" s="331"/>
      <c r="V181" s="331"/>
      <c r="W181" s="331"/>
      <c r="X181" s="331"/>
      <c r="Y181" s="331"/>
      <c r="AQ181" s="3"/>
    </row>
    <row r="182" spans="5:43" x14ac:dyDescent="0.3">
      <c r="E182" s="32"/>
      <c r="F182" s="72" t="s">
        <v>214</v>
      </c>
      <c r="G182" s="72" t="s">
        <v>214</v>
      </c>
      <c r="J182" s="331"/>
      <c r="K182" s="331"/>
      <c r="L182" s="333">
        <f>'Inputs by customer type'!L147</f>
        <v>335.27979875953486</v>
      </c>
      <c r="M182" s="331"/>
      <c r="N182" s="333">
        <f>'Inputs by customer type'!N147</f>
        <v>75.889064733366766</v>
      </c>
      <c r="O182" s="333">
        <f>'Inputs by customer type'!O147</f>
        <v>3.6078692796275629</v>
      </c>
      <c r="P182" s="333">
        <f>'Inputs by customer type'!P147</f>
        <v>5.0133483273623787</v>
      </c>
      <c r="Q182" s="331"/>
      <c r="R182" s="331"/>
      <c r="S182" s="331"/>
      <c r="T182" s="331"/>
      <c r="U182" s="331"/>
      <c r="V182" s="331"/>
      <c r="W182" s="331"/>
      <c r="X182" s="331"/>
      <c r="Y182" s="331"/>
      <c r="AQ182" s="3"/>
    </row>
    <row r="183" spans="5:43" x14ac:dyDescent="0.3">
      <c r="E183" s="32"/>
      <c r="F183" s="72" t="s">
        <v>252</v>
      </c>
      <c r="G183" s="72" t="s">
        <v>253</v>
      </c>
      <c r="J183" s="331"/>
      <c r="K183" s="331"/>
      <c r="L183" s="333">
        <f>'Inputs by customer type'!L148</f>
        <v>0</v>
      </c>
      <c r="M183" s="331"/>
      <c r="N183" s="333">
        <f>'Inputs by customer type'!N148</f>
        <v>29497.287775780951</v>
      </c>
      <c r="O183" s="333">
        <f>'Inputs by customer type'!O148</f>
        <v>1034.2714770770001</v>
      </c>
      <c r="P183" s="333">
        <f>'Inputs by customer type'!P148</f>
        <v>12270.577215301419</v>
      </c>
      <c r="Q183" s="331"/>
      <c r="R183" s="331"/>
      <c r="S183" s="331"/>
      <c r="T183" s="331"/>
      <c r="U183" s="331"/>
      <c r="V183" s="331"/>
      <c r="W183" s="331"/>
      <c r="X183" s="331"/>
      <c r="Y183" s="331"/>
      <c r="AQ183" s="3"/>
    </row>
    <row r="184" spans="5:43" x14ac:dyDescent="0.3">
      <c r="E184" s="32"/>
      <c r="F184" s="72" t="s">
        <v>254</v>
      </c>
      <c r="G184" s="72" t="s">
        <v>253</v>
      </c>
      <c r="J184" s="331"/>
      <c r="K184" s="331"/>
      <c r="L184" s="333">
        <f>'Inputs by customer type'!L149</f>
        <v>0</v>
      </c>
      <c r="M184" s="331"/>
      <c r="N184" s="333">
        <f>'Inputs by customer type'!N149</f>
        <v>71.742714585066153</v>
      </c>
      <c r="O184" s="333">
        <f>'Inputs by customer type'!O149</f>
        <v>3.5794174186170036</v>
      </c>
      <c r="P184" s="333">
        <f>'Inputs by customer type'!P149</f>
        <v>5.612016224737566</v>
      </c>
      <c r="Q184" s="331"/>
      <c r="R184" s="331"/>
      <c r="S184" s="331"/>
      <c r="T184" s="331"/>
      <c r="U184" s="331"/>
      <c r="V184" s="331"/>
      <c r="W184" s="331"/>
      <c r="X184" s="331"/>
      <c r="Y184" s="331"/>
      <c r="AQ184" s="3"/>
    </row>
    <row r="185" spans="5:43" x14ac:dyDescent="0.3">
      <c r="E185" s="32"/>
      <c r="F185" s="80" t="s">
        <v>255</v>
      </c>
      <c r="G185" s="80" t="s">
        <v>256</v>
      </c>
      <c r="H185" s="37"/>
      <c r="I185" s="37"/>
      <c r="J185" s="81"/>
      <c r="K185" s="81"/>
      <c r="L185" s="125">
        <f>'Inputs by customer type'!L150</f>
        <v>0</v>
      </c>
      <c r="M185" s="81"/>
      <c r="N185" s="125">
        <f>'Inputs by customer type'!N150</f>
        <v>2578.3317480458841</v>
      </c>
      <c r="O185" s="125">
        <f>'Inputs by customer type'!O150</f>
        <v>155.263922031205</v>
      </c>
      <c r="P185" s="125">
        <f>'Inputs by customer type'!P150</f>
        <v>548.41884711280795</v>
      </c>
      <c r="Q185" s="81"/>
      <c r="R185" s="81"/>
      <c r="S185" s="81"/>
      <c r="T185" s="81"/>
      <c r="U185" s="81"/>
      <c r="V185" s="81"/>
      <c r="W185" s="81"/>
      <c r="X185" s="81"/>
      <c r="Y185" s="81"/>
      <c r="AQ185" s="3"/>
    </row>
    <row r="186" spans="5:43" x14ac:dyDescent="0.3">
      <c r="AQ186" s="3"/>
    </row>
    <row r="187" spans="5:43" x14ac:dyDescent="0.3">
      <c r="E187" s="32" t="s">
        <v>962</v>
      </c>
      <c r="G187" s="13"/>
      <c r="I187" t="s">
        <v>156</v>
      </c>
      <c r="AQ187" s="3"/>
    </row>
    <row r="188" spans="5:43" x14ac:dyDescent="0.3">
      <c r="E188" s="32"/>
      <c r="F188" s="78" t="s">
        <v>249</v>
      </c>
      <c r="G188" s="78" t="s">
        <v>209</v>
      </c>
      <c r="H188" s="23"/>
      <c r="I188" s="23"/>
      <c r="J188" s="83"/>
      <c r="K188" s="83"/>
      <c r="L188" s="124">
        <f>'Inputs by customer type'!L153</f>
        <v>1838.9640720688315</v>
      </c>
      <c r="M188" s="83"/>
      <c r="N188" s="124">
        <f>'Inputs by customer type'!N153</f>
        <v>6961.1979614941793</v>
      </c>
      <c r="O188" s="124">
        <f>'Inputs by customer type'!O153</f>
        <v>3064.6098199537332</v>
      </c>
      <c r="P188" s="124">
        <f>'Inputs by customer type'!P153</f>
        <v>6201.8642118989756</v>
      </c>
      <c r="Q188" s="83"/>
      <c r="R188" s="83"/>
      <c r="S188" s="83"/>
      <c r="T188" s="83"/>
      <c r="U188" s="83"/>
      <c r="V188" s="83"/>
      <c r="W188" s="83"/>
      <c r="X188" s="83"/>
      <c r="Y188" s="83"/>
      <c r="AQ188" s="3"/>
    </row>
    <row r="189" spans="5:43" x14ac:dyDescent="0.3">
      <c r="E189" s="32"/>
      <c r="F189" s="72" t="s">
        <v>250</v>
      </c>
      <c r="G189" s="72" t="s">
        <v>209</v>
      </c>
      <c r="J189" s="331"/>
      <c r="K189" s="331"/>
      <c r="L189" s="333">
        <f>'Inputs by customer type'!L154</f>
        <v>7903.6933838613113</v>
      </c>
      <c r="M189" s="331"/>
      <c r="N189" s="333">
        <f>'Inputs by customer type'!N154</f>
        <v>25745.630010724115</v>
      </c>
      <c r="O189" s="333">
        <f>'Inputs by customer type'!O154</f>
        <v>11655.751584989292</v>
      </c>
      <c r="P189" s="333">
        <f>'Inputs by customer type'!P154</f>
        <v>21924.934310542449</v>
      </c>
      <c r="Q189" s="331"/>
      <c r="R189" s="331"/>
      <c r="S189" s="331"/>
      <c r="T189" s="331"/>
      <c r="U189" s="331"/>
      <c r="V189" s="331"/>
      <c r="W189" s="331"/>
      <c r="X189" s="331"/>
      <c r="Y189" s="331"/>
      <c r="AQ189" s="3"/>
    </row>
    <row r="190" spans="5:43" x14ac:dyDescent="0.3">
      <c r="E190" s="32"/>
      <c r="F190" s="72" t="s">
        <v>251</v>
      </c>
      <c r="G190" s="72" t="s">
        <v>209</v>
      </c>
      <c r="J190" s="331"/>
      <c r="K190" s="331"/>
      <c r="L190" s="333">
        <f>'Inputs by customer type'!L155</f>
        <v>7145.3680416201278</v>
      </c>
      <c r="M190" s="331"/>
      <c r="N190" s="333">
        <f>'Inputs by customer type'!N155</f>
        <v>32513.389577316819</v>
      </c>
      <c r="O190" s="333">
        <f>'Inputs by customer type'!O155</f>
        <v>16760.201107335855</v>
      </c>
      <c r="P190" s="333">
        <f>'Inputs by customer type'!P155</f>
        <v>34031.586396730694</v>
      </c>
      <c r="Q190" s="331"/>
      <c r="R190" s="331"/>
      <c r="S190" s="331"/>
      <c r="T190" s="331"/>
      <c r="U190" s="331"/>
      <c r="V190" s="331"/>
      <c r="W190" s="331"/>
      <c r="X190" s="331"/>
      <c r="Y190" s="331"/>
      <c r="AQ190" s="3"/>
    </row>
    <row r="191" spans="5:43" x14ac:dyDescent="0.3">
      <c r="E191" s="32"/>
      <c r="F191" s="72" t="s">
        <v>214</v>
      </c>
      <c r="G191" s="72" t="s">
        <v>214</v>
      </c>
      <c r="J191" s="331"/>
      <c r="K191" s="331"/>
      <c r="L191" s="333">
        <f>'Inputs by customer type'!L156</f>
        <v>381.51098517786386</v>
      </c>
      <c r="M191" s="331"/>
      <c r="N191" s="333">
        <f>'Inputs by customer type'!N156</f>
        <v>72.504419082818714</v>
      </c>
      <c r="O191" s="333">
        <f>'Inputs by customer type'!O156</f>
        <v>30.306101948871529</v>
      </c>
      <c r="P191" s="333">
        <f>'Inputs by customer type'!P156</f>
        <v>5.8088796487701817</v>
      </c>
      <c r="Q191" s="331"/>
      <c r="R191" s="331"/>
      <c r="S191" s="331"/>
      <c r="T191" s="331"/>
      <c r="U191" s="331"/>
      <c r="V191" s="331"/>
      <c r="W191" s="331"/>
      <c r="X191" s="331"/>
      <c r="Y191" s="331"/>
      <c r="AQ191" s="3"/>
    </row>
    <row r="192" spans="5:43" x14ac:dyDescent="0.3">
      <c r="E192" s="32"/>
      <c r="F192" s="72" t="s">
        <v>252</v>
      </c>
      <c r="G192" s="72" t="s">
        <v>253</v>
      </c>
      <c r="J192" s="331"/>
      <c r="K192" s="331"/>
      <c r="L192" s="333">
        <f>'Inputs by customer type'!L157</f>
        <v>0</v>
      </c>
      <c r="M192" s="331"/>
      <c r="N192" s="333">
        <f>'Inputs by customer type'!N157</f>
        <v>49104.471537883393</v>
      </c>
      <c r="O192" s="333">
        <f>'Inputs by customer type'!O157</f>
        <v>23719.651809901654</v>
      </c>
      <c r="P192" s="333">
        <f>'Inputs by customer type'!P157</f>
        <v>34188.480988452822</v>
      </c>
      <c r="Q192" s="331"/>
      <c r="R192" s="331"/>
      <c r="S192" s="331"/>
      <c r="T192" s="331"/>
      <c r="U192" s="331"/>
      <c r="V192" s="331"/>
      <c r="W192" s="331"/>
      <c r="X192" s="331"/>
      <c r="Y192" s="331"/>
      <c r="AQ192" s="3"/>
    </row>
    <row r="193" spans="4:43" x14ac:dyDescent="0.3">
      <c r="E193" s="32"/>
      <c r="F193" s="72" t="s">
        <v>254</v>
      </c>
      <c r="G193" s="72" t="s">
        <v>253</v>
      </c>
      <c r="J193" s="331"/>
      <c r="K193" s="331"/>
      <c r="L193" s="333">
        <f>'Inputs by customer type'!L158</f>
        <v>0</v>
      </c>
      <c r="M193" s="331"/>
      <c r="N193" s="333">
        <f>'Inputs by customer type'!N158</f>
        <v>119.43091558693662</v>
      </c>
      <c r="O193" s="333">
        <f>'Inputs by customer type'!O158</f>
        <v>82.089216161929841</v>
      </c>
      <c r="P193" s="333">
        <f>'Inputs by customer type'!P158</f>
        <v>15.63629050531312</v>
      </c>
      <c r="Q193" s="331"/>
      <c r="R193" s="331"/>
      <c r="S193" s="331"/>
      <c r="T193" s="331"/>
      <c r="U193" s="331"/>
      <c r="V193" s="331"/>
      <c r="W193" s="331"/>
      <c r="X193" s="331"/>
      <c r="Y193" s="331"/>
      <c r="AQ193" s="3"/>
    </row>
    <row r="194" spans="4:43" x14ac:dyDescent="0.3">
      <c r="E194" s="32"/>
      <c r="F194" s="80" t="s">
        <v>255</v>
      </c>
      <c r="G194" s="80" t="s">
        <v>256</v>
      </c>
      <c r="H194" s="37"/>
      <c r="I194" s="37"/>
      <c r="J194" s="81"/>
      <c r="K194" s="81"/>
      <c r="L194" s="125">
        <f>'Inputs by customer type'!L159</f>
        <v>0</v>
      </c>
      <c r="M194" s="81"/>
      <c r="N194" s="125">
        <f>'Inputs by customer type'!N159</f>
        <v>4497.6052565721993</v>
      </c>
      <c r="O194" s="125">
        <f>'Inputs by customer type'!O159</f>
        <v>2231.4429084893559</v>
      </c>
      <c r="P194" s="125">
        <f>'Inputs by customer type'!P159</f>
        <v>1654.5506328006506</v>
      </c>
      <c r="Q194" s="81"/>
      <c r="R194" s="81"/>
      <c r="S194" s="81"/>
      <c r="T194" s="81"/>
      <c r="U194" s="81"/>
      <c r="V194" s="81"/>
      <c r="W194" s="81"/>
      <c r="X194" s="81"/>
      <c r="Y194" s="81"/>
      <c r="AQ194" s="3"/>
    </row>
    <row r="195" spans="4:43" x14ac:dyDescent="0.3">
      <c r="AQ195" s="3"/>
    </row>
    <row r="196" spans="4:43" x14ac:dyDescent="0.3">
      <c r="D196" s="29" t="s">
        <v>969</v>
      </c>
      <c r="AQ196" s="3"/>
    </row>
    <row r="197" spans="4:43" x14ac:dyDescent="0.3">
      <c r="AQ197" s="3"/>
    </row>
    <row r="198" spans="4:43" x14ac:dyDescent="0.3">
      <c r="E198" s="32" t="s">
        <v>247</v>
      </c>
      <c r="G198" s="13"/>
      <c r="I198" t="s">
        <v>156</v>
      </c>
      <c r="AA198" t="s">
        <v>248</v>
      </c>
    </row>
    <row r="199" spans="4:43" x14ac:dyDescent="0.3">
      <c r="E199" s="32"/>
      <c r="F199" s="78" t="s">
        <v>249</v>
      </c>
      <c r="G199" s="78" t="s">
        <v>209</v>
      </c>
      <c r="H199" s="23"/>
      <c r="I199" s="23"/>
      <c r="J199" s="126">
        <f t="shared" ref="J199:Y199" si="2">SUM( J67, J76, J85, J94, J58 )</f>
        <v>963611.57957705879</v>
      </c>
      <c r="K199" s="126">
        <f t="shared" si="2"/>
        <v>907.55296879515561</v>
      </c>
      <c r="L199" s="126">
        <f t="shared" si="2"/>
        <v>317459.17263826192</v>
      </c>
      <c r="M199" s="126">
        <f t="shared" si="2"/>
        <v>38.5327591755619</v>
      </c>
      <c r="N199" s="126">
        <f t="shared" si="2"/>
        <v>325520.16173196351</v>
      </c>
      <c r="O199" s="126">
        <f t="shared" si="2"/>
        <v>25365.347056045397</v>
      </c>
      <c r="P199" s="126">
        <f t="shared" si="2"/>
        <v>660722.99699194985</v>
      </c>
      <c r="Q199" s="126">
        <f t="shared" si="2"/>
        <v>8811.3898575429248</v>
      </c>
      <c r="R199" s="126">
        <f t="shared" si="2"/>
        <v>68.229870901863052</v>
      </c>
      <c r="S199" s="126">
        <f t="shared" si="2"/>
        <v>0</v>
      </c>
      <c r="T199" s="126">
        <f t="shared" si="2"/>
        <v>4775.2942813887903</v>
      </c>
      <c r="U199" s="126">
        <f t="shared" si="2"/>
        <v>0</v>
      </c>
      <c r="V199" s="126">
        <f t="shared" si="2"/>
        <v>643.59278860763663</v>
      </c>
      <c r="W199" s="126">
        <f t="shared" si="2"/>
        <v>0</v>
      </c>
      <c r="X199" s="126">
        <f t="shared" si="2"/>
        <v>278149.15352828434</v>
      </c>
      <c r="Y199" s="126">
        <f t="shared" si="2"/>
        <v>0</v>
      </c>
    </row>
    <row r="200" spans="4:43" x14ac:dyDescent="0.3">
      <c r="E200" s="32"/>
      <c r="F200" s="72" t="s">
        <v>250</v>
      </c>
      <c r="G200" s="72" t="s">
        <v>209</v>
      </c>
      <c r="J200" s="330">
        <f t="shared" ref="J200:Y200" si="3">SUM( J68, J77, J86, J95, J59 )</f>
        <v>2859384.3281420832</v>
      </c>
      <c r="K200" s="330">
        <f t="shared" si="3"/>
        <v>5824.4312721126043</v>
      </c>
      <c r="L200" s="330">
        <f t="shared" si="3"/>
        <v>1307124.6547995689</v>
      </c>
      <c r="M200" s="330">
        <f t="shared" si="3"/>
        <v>502.36485110192183</v>
      </c>
      <c r="N200" s="330">
        <f t="shared" si="3"/>
        <v>1378267.3528022701</v>
      </c>
      <c r="O200" s="330">
        <f t="shared" si="3"/>
        <v>98710.716166449463</v>
      </c>
      <c r="P200" s="330">
        <f t="shared" si="3"/>
        <v>2528067.9409185005</v>
      </c>
      <c r="Q200" s="425">
        <f t="shared" si="3"/>
        <v>49189.058441586792</v>
      </c>
      <c r="R200" s="425">
        <f t="shared" si="3"/>
        <v>449.63349348982825</v>
      </c>
      <c r="S200" s="425">
        <f t="shared" si="3"/>
        <v>0</v>
      </c>
      <c r="T200" s="330">
        <f t="shared" si="3"/>
        <v>23780.951178135838</v>
      </c>
      <c r="U200" s="330">
        <f t="shared" si="3"/>
        <v>0</v>
      </c>
      <c r="V200" s="330">
        <f t="shared" si="3"/>
        <v>2524.6060767726581</v>
      </c>
      <c r="W200" s="330">
        <f t="shared" si="3"/>
        <v>0</v>
      </c>
      <c r="X200" s="330">
        <f t="shared" si="3"/>
        <v>600091.23989919515</v>
      </c>
      <c r="Y200" s="330">
        <f t="shared" si="3"/>
        <v>0</v>
      </c>
    </row>
    <row r="201" spans="4:43" x14ac:dyDescent="0.3">
      <c r="E201" s="32"/>
      <c r="F201" s="72" t="s">
        <v>251</v>
      </c>
      <c r="G201" s="72" t="s">
        <v>209</v>
      </c>
      <c r="J201" s="330">
        <f t="shared" ref="J201:Y201" si="4">SUM( J69, J78, J87, J96, J60 )</f>
        <v>4737373.0104243234</v>
      </c>
      <c r="K201" s="330">
        <f t="shared" si="4"/>
        <v>10388.832210240402</v>
      </c>
      <c r="L201" s="330">
        <f t="shared" si="4"/>
        <v>1435777.5944213392</v>
      </c>
      <c r="M201" s="330">
        <f t="shared" si="4"/>
        <v>1825.2777420810467</v>
      </c>
      <c r="N201" s="330">
        <f t="shared" si="4"/>
        <v>1502094.0880824965</v>
      </c>
      <c r="O201" s="330">
        <f t="shared" si="4"/>
        <v>110393.38969447213</v>
      </c>
      <c r="P201" s="330">
        <f t="shared" si="4"/>
        <v>3603135.1466917135</v>
      </c>
      <c r="Q201" s="425">
        <f t="shared" si="4"/>
        <v>159418.28502479228</v>
      </c>
      <c r="R201" s="425">
        <f t="shared" si="4"/>
        <v>251.99826680064848</v>
      </c>
      <c r="S201" s="425">
        <f t="shared" si="4"/>
        <v>0</v>
      </c>
      <c r="T201" s="330">
        <f t="shared" si="4"/>
        <v>24197.561642861572</v>
      </c>
      <c r="U201" s="330">
        <f t="shared" si="4"/>
        <v>0</v>
      </c>
      <c r="V201" s="330">
        <f t="shared" si="4"/>
        <v>4216.2054199370059</v>
      </c>
      <c r="W201" s="330">
        <f t="shared" si="4"/>
        <v>0</v>
      </c>
      <c r="X201" s="330">
        <f t="shared" si="4"/>
        <v>673152.99157943716</v>
      </c>
      <c r="Y201" s="330">
        <f t="shared" si="4"/>
        <v>0</v>
      </c>
    </row>
    <row r="202" spans="4:43" x14ac:dyDescent="0.3">
      <c r="E202" s="32"/>
      <c r="F202" s="72" t="s">
        <v>214</v>
      </c>
      <c r="G202" s="72" t="s">
        <v>214</v>
      </c>
      <c r="J202" s="330">
        <f t="shared" ref="J202:Y202" si="5">SUM( J70, J79, J88, J97, J61 )</f>
        <v>2477396.9025159678</v>
      </c>
      <c r="K202" s="330">
        <f t="shared" si="5"/>
        <v>0</v>
      </c>
      <c r="L202" s="330">
        <f t="shared" si="5"/>
        <v>186291.03531692261</v>
      </c>
      <c r="M202" s="330">
        <f t="shared" si="5"/>
        <v>0</v>
      </c>
      <c r="N202" s="330">
        <f t="shared" si="5"/>
        <v>15514.014585408988</v>
      </c>
      <c r="O202" s="330">
        <f t="shared" si="5"/>
        <v>500.9989743581346</v>
      </c>
      <c r="P202" s="330">
        <f t="shared" si="5"/>
        <v>3326.7593309307454</v>
      </c>
      <c r="Q202" s="330">
        <f t="shared" si="5"/>
        <v>37.113907471596569</v>
      </c>
      <c r="R202" s="330">
        <f t="shared" si="5"/>
        <v>0</v>
      </c>
      <c r="S202" s="330">
        <f t="shared" si="5"/>
        <v>0</v>
      </c>
      <c r="T202" s="330">
        <f t="shared" si="5"/>
        <v>734.26186025829247</v>
      </c>
      <c r="U202" s="330">
        <f t="shared" si="5"/>
        <v>0</v>
      </c>
      <c r="V202" s="330">
        <f t="shared" si="5"/>
        <v>50.04201140862741</v>
      </c>
      <c r="W202" s="330">
        <f t="shared" si="5"/>
        <v>0</v>
      </c>
      <c r="X202" s="330">
        <f t="shared" si="5"/>
        <v>449.38337701268659</v>
      </c>
      <c r="Y202" s="330">
        <f t="shared" si="5"/>
        <v>0</v>
      </c>
    </row>
    <row r="203" spans="4:43" x14ac:dyDescent="0.3">
      <c r="E203" s="32"/>
      <c r="F203" s="72" t="s">
        <v>252</v>
      </c>
      <c r="G203" s="72" t="s">
        <v>253</v>
      </c>
      <c r="J203" s="79"/>
      <c r="K203" s="79"/>
      <c r="L203" s="79"/>
      <c r="M203" s="79"/>
      <c r="N203" s="330">
        <f t="shared" ref="N203:P205" si="6">SUM( N71, N80, N89, N98, N62 )</f>
        <v>2031567.136986301</v>
      </c>
      <c r="O203" s="330">
        <f t="shared" si="6"/>
        <v>229435.27824188434</v>
      </c>
      <c r="P203" s="330">
        <f t="shared" si="6"/>
        <v>2756218.6309744185</v>
      </c>
      <c r="Q203" s="79"/>
      <c r="R203" s="79"/>
      <c r="S203" s="79"/>
      <c r="T203" s="79"/>
      <c r="U203" s="79"/>
      <c r="V203" s="79"/>
      <c r="W203" s="79"/>
      <c r="X203" s="79"/>
      <c r="Y203" s="79"/>
    </row>
    <row r="204" spans="4:43" x14ac:dyDescent="0.3">
      <c r="E204" s="32"/>
      <c r="F204" s="72" t="s">
        <v>254</v>
      </c>
      <c r="G204" s="72" t="s">
        <v>253</v>
      </c>
      <c r="J204" s="79"/>
      <c r="K204" s="79"/>
      <c r="L204" s="79"/>
      <c r="M204" s="79"/>
      <c r="N204" s="330">
        <f t="shared" si="6"/>
        <v>34669.022988070617</v>
      </c>
      <c r="O204" s="330">
        <f t="shared" si="6"/>
        <v>1296.4337645117066</v>
      </c>
      <c r="P204" s="330">
        <f t="shared" si="6"/>
        <v>35735.005518241596</v>
      </c>
      <c r="Q204" s="79"/>
      <c r="R204" s="79"/>
      <c r="S204" s="79"/>
      <c r="T204" s="79"/>
      <c r="U204" s="79"/>
      <c r="V204" s="79"/>
      <c r="W204" s="79"/>
      <c r="X204" s="79"/>
      <c r="Y204" s="79"/>
    </row>
    <row r="205" spans="4:43" x14ac:dyDescent="0.3">
      <c r="E205" s="32"/>
      <c r="F205" s="80" t="s">
        <v>255</v>
      </c>
      <c r="G205" s="80" t="s">
        <v>256</v>
      </c>
      <c r="H205" s="37"/>
      <c r="I205" s="37"/>
      <c r="J205" s="81"/>
      <c r="K205" s="81"/>
      <c r="L205" s="81"/>
      <c r="M205" s="81"/>
      <c r="N205" s="100">
        <f t="shared" si="6"/>
        <v>343418.5444827468</v>
      </c>
      <c r="O205" s="100">
        <f t="shared" si="6"/>
        <v>33015.531022564035</v>
      </c>
      <c r="P205" s="100">
        <f t="shared" si="6"/>
        <v>567862.39517433289</v>
      </c>
      <c r="Q205" s="81"/>
      <c r="R205" s="81"/>
      <c r="S205" s="81"/>
      <c r="T205" s="100">
        <f>SUM( T73, T82, T91, T100, T64 )</f>
        <v>3663.5475540790721</v>
      </c>
      <c r="U205" s="81"/>
      <c r="V205" s="100">
        <f>SUM( V73, V82, V91, V100, V64 )</f>
        <v>397.56062338257436</v>
      </c>
      <c r="W205" s="81"/>
      <c r="X205" s="100">
        <f>SUM( X73, X82, X91, X100, X64 )</f>
        <v>20979.429173597407</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257</v>
      </c>
      <c r="G207" s="80"/>
      <c r="H207" s="37"/>
      <c r="I207" t="s">
        <v>156</v>
      </c>
      <c r="J207" s="82"/>
      <c r="K207" s="82"/>
      <c r="L207" s="82"/>
      <c r="M207" s="82"/>
      <c r="N207" s="82"/>
      <c r="O207" s="82"/>
      <c r="P207" s="82"/>
      <c r="Q207" s="82"/>
      <c r="R207" s="82"/>
      <c r="S207" s="82"/>
      <c r="T207" s="82"/>
      <c r="U207" s="82"/>
      <c r="V207" s="82"/>
      <c r="W207" s="82"/>
      <c r="X207" s="82"/>
      <c r="Y207" s="82"/>
      <c r="AA207" t="s">
        <v>248</v>
      </c>
    </row>
    <row r="208" spans="4:43" x14ac:dyDescent="0.3">
      <c r="E208" s="32"/>
      <c r="F208" s="78" t="s">
        <v>249</v>
      </c>
      <c r="G208" s="72" t="s">
        <v>209</v>
      </c>
      <c r="I208" s="23"/>
      <c r="J208" s="126">
        <f t="shared" ref="J208:N211" si="7">SUM( J114, J123, J132, J141, J105 )</f>
        <v>16844.83009576039</v>
      </c>
      <c r="K208" s="126">
        <f t="shared" si="7"/>
        <v>0</v>
      </c>
      <c r="L208" s="126">
        <f t="shared" si="7"/>
        <v>596.74468560882997</v>
      </c>
      <c r="M208" s="126">
        <f t="shared" si="7"/>
        <v>0</v>
      </c>
      <c r="N208" s="126">
        <f t="shared" si="7"/>
        <v>2263.8650815595156</v>
      </c>
      <c r="O208" s="83"/>
      <c r="P208" s="83"/>
      <c r="Q208" s="126">
        <f t="shared" ref="Q208:R211" si="8">SUM( Q114, Q123, Q132, Q141, Q105 )</f>
        <v>2.3648233621398798</v>
      </c>
      <c r="R208" s="126">
        <f t="shared" si="8"/>
        <v>1.8728551428838309</v>
      </c>
      <c r="S208" s="83"/>
      <c r="T208" s="126">
        <f>SUM( T114, T123, T132, T141, T105 )</f>
        <v>0</v>
      </c>
      <c r="U208" s="83"/>
      <c r="V208" s="83"/>
      <c r="W208" s="83"/>
      <c r="X208" s="83"/>
      <c r="Y208" s="83"/>
    </row>
    <row r="209" spans="5:27" x14ac:dyDescent="0.3">
      <c r="E209" s="32"/>
      <c r="F209" s="72" t="s">
        <v>250</v>
      </c>
      <c r="G209" s="72" t="s">
        <v>209</v>
      </c>
      <c r="J209" s="330">
        <f t="shared" si="7"/>
        <v>47801.051720658063</v>
      </c>
      <c r="K209" s="330">
        <f t="shared" si="7"/>
        <v>0</v>
      </c>
      <c r="L209" s="330">
        <f t="shared" si="7"/>
        <v>2584.1827229204755</v>
      </c>
      <c r="M209" s="330">
        <f t="shared" si="7"/>
        <v>0</v>
      </c>
      <c r="N209" s="330">
        <f t="shared" si="7"/>
        <v>8540.0654944362232</v>
      </c>
      <c r="O209" s="79"/>
      <c r="P209" s="79"/>
      <c r="Q209" s="425">
        <f t="shared" si="8"/>
        <v>205.77520278102358</v>
      </c>
      <c r="R209" s="425">
        <f t="shared" si="8"/>
        <v>9.0445144810384299</v>
      </c>
      <c r="S209" s="79"/>
      <c r="T209" s="330">
        <f>SUM( T115, T124, T133, T142, T106 )</f>
        <v>0</v>
      </c>
      <c r="U209" s="79"/>
      <c r="V209" s="79"/>
      <c r="W209" s="79"/>
      <c r="X209" s="79"/>
      <c r="Y209" s="79"/>
    </row>
    <row r="210" spans="5:27" x14ac:dyDescent="0.3">
      <c r="E210" s="32"/>
      <c r="F210" s="72" t="s">
        <v>251</v>
      </c>
      <c r="G210" s="72" t="s">
        <v>209</v>
      </c>
      <c r="J210" s="330">
        <f t="shared" si="7"/>
        <v>72046.381216640846</v>
      </c>
      <c r="K210" s="330">
        <f t="shared" si="7"/>
        <v>0</v>
      </c>
      <c r="L210" s="330">
        <f t="shared" si="7"/>
        <v>2429.3358448437175</v>
      </c>
      <c r="M210" s="330">
        <f t="shared" si="7"/>
        <v>0</v>
      </c>
      <c r="N210" s="330">
        <f t="shared" si="7"/>
        <v>10786.921781350209</v>
      </c>
      <c r="O210" s="79"/>
      <c r="P210" s="79"/>
      <c r="Q210" s="425">
        <f t="shared" si="8"/>
        <v>349.2474447454577</v>
      </c>
      <c r="R210" s="425">
        <f t="shared" si="8"/>
        <v>5.2527047793455779</v>
      </c>
      <c r="S210" s="79"/>
      <c r="T210" s="330">
        <f>SUM( T116, T125, T134, T143, T107 )</f>
        <v>0</v>
      </c>
      <c r="U210" s="79"/>
      <c r="V210" s="79"/>
      <c r="W210" s="79"/>
      <c r="X210" s="79"/>
      <c r="Y210" s="79"/>
    </row>
    <row r="211" spans="5:27" x14ac:dyDescent="0.3">
      <c r="E211" s="32"/>
      <c r="F211" s="72" t="s">
        <v>214</v>
      </c>
      <c r="G211" s="72" t="s">
        <v>214</v>
      </c>
      <c r="J211" s="330">
        <f t="shared" si="7"/>
        <v>40851.844073726381</v>
      </c>
      <c r="K211" s="330">
        <f t="shared" si="7"/>
        <v>0</v>
      </c>
      <c r="L211" s="330">
        <f t="shared" si="7"/>
        <v>723.43659658699471</v>
      </c>
      <c r="M211" s="330">
        <f t="shared" si="7"/>
        <v>0</v>
      </c>
      <c r="N211" s="330">
        <f t="shared" si="7"/>
        <v>79.039206590627714</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252</v>
      </c>
      <c r="G212" s="72" t="s">
        <v>253</v>
      </c>
      <c r="J212" s="79"/>
      <c r="K212" s="79"/>
      <c r="L212" s="79"/>
      <c r="M212" s="79"/>
      <c r="N212" s="330">
        <f>SUM( N118, N127, N136, N145, N109 )</f>
        <v>14046.277942523349</v>
      </c>
      <c r="O212" s="79"/>
      <c r="P212" s="79"/>
      <c r="Q212" s="79"/>
      <c r="R212" s="79"/>
      <c r="S212" s="79"/>
      <c r="T212" s="79"/>
      <c r="U212" s="79"/>
      <c r="V212" s="79"/>
      <c r="W212" s="79"/>
      <c r="X212" s="79"/>
      <c r="Y212" s="79"/>
    </row>
    <row r="213" spans="5:27" x14ac:dyDescent="0.3">
      <c r="E213" s="32"/>
      <c r="F213" s="72" t="s">
        <v>254</v>
      </c>
      <c r="G213" s="72" t="s">
        <v>253</v>
      </c>
      <c r="J213" s="79"/>
      <c r="K213" s="79"/>
      <c r="L213" s="79"/>
      <c r="M213" s="79"/>
      <c r="N213" s="330">
        <f>SUM( N119, N128, N137, N146, N110 )</f>
        <v>28.083420839437728</v>
      </c>
      <c r="O213" s="79"/>
      <c r="P213" s="79"/>
      <c r="Q213" s="79"/>
      <c r="R213" s="79"/>
      <c r="S213" s="79"/>
      <c r="T213" s="79"/>
      <c r="U213" s="79"/>
      <c r="V213" s="79"/>
      <c r="W213" s="79"/>
      <c r="X213" s="79"/>
      <c r="Y213" s="79"/>
    </row>
    <row r="214" spans="5:27" x14ac:dyDescent="0.3">
      <c r="E214" s="32"/>
      <c r="F214" s="80" t="s">
        <v>255</v>
      </c>
      <c r="G214" s="80" t="s">
        <v>256</v>
      </c>
      <c r="H214" s="37"/>
      <c r="I214" s="37"/>
      <c r="J214" s="81"/>
      <c r="K214" s="81"/>
      <c r="L214" s="81"/>
      <c r="M214" s="81"/>
      <c r="N214" s="100">
        <f>SUM( N120, N129, N138, N147, N111 )</f>
        <v>1411.2541228948494</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258</v>
      </c>
      <c r="G216" s="80"/>
      <c r="H216" s="37"/>
      <c r="I216" t="s">
        <v>156</v>
      </c>
      <c r="J216" s="82"/>
      <c r="K216" s="82"/>
      <c r="L216" s="82"/>
      <c r="M216" s="82"/>
      <c r="N216" s="82"/>
      <c r="O216" s="82"/>
      <c r="P216" s="82"/>
      <c r="Q216" s="82"/>
      <c r="R216" s="82"/>
      <c r="S216" s="82"/>
      <c r="T216" s="82"/>
      <c r="U216" s="82"/>
      <c r="V216" s="82"/>
      <c r="W216" s="82"/>
      <c r="X216" s="82"/>
      <c r="Y216" s="82"/>
      <c r="AA216" t="s">
        <v>248</v>
      </c>
    </row>
    <row r="217" spans="5:27" x14ac:dyDescent="0.3">
      <c r="F217" s="78" t="s">
        <v>249</v>
      </c>
      <c r="G217" s="72" t="s">
        <v>209</v>
      </c>
      <c r="I217" s="23"/>
      <c r="J217" s="126">
        <f t="shared" ref="J217:T217" si="9">SUM( J161, J170, J179, J188, J152 )</f>
        <v>38108.591813126724</v>
      </c>
      <c r="K217" s="126">
        <f t="shared" si="9"/>
        <v>0</v>
      </c>
      <c r="L217" s="126">
        <f t="shared" si="9"/>
        <v>2867.4538145859542</v>
      </c>
      <c r="M217" s="126">
        <f t="shared" si="9"/>
        <v>0</v>
      </c>
      <c r="N217" s="126">
        <f t="shared" si="9"/>
        <v>20680.240981371669</v>
      </c>
      <c r="O217" s="126">
        <f t="shared" si="9"/>
        <v>3429.5560983359901</v>
      </c>
      <c r="P217" s="126">
        <f t="shared" si="9"/>
        <v>12348.095296849689</v>
      </c>
      <c r="Q217" s="126">
        <f t="shared" si="9"/>
        <v>5.6935103681417845</v>
      </c>
      <c r="R217" s="126">
        <f t="shared" si="9"/>
        <v>0.10207970836668105</v>
      </c>
      <c r="S217" s="126">
        <f t="shared" si="9"/>
        <v>0</v>
      </c>
      <c r="T217" s="126">
        <f t="shared" si="9"/>
        <v>9.3150819735035242</v>
      </c>
      <c r="U217" s="83"/>
      <c r="V217" s="126">
        <f>SUM( V161, V170, V179, V188, V152 )</f>
        <v>0</v>
      </c>
      <c r="W217" s="83"/>
      <c r="X217" s="126">
        <f>SUM( X161, X170, X179, X188, X152 )</f>
        <v>0</v>
      </c>
      <c r="Y217" s="83"/>
    </row>
    <row r="218" spans="5:27" x14ac:dyDescent="0.3">
      <c r="F218" s="72" t="s">
        <v>250</v>
      </c>
      <c r="G218" s="72" t="s">
        <v>209</v>
      </c>
      <c r="J218" s="330">
        <f t="shared" ref="J218:T218" si="10">SUM( J162, J171, J180, J189, J153 )</f>
        <v>107950.2222213502</v>
      </c>
      <c r="K218" s="330">
        <f t="shared" si="10"/>
        <v>0</v>
      </c>
      <c r="L218" s="330">
        <f t="shared" si="10"/>
        <v>12324.044872379978</v>
      </c>
      <c r="M218" s="330">
        <f t="shared" si="10"/>
        <v>0</v>
      </c>
      <c r="N218" s="330">
        <f t="shared" si="10"/>
        <v>76484.799855444304</v>
      </c>
      <c r="O218" s="330">
        <f t="shared" si="10"/>
        <v>13043.76618149481</v>
      </c>
      <c r="P218" s="330">
        <f t="shared" si="10"/>
        <v>43653.193458237816</v>
      </c>
      <c r="Q218" s="425">
        <f t="shared" si="10"/>
        <v>484.30703219565856</v>
      </c>
      <c r="R218" s="425">
        <f t="shared" si="10"/>
        <v>0.70602788921055704</v>
      </c>
      <c r="S218" s="425">
        <f t="shared" si="10"/>
        <v>0</v>
      </c>
      <c r="T218" s="330">
        <f t="shared" si="10"/>
        <v>50.757499276286254</v>
      </c>
      <c r="U218" s="79"/>
      <c r="V218" s="330">
        <f>SUM( V162, V171, V180, V189, V153 )</f>
        <v>0</v>
      </c>
      <c r="W218" s="79"/>
      <c r="X218" s="330">
        <f>SUM( X162, X171, X180, X189, X153 )</f>
        <v>0</v>
      </c>
      <c r="Y218" s="79"/>
    </row>
    <row r="219" spans="5:27" x14ac:dyDescent="0.3">
      <c r="F219" s="72" t="s">
        <v>251</v>
      </c>
      <c r="G219" s="72" t="s">
        <v>209</v>
      </c>
      <c r="J219" s="330">
        <f t="shared" ref="J219:T219" si="11">SUM( J163, J172, J181, J190, J154 )</f>
        <v>162892.31444569505</v>
      </c>
      <c r="K219" s="330">
        <f t="shared" si="11"/>
        <v>0</v>
      </c>
      <c r="L219" s="330">
        <f t="shared" si="11"/>
        <v>11141.605841442079</v>
      </c>
      <c r="M219" s="330">
        <f t="shared" si="11"/>
        <v>0</v>
      </c>
      <c r="N219" s="330">
        <f t="shared" si="11"/>
        <v>96590.376440868567</v>
      </c>
      <c r="O219" s="330">
        <f t="shared" si="11"/>
        <v>18756.074441433811</v>
      </c>
      <c r="P219" s="330">
        <f t="shared" si="11"/>
        <v>67757.896266666823</v>
      </c>
      <c r="Q219" s="425">
        <f t="shared" si="11"/>
        <v>798.66787986561553</v>
      </c>
      <c r="R219" s="425">
        <f t="shared" si="11"/>
        <v>0.53785825991290714</v>
      </c>
      <c r="S219" s="425">
        <f t="shared" si="11"/>
        <v>0</v>
      </c>
      <c r="T219" s="330">
        <f t="shared" si="11"/>
        <v>102.22566092765663</v>
      </c>
      <c r="U219" s="79"/>
      <c r="V219" s="330">
        <f>SUM( V163, V172, V181, V190, V154 )</f>
        <v>0</v>
      </c>
      <c r="W219" s="79"/>
      <c r="X219" s="330">
        <f>SUM( X163, X172, X181, X190, X154 )</f>
        <v>0</v>
      </c>
      <c r="Y219" s="79"/>
    </row>
    <row r="220" spans="5:27" x14ac:dyDescent="0.3">
      <c r="F220" s="72" t="s">
        <v>214</v>
      </c>
      <c r="G220" s="72" t="s">
        <v>214</v>
      </c>
      <c r="J220" s="330">
        <f t="shared" ref="J220:T220" si="12">SUM( J164, J173, J182, J191, J155 )</f>
        <v>95331.946746646136</v>
      </c>
      <c r="K220" s="330">
        <f t="shared" si="12"/>
        <v>0</v>
      </c>
      <c r="L220" s="330">
        <f t="shared" si="12"/>
        <v>2168.5875103676876</v>
      </c>
      <c r="M220" s="330">
        <f t="shared" si="12"/>
        <v>0</v>
      </c>
      <c r="N220" s="330">
        <f t="shared" si="12"/>
        <v>512.77381605803089</v>
      </c>
      <c r="O220" s="330">
        <f t="shared" si="12"/>
        <v>37.728004466962517</v>
      </c>
      <c r="P220" s="330">
        <f t="shared" si="12"/>
        <v>48.99272137877486</v>
      </c>
      <c r="Q220" s="330">
        <f t="shared" si="12"/>
        <v>0</v>
      </c>
      <c r="R220" s="330">
        <f t="shared" si="12"/>
        <v>0</v>
      </c>
      <c r="S220" s="330">
        <f t="shared" si="12"/>
        <v>0</v>
      </c>
      <c r="T220" s="330">
        <f t="shared" si="12"/>
        <v>7.5227924811313303</v>
      </c>
      <c r="U220" s="79"/>
      <c r="V220" s="330">
        <f>SUM( V164, V173, V182, V191, V155 )</f>
        <v>0</v>
      </c>
      <c r="W220" s="79"/>
      <c r="X220" s="330">
        <f>SUM( X164, X173, X182, X191, X155 )</f>
        <v>0</v>
      </c>
      <c r="Y220" s="79"/>
    </row>
    <row r="221" spans="5:27" x14ac:dyDescent="0.3">
      <c r="F221" s="72" t="s">
        <v>252</v>
      </c>
      <c r="G221" s="72" t="s">
        <v>253</v>
      </c>
      <c r="J221" s="79"/>
      <c r="K221" s="79"/>
      <c r="L221" s="79"/>
      <c r="M221" s="79"/>
      <c r="N221" s="330">
        <f t="shared" ref="N221:P223" si="13">SUM( N165, N174, N183, N192, N156 )</f>
        <v>143403.86242175783</v>
      </c>
      <c r="O221" s="330">
        <f t="shared" si="13"/>
        <v>25310.122968436284</v>
      </c>
      <c r="P221" s="330">
        <f t="shared" si="13"/>
        <v>73008.25636622723</v>
      </c>
      <c r="Q221" s="79"/>
      <c r="R221" s="79"/>
      <c r="S221" s="79"/>
      <c r="T221" s="79"/>
      <c r="U221" s="79"/>
      <c r="V221" s="79"/>
      <c r="W221" s="79"/>
      <c r="X221" s="79"/>
      <c r="Y221" s="79"/>
    </row>
    <row r="222" spans="5:27" x14ac:dyDescent="0.3">
      <c r="F222" s="72" t="s">
        <v>254</v>
      </c>
      <c r="G222" s="72" t="s">
        <v>253</v>
      </c>
      <c r="J222" s="79"/>
      <c r="K222" s="79"/>
      <c r="L222" s="79"/>
      <c r="M222" s="79"/>
      <c r="N222" s="330">
        <f t="shared" si="13"/>
        <v>348.78401195134558</v>
      </c>
      <c r="O222" s="330">
        <f t="shared" si="13"/>
        <v>87.593535187294378</v>
      </c>
      <c r="P222" s="330">
        <f t="shared" si="13"/>
        <v>33.39072906498167</v>
      </c>
      <c r="Q222" s="79"/>
      <c r="R222" s="79"/>
      <c r="S222" s="79"/>
      <c r="T222" s="79"/>
      <c r="U222" s="79"/>
      <c r="V222" s="79"/>
      <c r="W222" s="79"/>
      <c r="X222" s="79"/>
      <c r="Y222" s="79"/>
    </row>
    <row r="223" spans="5:27" x14ac:dyDescent="0.3">
      <c r="F223" s="80" t="s">
        <v>255</v>
      </c>
      <c r="G223" s="80" t="s">
        <v>256</v>
      </c>
      <c r="H223" s="37"/>
      <c r="I223" s="37"/>
      <c r="J223" s="81"/>
      <c r="K223" s="81"/>
      <c r="L223" s="81"/>
      <c r="M223" s="81"/>
      <c r="N223" s="100">
        <f t="shared" si="13"/>
        <v>13361.430181915508</v>
      </c>
      <c r="O223" s="100">
        <f t="shared" si="13"/>
        <v>2497.1722615617687</v>
      </c>
      <c r="P223" s="100">
        <f t="shared" si="13"/>
        <v>3294.2593048211338</v>
      </c>
      <c r="Q223" s="81"/>
      <c r="R223" s="81"/>
      <c r="S223" s="81"/>
      <c r="T223" s="100">
        <f>SUM( T167, T176, T185, T194, T158 )</f>
        <v>83.119264278831736</v>
      </c>
      <c r="U223" s="81"/>
      <c r="V223" s="100">
        <f>SUM( V167, V176, V185, V194, V158 )</f>
        <v>0</v>
      </c>
      <c r="W223" s="81"/>
      <c r="X223" s="100">
        <f>SUM( X167, X176, X185, X194, X158 )</f>
        <v>0</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448</v>
      </c>
      <c r="AQ227" s="3"/>
    </row>
    <row r="228" spans="3:43" x14ac:dyDescent="0.3">
      <c r="C228" s="32"/>
      <c r="AQ228" s="3"/>
    </row>
    <row r="229" spans="3:43" x14ac:dyDescent="0.3">
      <c r="C229" s="29"/>
      <c r="E229" s="32" t="s">
        <v>158</v>
      </c>
      <c r="I229" t="s">
        <v>156</v>
      </c>
      <c r="AA229" t="s">
        <v>311</v>
      </c>
      <c r="AQ229" s="3"/>
    </row>
    <row r="230" spans="3:43" x14ac:dyDescent="0.3">
      <c r="C230" s="29"/>
      <c r="E230" s="32"/>
      <c r="AQ230" s="3"/>
    </row>
    <row r="231" spans="3:43" x14ac:dyDescent="0.3">
      <c r="F231" s="28" t="s">
        <v>449</v>
      </c>
      <c r="G231" s="28" t="s">
        <v>209</v>
      </c>
      <c r="J231" s="98">
        <f t="shared" ref="J231:Y231" si="14">J$199</f>
        <v>963611.57957705879</v>
      </c>
      <c r="K231" s="98">
        <f t="shared" si="14"/>
        <v>907.55296879515561</v>
      </c>
      <c r="L231" s="98">
        <f t="shared" si="14"/>
        <v>317459.17263826192</v>
      </c>
      <c r="M231" s="98">
        <f t="shared" si="14"/>
        <v>38.5327591755619</v>
      </c>
      <c r="N231" s="98">
        <f t="shared" si="14"/>
        <v>325520.16173196351</v>
      </c>
      <c r="O231" s="98">
        <f t="shared" si="14"/>
        <v>25365.347056045397</v>
      </c>
      <c r="P231" s="98">
        <f t="shared" si="14"/>
        <v>660722.99699194985</v>
      </c>
      <c r="Q231" s="98">
        <f t="shared" si="14"/>
        <v>8811.3898575429248</v>
      </c>
      <c r="R231" s="98">
        <f t="shared" si="14"/>
        <v>68.229870901863052</v>
      </c>
      <c r="S231" s="98">
        <f t="shared" si="14"/>
        <v>0</v>
      </c>
      <c r="T231" s="98">
        <f t="shared" si="14"/>
        <v>4775.2942813887903</v>
      </c>
      <c r="U231" s="98">
        <f t="shared" si="14"/>
        <v>0</v>
      </c>
      <c r="V231" s="98">
        <f t="shared" si="14"/>
        <v>643.59278860763663</v>
      </c>
      <c r="W231" s="98">
        <f t="shared" si="14"/>
        <v>0</v>
      </c>
      <c r="X231" s="98">
        <f t="shared" si="14"/>
        <v>278149.15352828434</v>
      </c>
      <c r="Y231" s="98">
        <f t="shared" si="14"/>
        <v>0</v>
      </c>
      <c r="AQ231" s="3"/>
    </row>
    <row r="232" spans="3:43" x14ac:dyDescent="0.3">
      <c r="F232" s="28" t="s">
        <v>450</v>
      </c>
      <c r="G232" s="28" t="s">
        <v>209</v>
      </c>
      <c r="J232" s="98">
        <f t="shared" ref="J232:Y232" si="15">J$208</f>
        <v>16844.83009576039</v>
      </c>
      <c r="K232" s="98">
        <f t="shared" si="15"/>
        <v>0</v>
      </c>
      <c r="L232" s="98">
        <f t="shared" si="15"/>
        <v>596.74468560882997</v>
      </c>
      <c r="M232" s="98">
        <f t="shared" si="15"/>
        <v>0</v>
      </c>
      <c r="N232" s="98">
        <f t="shared" si="15"/>
        <v>2263.8650815595156</v>
      </c>
      <c r="O232" s="98">
        <f t="shared" si="15"/>
        <v>0</v>
      </c>
      <c r="P232" s="98">
        <f t="shared" si="15"/>
        <v>0</v>
      </c>
      <c r="Q232" s="98">
        <f t="shared" si="15"/>
        <v>2.3648233621398798</v>
      </c>
      <c r="R232" s="98">
        <f t="shared" si="15"/>
        <v>1.8728551428838309</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451</v>
      </c>
      <c r="G233" s="28" t="s">
        <v>209</v>
      </c>
      <c r="J233" s="98">
        <f t="shared" ref="J233:Y233" si="16">J$217</f>
        <v>38108.591813126724</v>
      </c>
      <c r="K233" s="98">
        <f t="shared" si="16"/>
        <v>0</v>
      </c>
      <c r="L233" s="98">
        <f t="shared" si="16"/>
        <v>2867.4538145859542</v>
      </c>
      <c r="M233" s="98">
        <f t="shared" si="16"/>
        <v>0</v>
      </c>
      <c r="N233" s="98">
        <f t="shared" si="16"/>
        <v>20680.240981371669</v>
      </c>
      <c r="O233" s="98">
        <f t="shared" si="16"/>
        <v>3429.5560983359901</v>
      </c>
      <c r="P233" s="98">
        <f t="shared" si="16"/>
        <v>12348.095296849689</v>
      </c>
      <c r="Q233" s="98">
        <f t="shared" si="16"/>
        <v>5.6935103681417845</v>
      </c>
      <c r="R233" s="98">
        <f t="shared" si="16"/>
        <v>0.10207970836668105</v>
      </c>
      <c r="S233" s="98">
        <f t="shared" si="16"/>
        <v>0</v>
      </c>
      <c r="T233" s="98">
        <f t="shared" si="16"/>
        <v>9.3150819735035242</v>
      </c>
      <c r="U233" s="98">
        <f t="shared" si="16"/>
        <v>0</v>
      </c>
      <c r="V233" s="98">
        <f t="shared" si="16"/>
        <v>0</v>
      </c>
      <c r="W233" s="98">
        <f t="shared" si="16"/>
        <v>0</v>
      </c>
      <c r="X233" s="98">
        <f t="shared" si="16"/>
        <v>0</v>
      </c>
      <c r="Y233" s="98">
        <f t="shared" si="16"/>
        <v>0</v>
      </c>
      <c r="AQ233" s="3"/>
    </row>
    <row r="234" spans="3:43" x14ac:dyDescent="0.3">
      <c r="F234" s="28" t="s">
        <v>452</v>
      </c>
      <c r="G234" s="28" t="s">
        <v>169</v>
      </c>
      <c r="J234" s="332">
        <f>IF(J$39, J$45, J$34)</f>
        <v>0.30293723133621986</v>
      </c>
      <c r="K234" s="332">
        <f t="shared" ref="K234:Y234" si="17">IF(K$39, K$45, K$34)</f>
        <v>0.30293723133621986</v>
      </c>
      <c r="L234" s="332">
        <f t="shared" si="17"/>
        <v>0.30293723133621986</v>
      </c>
      <c r="M234" s="332">
        <f t="shared" si="17"/>
        <v>0.30293723133621986</v>
      </c>
      <c r="N234" s="332">
        <f t="shared" si="17"/>
        <v>0.30293723133621986</v>
      </c>
      <c r="O234" s="332">
        <f t="shared" si="17"/>
        <v>0</v>
      </c>
      <c r="P234" s="332">
        <f t="shared" si="17"/>
        <v>0</v>
      </c>
      <c r="Q234" s="332">
        <f t="shared" si="17"/>
        <v>0.30293723133621986</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453</v>
      </c>
      <c r="G235" s="28" t="s">
        <v>169</v>
      </c>
      <c r="J235" s="332">
        <f>IF(J$39, J$45, J$35)</f>
        <v>0.440304373746851</v>
      </c>
      <c r="K235" s="332">
        <f t="shared" ref="K235:Y235" si="18">IF(K$39, K$45, K$35)</f>
        <v>0.440304373746851</v>
      </c>
      <c r="L235" s="332">
        <f t="shared" si="18"/>
        <v>0.440304373746851</v>
      </c>
      <c r="M235" s="332">
        <f t="shared" si="18"/>
        <v>0.440304373746851</v>
      </c>
      <c r="N235" s="332">
        <f t="shared" si="18"/>
        <v>0.440304373746851</v>
      </c>
      <c r="O235" s="332">
        <f t="shared" si="18"/>
        <v>0.1825428677643125</v>
      </c>
      <c r="P235" s="332">
        <f t="shared" si="18"/>
        <v>7.3486631222764401E-2</v>
      </c>
      <c r="Q235" s="332">
        <f t="shared" si="18"/>
        <v>0.440304373746851</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454</v>
      </c>
      <c r="G236" s="28" t="s">
        <v>209</v>
      </c>
      <c r="J236" s="98">
        <f t="shared" ref="J236:Y236" si="19">J232 * (1 - J234)</f>
        <v>11741.903904221706</v>
      </c>
      <c r="K236" s="98">
        <f t="shared" si="19"/>
        <v>0</v>
      </c>
      <c r="L236" s="98">
        <f t="shared" si="19"/>
        <v>415.96850273588808</v>
      </c>
      <c r="M236" s="98">
        <f t="shared" si="19"/>
        <v>0</v>
      </c>
      <c r="N236" s="98">
        <f t="shared" si="19"/>
        <v>1578.0560616331304</v>
      </c>
      <c r="O236" s="98">
        <f t="shared" si="19"/>
        <v>0</v>
      </c>
      <c r="P236" s="98">
        <f t="shared" si="19"/>
        <v>0</v>
      </c>
      <c r="Q236" s="98">
        <f t="shared" si="19"/>
        <v>1.6484303202140138</v>
      </c>
      <c r="R236" s="98">
        <f t="shared" si="19"/>
        <v>1.8728551428838309</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455</v>
      </c>
      <c r="G237" s="67" t="s">
        <v>209</v>
      </c>
      <c r="H237" s="37"/>
      <c r="I237" s="37"/>
      <c r="J237" s="100">
        <f t="shared" ref="J237:Y237" si="20">J233 * (1 - J235)</f>
        <v>21329.212160473588</v>
      </c>
      <c r="K237" s="100">
        <f t="shared" si="20"/>
        <v>0</v>
      </c>
      <c r="L237" s="100">
        <f t="shared" si="20"/>
        <v>1604.9013585066664</v>
      </c>
      <c r="M237" s="100">
        <f t="shared" si="20"/>
        <v>0</v>
      </c>
      <c r="N237" s="100">
        <f t="shared" si="20"/>
        <v>11574.640427134853</v>
      </c>
      <c r="O237" s="100">
        <f t="shared" si="20"/>
        <v>2803.515092987152</v>
      </c>
      <c r="P237" s="100">
        <f t="shared" si="20"/>
        <v>11440.675371466545</v>
      </c>
      <c r="Q237" s="100">
        <f t="shared" si="20"/>
        <v>3.1866328510759128</v>
      </c>
      <c r="R237" s="100">
        <f t="shared" si="20"/>
        <v>0.10207970836668105</v>
      </c>
      <c r="S237" s="100">
        <f t="shared" si="20"/>
        <v>0</v>
      </c>
      <c r="T237" s="100">
        <f t="shared" si="20"/>
        <v>9.3150819735035242</v>
      </c>
      <c r="U237" s="100">
        <f t="shared" si="20"/>
        <v>0</v>
      </c>
      <c r="V237" s="100">
        <f t="shared" si="20"/>
        <v>0</v>
      </c>
      <c r="W237" s="100">
        <f t="shared" si="20"/>
        <v>0</v>
      </c>
      <c r="X237" s="100">
        <f t="shared" si="20"/>
        <v>0</v>
      </c>
      <c r="Y237" s="100">
        <f t="shared" si="20"/>
        <v>0</v>
      </c>
      <c r="AQ237" s="3"/>
    </row>
    <row r="238" spans="3:43" x14ac:dyDescent="0.3">
      <c r="F238" s="28" t="s">
        <v>456</v>
      </c>
      <c r="G238" s="28" t="s">
        <v>209</v>
      </c>
      <c r="J238" s="121">
        <f t="shared" ref="J238:Y238" si="21">J231 + J236 + J237</f>
        <v>996682.69564175408</v>
      </c>
      <c r="K238" s="121">
        <f t="shared" si="21"/>
        <v>907.55296879515561</v>
      </c>
      <c r="L238" s="121">
        <f t="shared" si="21"/>
        <v>319480.04249950446</v>
      </c>
      <c r="M238" s="121">
        <f t="shared" si="21"/>
        <v>38.5327591755619</v>
      </c>
      <c r="N238" s="121">
        <f t="shared" si="21"/>
        <v>338672.85822073149</v>
      </c>
      <c r="O238" s="121">
        <f t="shared" si="21"/>
        <v>28168.862149032549</v>
      </c>
      <c r="P238" s="121">
        <f t="shared" si="21"/>
        <v>672163.67236341641</v>
      </c>
      <c r="Q238" s="121">
        <f t="shared" si="21"/>
        <v>8816.224920714214</v>
      </c>
      <c r="R238" s="121">
        <f t="shared" si="21"/>
        <v>70.204805753113575</v>
      </c>
      <c r="S238" s="121">
        <f t="shared" si="21"/>
        <v>0</v>
      </c>
      <c r="T238" s="121">
        <f t="shared" si="21"/>
        <v>4784.6093633622941</v>
      </c>
      <c r="U238" s="121">
        <f t="shared" si="21"/>
        <v>0</v>
      </c>
      <c r="V238" s="121">
        <f t="shared" si="21"/>
        <v>643.59278860763663</v>
      </c>
      <c r="W238" s="121">
        <f t="shared" si="21"/>
        <v>0</v>
      </c>
      <c r="X238" s="121">
        <f t="shared" si="21"/>
        <v>278149.15352828434</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159</v>
      </c>
      <c r="I240" t="s">
        <v>156</v>
      </c>
      <c r="J240" s="89"/>
      <c r="K240" s="89"/>
      <c r="L240" s="89"/>
      <c r="M240" s="89"/>
      <c r="N240" s="89"/>
      <c r="O240" s="89"/>
      <c r="P240" s="89"/>
      <c r="Q240" s="89"/>
      <c r="R240" s="89"/>
      <c r="S240" s="89"/>
      <c r="T240" s="89"/>
      <c r="U240" s="89"/>
      <c r="V240" s="89"/>
      <c r="W240" s="89"/>
      <c r="X240" s="89"/>
      <c r="Y240" s="89"/>
      <c r="AA240" t="s">
        <v>311</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449</v>
      </c>
      <c r="G242" s="28" t="s">
        <v>209</v>
      </c>
      <c r="J242" s="98">
        <f t="shared" ref="J242:Y242" si="22">J$200</f>
        <v>2859384.3281420832</v>
      </c>
      <c r="K242" s="98">
        <f t="shared" si="22"/>
        <v>5824.4312721126043</v>
      </c>
      <c r="L242" s="98">
        <f t="shared" si="22"/>
        <v>1307124.6547995689</v>
      </c>
      <c r="M242" s="98">
        <f t="shared" si="22"/>
        <v>502.36485110192183</v>
      </c>
      <c r="N242" s="98">
        <f t="shared" si="22"/>
        <v>1378267.3528022701</v>
      </c>
      <c r="O242" s="98">
        <f t="shared" si="22"/>
        <v>98710.716166449463</v>
      </c>
      <c r="P242" s="98">
        <f t="shared" si="22"/>
        <v>2528067.9409185005</v>
      </c>
      <c r="Q242" s="98">
        <f t="shared" si="22"/>
        <v>49189.058441586792</v>
      </c>
      <c r="R242" s="98">
        <f t="shared" si="22"/>
        <v>449.63349348982825</v>
      </c>
      <c r="S242" s="98">
        <f t="shared" si="22"/>
        <v>0</v>
      </c>
      <c r="T242" s="98">
        <f t="shared" si="22"/>
        <v>23780.951178135838</v>
      </c>
      <c r="U242" s="98">
        <f t="shared" si="22"/>
        <v>0</v>
      </c>
      <c r="V242" s="98">
        <f t="shared" si="22"/>
        <v>2524.6060767726581</v>
      </c>
      <c r="W242" s="98">
        <f t="shared" si="22"/>
        <v>0</v>
      </c>
      <c r="X242" s="98">
        <f t="shared" si="22"/>
        <v>600091.23989919515</v>
      </c>
      <c r="Y242" s="98">
        <f t="shared" si="22"/>
        <v>0</v>
      </c>
      <c r="AQ242" s="3"/>
    </row>
    <row r="243" spans="5:43" x14ac:dyDescent="0.3">
      <c r="F243" s="28" t="s">
        <v>450</v>
      </c>
      <c r="G243" s="28" t="s">
        <v>209</v>
      </c>
      <c r="J243" s="98">
        <f t="shared" ref="J243:Y243" si="23">J$209</f>
        <v>47801.051720658063</v>
      </c>
      <c r="K243" s="98">
        <f t="shared" si="23"/>
        <v>0</v>
      </c>
      <c r="L243" s="98">
        <f t="shared" si="23"/>
        <v>2584.1827229204755</v>
      </c>
      <c r="M243" s="98">
        <f t="shared" si="23"/>
        <v>0</v>
      </c>
      <c r="N243" s="98">
        <f t="shared" si="23"/>
        <v>8540.0654944362232</v>
      </c>
      <c r="O243" s="98">
        <f t="shared" si="23"/>
        <v>0</v>
      </c>
      <c r="P243" s="98">
        <f t="shared" si="23"/>
        <v>0</v>
      </c>
      <c r="Q243" s="98">
        <f t="shared" si="23"/>
        <v>205.77520278102358</v>
      </c>
      <c r="R243" s="98">
        <f t="shared" si="23"/>
        <v>9.0445144810384299</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451</v>
      </c>
      <c r="G244" s="28" t="s">
        <v>209</v>
      </c>
      <c r="J244" s="98">
        <f t="shared" ref="J244:Y244" si="24">J$218</f>
        <v>107950.2222213502</v>
      </c>
      <c r="K244" s="98">
        <f t="shared" si="24"/>
        <v>0</v>
      </c>
      <c r="L244" s="98">
        <f t="shared" si="24"/>
        <v>12324.044872379978</v>
      </c>
      <c r="M244" s="98">
        <f t="shared" si="24"/>
        <v>0</v>
      </c>
      <c r="N244" s="98">
        <f t="shared" si="24"/>
        <v>76484.799855444304</v>
      </c>
      <c r="O244" s="98">
        <f t="shared" si="24"/>
        <v>13043.76618149481</v>
      </c>
      <c r="P244" s="98">
        <f t="shared" si="24"/>
        <v>43653.193458237816</v>
      </c>
      <c r="Q244" s="98">
        <f t="shared" si="24"/>
        <v>484.30703219565856</v>
      </c>
      <c r="R244" s="98">
        <f t="shared" si="24"/>
        <v>0.70602788921055704</v>
      </c>
      <c r="S244" s="98">
        <f t="shared" si="24"/>
        <v>0</v>
      </c>
      <c r="T244" s="98">
        <f t="shared" si="24"/>
        <v>50.757499276286254</v>
      </c>
      <c r="U244" s="98">
        <f t="shared" si="24"/>
        <v>0</v>
      </c>
      <c r="V244" s="98">
        <f t="shared" si="24"/>
        <v>0</v>
      </c>
      <c r="W244" s="98">
        <f t="shared" si="24"/>
        <v>0</v>
      </c>
      <c r="X244" s="98">
        <f t="shared" si="24"/>
        <v>0</v>
      </c>
      <c r="Y244" s="98">
        <f t="shared" si="24"/>
        <v>0</v>
      </c>
      <c r="AQ244" s="3"/>
    </row>
    <row r="245" spans="5:43" x14ac:dyDescent="0.3">
      <c r="F245" s="28" t="s">
        <v>452</v>
      </c>
      <c r="G245" s="28" t="s">
        <v>169</v>
      </c>
      <c r="J245" s="385">
        <f t="shared" ref="J245:Y245" si="25">IF(J$39, J$45, J$34)</f>
        <v>0.30293723133621986</v>
      </c>
      <c r="K245" s="385">
        <f t="shared" si="25"/>
        <v>0.30293723133621986</v>
      </c>
      <c r="L245" s="385">
        <f t="shared" si="25"/>
        <v>0.30293723133621986</v>
      </c>
      <c r="M245" s="385">
        <f t="shared" si="25"/>
        <v>0.30293723133621986</v>
      </c>
      <c r="N245" s="385">
        <f t="shared" si="25"/>
        <v>0.30293723133621986</v>
      </c>
      <c r="O245" s="385">
        <f t="shared" si="25"/>
        <v>0</v>
      </c>
      <c r="P245" s="385">
        <f t="shared" si="25"/>
        <v>0</v>
      </c>
      <c r="Q245" s="385">
        <f t="shared" si="25"/>
        <v>0.30293723133621986</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453</v>
      </c>
      <c r="G246" s="28" t="s">
        <v>169</v>
      </c>
      <c r="J246" s="385">
        <f t="shared" ref="J246:Y246" si="26">IF(J$39, J$45, J$35)</f>
        <v>0.440304373746851</v>
      </c>
      <c r="K246" s="385">
        <f t="shared" si="26"/>
        <v>0.440304373746851</v>
      </c>
      <c r="L246" s="385">
        <f t="shared" si="26"/>
        <v>0.440304373746851</v>
      </c>
      <c r="M246" s="385">
        <f t="shared" si="26"/>
        <v>0.440304373746851</v>
      </c>
      <c r="N246" s="385">
        <f t="shared" si="26"/>
        <v>0.440304373746851</v>
      </c>
      <c r="O246" s="385">
        <f t="shared" si="26"/>
        <v>0.1825428677643125</v>
      </c>
      <c r="P246" s="385">
        <f t="shared" si="26"/>
        <v>7.3486631222764401E-2</v>
      </c>
      <c r="Q246" s="385">
        <f t="shared" si="26"/>
        <v>0.440304373746851</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454</v>
      </c>
      <c r="G247" s="28" t="s">
        <v>209</v>
      </c>
      <c r="J247" s="98">
        <f t="shared" ref="J247:Y247" si="27">J243 * (1 - J245)</f>
        <v>33320.333457442459</v>
      </c>
      <c r="K247" s="98">
        <f t="shared" si="27"/>
        <v>0</v>
      </c>
      <c r="L247" s="98">
        <f t="shared" si="27"/>
        <v>1801.3375635720529</v>
      </c>
      <c r="M247" s="98">
        <f t="shared" si="27"/>
        <v>0</v>
      </c>
      <c r="N247" s="98">
        <f t="shared" si="27"/>
        <v>5952.9616981217277</v>
      </c>
      <c r="O247" s="98">
        <f t="shared" si="27"/>
        <v>0</v>
      </c>
      <c r="P247" s="98">
        <f t="shared" si="27"/>
        <v>0</v>
      </c>
      <c r="Q247" s="98">
        <f t="shared" si="27"/>
        <v>143.43823257289108</v>
      </c>
      <c r="R247" s="98">
        <f t="shared" si="27"/>
        <v>9.0445144810384299</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455</v>
      </c>
      <c r="G248" s="67" t="s">
        <v>209</v>
      </c>
      <c r="H248" s="37"/>
      <c r="I248" s="37"/>
      <c r="J248" s="100">
        <f t="shared" ref="J248:Y248" si="28">J244 * (1 - J246)</f>
        <v>60419.267230345191</v>
      </c>
      <c r="K248" s="100">
        <f t="shared" si="28"/>
        <v>0</v>
      </c>
      <c r="L248" s="100">
        <f t="shared" si="28"/>
        <v>6897.7140128186211</v>
      </c>
      <c r="M248" s="100">
        <f t="shared" si="28"/>
        <v>0</v>
      </c>
      <c r="N248" s="100">
        <f t="shared" si="28"/>
        <v>42808.207953939658</v>
      </c>
      <c r="O248" s="100">
        <f t="shared" si="28"/>
        <v>10662.719696277591</v>
      </c>
      <c r="P248" s="100">
        <f t="shared" si="28"/>
        <v>40445.267328876304</v>
      </c>
      <c r="Q248" s="100">
        <f t="shared" si="28"/>
        <v>271.06452768355308</v>
      </c>
      <c r="R248" s="100">
        <f t="shared" si="28"/>
        <v>0.70602788921055704</v>
      </c>
      <c r="S248" s="100">
        <f t="shared" si="28"/>
        <v>0</v>
      </c>
      <c r="T248" s="100">
        <f t="shared" si="28"/>
        <v>50.757499276286254</v>
      </c>
      <c r="U248" s="100">
        <f t="shared" si="28"/>
        <v>0</v>
      </c>
      <c r="V248" s="100">
        <f t="shared" si="28"/>
        <v>0</v>
      </c>
      <c r="W248" s="100">
        <f t="shared" si="28"/>
        <v>0</v>
      </c>
      <c r="X248" s="100">
        <f t="shared" si="28"/>
        <v>0</v>
      </c>
      <c r="Y248" s="100">
        <f t="shared" si="28"/>
        <v>0</v>
      </c>
      <c r="AQ248" s="3"/>
    </row>
    <row r="249" spans="5:43" x14ac:dyDescent="0.3">
      <c r="F249" s="28" t="s">
        <v>456</v>
      </c>
      <c r="G249" s="28" t="s">
        <v>209</v>
      </c>
      <c r="J249" s="121">
        <f t="shared" ref="J249:Y249" si="29">J242 + J247 + J248</f>
        <v>2953123.9288298711</v>
      </c>
      <c r="K249" s="121">
        <f t="shared" si="29"/>
        <v>5824.4312721126043</v>
      </c>
      <c r="L249" s="121">
        <f t="shared" si="29"/>
        <v>1315823.7063759596</v>
      </c>
      <c r="M249" s="121">
        <f t="shared" si="29"/>
        <v>502.36485110192183</v>
      </c>
      <c r="N249" s="121">
        <f t="shared" si="29"/>
        <v>1427028.5224543314</v>
      </c>
      <c r="O249" s="121">
        <f t="shared" si="29"/>
        <v>109373.43586272706</v>
      </c>
      <c r="P249" s="121">
        <f t="shared" si="29"/>
        <v>2568513.2082473766</v>
      </c>
      <c r="Q249" s="121">
        <f t="shared" si="29"/>
        <v>49603.561201843237</v>
      </c>
      <c r="R249" s="121">
        <f t="shared" si="29"/>
        <v>459.38403586007723</v>
      </c>
      <c r="S249" s="121">
        <f t="shared" si="29"/>
        <v>0</v>
      </c>
      <c r="T249" s="121">
        <f t="shared" si="29"/>
        <v>23831.708677412124</v>
      </c>
      <c r="U249" s="121">
        <f t="shared" si="29"/>
        <v>0</v>
      </c>
      <c r="V249" s="121">
        <f t="shared" si="29"/>
        <v>2524.6060767726581</v>
      </c>
      <c r="W249" s="121">
        <f t="shared" si="29"/>
        <v>0</v>
      </c>
      <c r="X249" s="121">
        <f t="shared" si="29"/>
        <v>600091.23989919515</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160</v>
      </c>
      <c r="I251" t="s">
        <v>156</v>
      </c>
      <c r="J251" s="89"/>
      <c r="K251" s="89"/>
      <c r="L251" s="89"/>
      <c r="M251" s="89"/>
      <c r="N251" s="89"/>
      <c r="O251" s="89"/>
      <c r="P251" s="89"/>
      <c r="Q251" s="89"/>
      <c r="R251" s="89"/>
      <c r="S251" s="89"/>
      <c r="T251" s="89"/>
      <c r="U251" s="89"/>
      <c r="V251" s="89"/>
      <c r="W251" s="89"/>
      <c r="X251" s="89"/>
      <c r="Y251" s="89"/>
      <c r="AA251" t="s">
        <v>311</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449</v>
      </c>
      <c r="G253" s="28" t="s">
        <v>209</v>
      </c>
      <c r="J253" s="98">
        <f t="shared" ref="J253:Y253" si="30">J$201</f>
        <v>4737373.0104243234</v>
      </c>
      <c r="K253" s="98">
        <f t="shared" si="30"/>
        <v>10388.832210240402</v>
      </c>
      <c r="L253" s="98">
        <f t="shared" si="30"/>
        <v>1435777.5944213392</v>
      </c>
      <c r="M253" s="98">
        <f t="shared" si="30"/>
        <v>1825.2777420810467</v>
      </c>
      <c r="N253" s="98">
        <f t="shared" si="30"/>
        <v>1502094.0880824965</v>
      </c>
      <c r="O253" s="98">
        <f t="shared" si="30"/>
        <v>110393.38969447213</v>
      </c>
      <c r="P253" s="98">
        <f t="shared" si="30"/>
        <v>3603135.1466917135</v>
      </c>
      <c r="Q253" s="98">
        <f t="shared" si="30"/>
        <v>159418.28502479228</v>
      </c>
      <c r="R253" s="98">
        <f t="shared" si="30"/>
        <v>251.99826680064848</v>
      </c>
      <c r="S253" s="98">
        <f t="shared" si="30"/>
        <v>0</v>
      </c>
      <c r="T253" s="98">
        <f t="shared" si="30"/>
        <v>24197.561642861572</v>
      </c>
      <c r="U253" s="98">
        <f t="shared" si="30"/>
        <v>0</v>
      </c>
      <c r="V253" s="98">
        <f t="shared" si="30"/>
        <v>4216.2054199370059</v>
      </c>
      <c r="W253" s="98">
        <f t="shared" si="30"/>
        <v>0</v>
      </c>
      <c r="X253" s="98">
        <f t="shared" si="30"/>
        <v>673152.99157943716</v>
      </c>
      <c r="Y253" s="98">
        <f t="shared" si="30"/>
        <v>0</v>
      </c>
      <c r="AQ253" s="3"/>
    </row>
    <row r="254" spans="5:43" x14ac:dyDescent="0.3">
      <c r="F254" s="28" t="s">
        <v>450</v>
      </c>
      <c r="G254" s="28" t="s">
        <v>209</v>
      </c>
      <c r="J254" s="98">
        <f t="shared" ref="J254:Y254" si="31">J$210</f>
        <v>72046.381216640846</v>
      </c>
      <c r="K254" s="98">
        <f t="shared" si="31"/>
        <v>0</v>
      </c>
      <c r="L254" s="98">
        <f t="shared" si="31"/>
        <v>2429.3358448437175</v>
      </c>
      <c r="M254" s="98">
        <f t="shared" si="31"/>
        <v>0</v>
      </c>
      <c r="N254" s="98">
        <f t="shared" si="31"/>
        <v>10786.921781350209</v>
      </c>
      <c r="O254" s="98">
        <f t="shared" si="31"/>
        <v>0</v>
      </c>
      <c r="P254" s="98">
        <f t="shared" si="31"/>
        <v>0</v>
      </c>
      <c r="Q254" s="98">
        <f t="shared" si="31"/>
        <v>349.2474447454577</v>
      </c>
      <c r="R254" s="98">
        <f t="shared" si="31"/>
        <v>5.2527047793455779</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451</v>
      </c>
      <c r="G255" s="28" t="s">
        <v>209</v>
      </c>
      <c r="J255" s="98">
        <f t="shared" ref="J255:Y255" si="32">J$219</f>
        <v>162892.31444569505</v>
      </c>
      <c r="K255" s="98">
        <f t="shared" si="32"/>
        <v>0</v>
      </c>
      <c r="L255" s="98">
        <f t="shared" si="32"/>
        <v>11141.605841442079</v>
      </c>
      <c r="M255" s="98">
        <f t="shared" si="32"/>
        <v>0</v>
      </c>
      <c r="N255" s="98">
        <f t="shared" si="32"/>
        <v>96590.376440868567</v>
      </c>
      <c r="O255" s="98">
        <f t="shared" si="32"/>
        <v>18756.074441433811</v>
      </c>
      <c r="P255" s="98">
        <f t="shared" si="32"/>
        <v>67757.896266666823</v>
      </c>
      <c r="Q255" s="98">
        <f t="shared" si="32"/>
        <v>798.66787986561553</v>
      </c>
      <c r="R255" s="98">
        <f t="shared" si="32"/>
        <v>0.53785825991290714</v>
      </c>
      <c r="S255" s="98">
        <f t="shared" si="32"/>
        <v>0</v>
      </c>
      <c r="T255" s="98">
        <f t="shared" si="32"/>
        <v>102.22566092765663</v>
      </c>
      <c r="U255" s="98">
        <f t="shared" si="32"/>
        <v>0</v>
      </c>
      <c r="V255" s="98">
        <f t="shared" si="32"/>
        <v>0</v>
      </c>
      <c r="W255" s="98">
        <f t="shared" si="32"/>
        <v>0</v>
      </c>
      <c r="X255" s="98">
        <f t="shared" si="32"/>
        <v>0</v>
      </c>
      <c r="Y255" s="98">
        <f t="shared" si="32"/>
        <v>0</v>
      </c>
      <c r="AQ255" s="3"/>
    </row>
    <row r="256" spans="5:43" x14ac:dyDescent="0.3">
      <c r="F256" s="28" t="s">
        <v>452</v>
      </c>
      <c r="G256" s="28" t="s">
        <v>169</v>
      </c>
      <c r="J256" s="385">
        <f t="shared" ref="J256:Y256" si="33">IF(J$39, J$45, J$34)</f>
        <v>0.30293723133621986</v>
      </c>
      <c r="K256" s="385">
        <f t="shared" si="33"/>
        <v>0.30293723133621986</v>
      </c>
      <c r="L256" s="385">
        <f t="shared" si="33"/>
        <v>0.30293723133621986</v>
      </c>
      <c r="M256" s="385">
        <f t="shared" si="33"/>
        <v>0.30293723133621986</v>
      </c>
      <c r="N256" s="385">
        <f t="shared" si="33"/>
        <v>0.30293723133621986</v>
      </c>
      <c r="O256" s="385">
        <f t="shared" si="33"/>
        <v>0</v>
      </c>
      <c r="P256" s="385">
        <f t="shared" si="33"/>
        <v>0</v>
      </c>
      <c r="Q256" s="385">
        <f t="shared" si="33"/>
        <v>0.30293723133621986</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453</v>
      </c>
      <c r="G257" s="28" t="s">
        <v>169</v>
      </c>
      <c r="J257" s="385">
        <f t="shared" ref="J257:Y257" si="34">IF(J$39, J$45, J$35)</f>
        <v>0.440304373746851</v>
      </c>
      <c r="K257" s="385">
        <f t="shared" si="34"/>
        <v>0.440304373746851</v>
      </c>
      <c r="L257" s="385">
        <f t="shared" si="34"/>
        <v>0.440304373746851</v>
      </c>
      <c r="M257" s="385">
        <f t="shared" si="34"/>
        <v>0.440304373746851</v>
      </c>
      <c r="N257" s="385">
        <f t="shared" si="34"/>
        <v>0.440304373746851</v>
      </c>
      <c r="O257" s="385">
        <f t="shared" si="34"/>
        <v>0.1825428677643125</v>
      </c>
      <c r="P257" s="385">
        <f t="shared" si="34"/>
        <v>7.3486631222764401E-2</v>
      </c>
      <c r="Q257" s="385">
        <f t="shared" si="34"/>
        <v>0.440304373746851</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454</v>
      </c>
      <c r="G258" s="28" t="s">
        <v>209</v>
      </c>
      <c r="J258" s="98">
        <f t="shared" ref="J258:Y258" si="35">J254 * (1 - J256)</f>
        <v>50220.849963077831</v>
      </c>
      <c r="K258" s="98">
        <f t="shared" si="35"/>
        <v>0</v>
      </c>
      <c r="L258" s="98">
        <f t="shared" si="35"/>
        <v>1693.3995700209252</v>
      </c>
      <c r="M258" s="98">
        <f t="shared" si="35"/>
        <v>0</v>
      </c>
      <c r="N258" s="98">
        <f t="shared" si="35"/>
        <v>7519.1615622676118</v>
      </c>
      <c r="O258" s="98">
        <f t="shared" si="35"/>
        <v>0</v>
      </c>
      <c r="P258" s="98">
        <f t="shared" si="35"/>
        <v>0</v>
      </c>
      <c r="Q258" s="98">
        <f t="shared" si="35"/>
        <v>243.44739078301933</v>
      </c>
      <c r="R258" s="98">
        <f t="shared" si="35"/>
        <v>5.2527047793455779</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455</v>
      </c>
      <c r="G259" s="67" t="s">
        <v>209</v>
      </c>
      <c r="H259" s="37"/>
      <c r="I259" s="37"/>
      <c r="J259" s="100">
        <f t="shared" ref="J259:Y259" si="36">J255 * (1 - J257)</f>
        <v>91170.115945508151</v>
      </c>
      <c r="K259" s="100">
        <f t="shared" si="36"/>
        <v>0</v>
      </c>
      <c r="L259" s="100">
        <f t="shared" si="36"/>
        <v>6235.9080588916668</v>
      </c>
      <c r="M259" s="100">
        <f t="shared" si="36"/>
        <v>0</v>
      </c>
      <c r="N259" s="100">
        <f t="shared" si="36"/>
        <v>54061.21123209934</v>
      </c>
      <c r="O259" s="100">
        <f t="shared" si="36"/>
        <v>15332.286824893557</v>
      </c>
      <c r="P259" s="100">
        <f t="shared" si="36"/>
        <v>62778.596731287951</v>
      </c>
      <c r="Q259" s="100">
        <f t="shared" si="36"/>
        <v>447.0109191896604</v>
      </c>
      <c r="R259" s="100">
        <f t="shared" si="36"/>
        <v>0.53785825991290714</v>
      </c>
      <c r="S259" s="100">
        <f t="shared" si="36"/>
        <v>0</v>
      </c>
      <c r="T259" s="100">
        <f t="shared" si="36"/>
        <v>102.22566092765663</v>
      </c>
      <c r="U259" s="100">
        <f t="shared" si="36"/>
        <v>0</v>
      </c>
      <c r="V259" s="100">
        <f t="shared" si="36"/>
        <v>0</v>
      </c>
      <c r="W259" s="100">
        <f t="shared" si="36"/>
        <v>0</v>
      </c>
      <c r="X259" s="100">
        <f t="shared" si="36"/>
        <v>0</v>
      </c>
      <c r="Y259" s="100">
        <f t="shared" si="36"/>
        <v>0</v>
      </c>
      <c r="AQ259" s="3"/>
    </row>
    <row r="260" spans="5:43" x14ac:dyDescent="0.3">
      <c r="F260" s="28" t="s">
        <v>456</v>
      </c>
      <c r="G260" s="28" t="s">
        <v>209</v>
      </c>
      <c r="J260" s="121">
        <f t="shared" ref="J260:Y260" si="37">J253 + J258 + J259</f>
        <v>4878763.9763329094</v>
      </c>
      <c r="K260" s="121">
        <f t="shared" si="37"/>
        <v>10388.832210240402</v>
      </c>
      <c r="L260" s="121">
        <f t="shared" si="37"/>
        <v>1443706.9020502518</v>
      </c>
      <c r="M260" s="121">
        <f t="shared" si="37"/>
        <v>1825.2777420810467</v>
      </c>
      <c r="N260" s="121">
        <f t="shared" si="37"/>
        <v>1563674.4608768637</v>
      </c>
      <c r="O260" s="121">
        <f t="shared" si="37"/>
        <v>125725.67651936569</v>
      </c>
      <c r="P260" s="121">
        <f t="shared" si="37"/>
        <v>3665913.7434230014</v>
      </c>
      <c r="Q260" s="121">
        <f t="shared" si="37"/>
        <v>160108.74333476496</v>
      </c>
      <c r="R260" s="121">
        <f t="shared" si="37"/>
        <v>257.78882983990695</v>
      </c>
      <c r="S260" s="121">
        <f t="shared" si="37"/>
        <v>0</v>
      </c>
      <c r="T260" s="121">
        <f t="shared" si="37"/>
        <v>24299.787303789228</v>
      </c>
      <c r="U260" s="121">
        <f t="shared" si="37"/>
        <v>0</v>
      </c>
      <c r="V260" s="121">
        <f t="shared" si="37"/>
        <v>4216.2054199370059</v>
      </c>
      <c r="W260" s="121">
        <f t="shared" si="37"/>
        <v>0</v>
      </c>
      <c r="X260" s="121">
        <f t="shared" si="37"/>
        <v>673152.99157943716</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457</v>
      </c>
      <c r="I262" t="s">
        <v>156</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456</v>
      </c>
      <c r="G264" s="28" t="s">
        <v>209</v>
      </c>
      <c r="J264" s="98">
        <f t="shared" ref="J264:Y264" si="38">J260 + J249 + J238</f>
        <v>8828570.6008045338</v>
      </c>
      <c r="K264" s="98">
        <f t="shared" si="38"/>
        <v>17120.816451148163</v>
      </c>
      <c r="L264" s="98">
        <f t="shared" si="38"/>
        <v>3079010.6509257159</v>
      </c>
      <c r="M264" s="98">
        <f t="shared" si="38"/>
        <v>2366.1753523585303</v>
      </c>
      <c r="N264" s="98">
        <f t="shared" si="38"/>
        <v>3329375.8415519265</v>
      </c>
      <c r="O264" s="98">
        <f t="shared" si="38"/>
        <v>263267.97453112528</v>
      </c>
      <c r="P264" s="98">
        <f t="shared" si="38"/>
        <v>6906590.6240337947</v>
      </c>
      <c r="Q264" s="98">
        <f t="shared" si="38"/>
        <v>218528.52945732241</v>
      </c>
      <c r="R264" s="98">
        <f t="shared" si="38"/>
        <v>787.37767145309772</v>
      </c>
      <c r="S264" s="98">
        <f t="shared" si="38"/>
        <v>0</v>
      </c>
      <c r="T264" s="98">
        <f t="shared" si="38"/>
        <v>52916.10534456365</v>
      </c>
      <c r="U264" s="98">
        <f t="shared" si="38"/>
        <v>0</v>
      </c>
      <c r="V264" s="98">
        <f t="shared" si="38"/>
        <v>7384.4042853173014</v>
      </c>
      <c r="W264" s="98">
        <f t="shared" si="38"/>
        <v>0</v>
      </c>
      <c r="X264" s="98">
        <f t="shared" si="38"/>
        <v>1551393.3850069167</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214</v>
      </c>
      <c r="I266" t="s">
        <v>156</v>
      </c>
      <c r="J266" s="89"/>
      <c r="K266" s="89"/>
      <c r="L266" s="89"/>
      <c r="M266" s="89"/>
      <c r="N266" s="89"/>
      <c r="O266" s="89"/>
      <c r="P266" s="89"/>
      <c r="Q266" s="89"/>
      <c r="R266" s="89"/>
      <c r="S266" s="89"/>
      <c r="T266" s="89"/>
      <c r="U266" s="89"/>
      <c r="V266" s="89"/>
      <c r="W266" s="89"/>
      <c r="X266" s="89"/>
      <c r="Y266" s="89"/>
      <c r="AA266" t="s">
        <v>311</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449</v>
      </c>
      <c r="G268" s="28" t="s">
        <v>214</v>
      </c>
      <c r="J268" s="98">
        <f t="shared" ref="J268:Y268" si="39">J202</f>
        <v>2477396.9025159678</v>
      </c>
      <c r="K268" s="98">
        <f t="shared" si="39"/>
        <v>0</v>
      </c>
      <c r="L268" s="98">
        <f t="shared" si="39"/>
        <v>186291.03531692261</v>
      </c>
      <c r="M268" s="98">
        <f t="shared" si="39"/>
        <v>0</v>
      </c>
      <c r="N268" s="98">
        <f t="shared" si="39"/>
        <v>15514.014585408988</v>
      </c>
      <c r="O268" s="98">
        <f t="shared" si="39"/>
        <v>500.9989743581346</v>
      </c>
      <c r="P268" s="98">
        <f t="shared" si="39"/>
        <v>3326.7593309307454</v>
      </c>
      <c r="Q268" s="98">
        <f t="shared" si="39"/>
        <v>37.113907471596569</v>
      </c>
      <c r="R268" s="98">
        <f t="shared" si="39"/>
        <v>0</v>
      </c>
      <c r="S268" s="98">
        <f t="shared" si="39"/>
        <v>0</v>
      </c>
      <c r="T268" s="98">
        <f t="shared" si="39"/>
        <v>734.26186025829247</v>
      </c>
      <c r="U268" s="98">
        <f t="shared" si="39"/>
        <v>0</v>
      </c>
      <c r="V268" s="98">
        <f t="shared" si="39"/>
        <v>50.04201140862741</v>
      </c>
      <c r="W268" s="98">
        <f t="shared" si="39"/>
        <v>0</v>
      </c>
      <c r="X268" s="98">
        <f t="shared" si="39"/>
        <v>449.38337701268659</v>
      </c>
      <c r="Y268" s="98">
        <f t="shared" si="39"/>
        <v>0</v>
      </c>
      <c r="AQ268" s="3"/>
    </row>
    <row r="269" spans="5:43" x14ac:dyDescent="0.3">
      <c r="F269" s="28" t="s">
        <v>450</v>
      </c>
      <c r="G269" s="28" t="s">
        <v>214</v>
      </c>
      <c r="J269" s="98">
        <f t="shared" ref="J269:Y269" si="40">J211</f>
        <v>40851.844073726381</v>
      </c>
      <c r="K269" s="98">
        <f t="shared" si="40"/>
        <v>0</v>
      </c>
      <c r="L269" s="98">
        <f t="shared" si="40"/>
        <v>723.43659658699471</v>
      </c>
      <c r="M269" s="98">
        <f t="shared" si="40"/>
        <v>0</v>
      </c>
      <c r="N269" s="98">
        <f t="shared" si="40"/>
        <v>79.039206590627714</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451</v>
      </c>
      <c r="G270" s="28" t="s">
        <v>214</v>
      </c>
      <c r="J270" s="98">
        <f t="shared" ref="J270:Y270" si="41">J220</f>
        <v>95331.946746646136</v>
      </c>
      <c r="K270" s="98">
        <f t="shared" si="41"/>
        <v>0</v>
      </c>
      <c r="L270" s="98">
        <f t="shared" si="41"/>
        <v>2168.5875103676876</v>
      </c>
      <c r="M270" s="98">
        <f t="shared" si="41"/>
        <v>0</v>
      </c>
      <c r="N270" s="98">
        <f t="shared" si="41"/>
        <v>512.77381605803089</v>
      </c>
      <c r="O270" s="98">
        <f t="shared" si="41"/>
        <v>37.728004466962517</v>
      </c>
      <c r="P270" s="98">
        <f t="shared" si="41"/>
        <v>48.99272137877486</v>
      </c>
      <c r="Q270" s="98">
        <f t="shared" si="41"/>
        <v>0</v>
      </c>
      <c r="R270" s="98">
        <f t="shared" si="41"/>
        <v>0</v>
      </c>
      <c r="S270" s="98">
        <f t="shared" si="41"/>
        <v>0</v>
      </c>
      <c r="T270" s="98">
        <f t="shared" si="41"/>
        <v>7.5227924811313303</v>
      </c>
      <c r="U270" s="98">
        <f t="shared" si="41"/>
        <v>0</v>
      </c>
      <c r="V270" s="98">
        <f t="shared" si="41"/>
        <v>0</v>
      </c>
      <c r="W270" s="98">
        <f t="shared" si="41"/>
        <v>0</v>
      </c>
      <c r="X270" s="98">
        <f t="shared" si="41"/>
        <v>0</v>
      </c>
      <c r="Y270" s="98">
        <f t="shared" si="41"/>
        <v>0</v>
      </c>
      <c r="AQ270" s="3"/>
    </row>
    <row r="271" spans="5:43" x14ac:dyDescent="0.3">
      <c r="F271" s="28" t="s">
        <v>452</v>
      </c>
      <c r="G271" s="28" t="s">
        <v>169</v>
      </c>
      <c r="J271" s="385">
        <f t="shared" ref="J271:Y271" si="42">IF(J$40, J$46, J$34)</f>
        <v>0.30293723133621986</v>
      </c>
      <c r="K271" s="385">
        <f t="shared" si="42"/>
        <v>0.30293723133621986</v>
      </c>
      <c r="L271" s="385">
        <f t="shared" si="42"/>
        <v>0.30293723133621986</v>
      </c>
      <c r="M271" s="385">
        <f t="shared" si="42"/>
        <v>0.30293723133621986</v>
      </c>
      <c r="N271" s="385">
        <f t="shared" si="42"/>
        <v>0.30293723133621986</v>
      </c>
      <c r="O271" s="385">
        <f t="shared" si="42"/>
        <v>0</v>
      </c>
      <c r="P271" s="385">
        <f t="shared" si="42"/>
        <v>0</v>
      </c>
      <c r="Q271" s="385">
        <f t="shared" si="42"/>
        <v>0.30293723133621986</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453</v>
      </c>
      <c r="G272" s="28" t="s">
        <v>169</v>
      </c>
      <c r="J272" s="385">
        <f t="shared" ref="J272:Y272" si="43">IF(J$40, J$46, J$35)</f>
        <v>0.440304373746851</v>
      </c>
      <c r="K272" s="385">
        <f t="shared" si="43"/>
        <v>0.440304373746851</v>
      </c>
      <c r="L272" s="385">
        <f t="shared" si="43"/>
        <v>0.440304373746851</v>
      </c>
      <c r="M272" s="385">
        <f t="shared" si="43"/>
        <v>0.440304373746851</v>
      </c>
      <c r="N272" s="385">
        <f t="shared" si="43"/>
        <v>0.440304373746851</v>
      </c>
      <c r="O272" s="385">
        <f t="shared" si="43"/>
        <v>0.1825428677643125</v>
      </c>
      <c r="P272" s="385">
        <f t="shared" si="43"/>
        <v>7.3486631222764401E-2</v>
      </c>
      <c r="Q272" s="385">
        <f t="shared" si="43"/>
        <v>0.440304373746851</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454</v>
      </c>
      <c r="G273" s="28" t="s">
        <v>214</v>
      </c>
      <c r="J273" s="98">
        <f t="shared" ref="J273:Y273" si="44">J269 * (1 - J271)</f>
        <v>28476.299535052749</v>
      </c>
      <c r="K273" s="98">
        <f t="shared" si="44"/>
        <v>0</v>
      </c>
      <c r="L273" s="98">
        <f t="shared" si="44"/>
        <v>504.28071696963275</v>
      </c>
      <c r="M273" s="98">
        <f t="shared" si="44"/>
        <v>0</v>
      </c>
      <c r="N273" s="98">
        <f t="shared" si="44"/>
        <v>55.095288179051451</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455</v>
      </c>
      <c r="G274" s="67" t="s">
        <v>214</v>
      </c>
      <c r="H274" s="37"/>
      <c r="I274" s="37"/>
      <c r="J274" s="100">
        <f t="shared" ref="J274:Y274" si="45">J270 * (1 - J272)</f>
        <v>53356.873636295953</v>
      </c>
      <c r="K274" s="100">
        <f t="shared" si="45"/>
        <v>0</v>
      </c>
      <c r="L274" s="100">
        <f t="shared" si="45"/>
        <v>1213.7489447</v>
      </c>
      <c r="M274" s="100">
        <f t="shared" si="45"/>
        <v>0</v>
      </c>
      <c r="N274" s="100">
        <f t="shared" si="45"/>
        <v>286.99726210481663</v>
      </c>
      <c r="O274" s="100">
        <f t="shared" si="45"/>
        <v>30.841026336538388</v>
      </c>
      <c r="P274" s="100">
        <f t="shared" si="45"/>
        <v>45.392411330213186</v>
      </c>
      <c r="Q274" s="100">
        <f t="shared" si="45"/>
        <v>0</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456</v>
      </c>
      <c r="G275" s="28" t="s">
        <v>214</v>
      </c>
      <c r="J275" s="121">
        <f t="shared" ref="J275:Y275" si="46">J268 + J273 + J274</f>
        <v>2559230.0756873167</v>
      </c>
      <c r="K275" s="121">
        <f t="shared" si="46"/>
        <v>0</v>
      </c>
      <c r="L275" s="121">
        <f t="shared" si="46"/>
        <v>188009.06497859224</v>
      </c>
      <c r="M275" s="121">
        <f t="shared" si="46"/>
        <v>0</v>
      </c>
      <c r="N275" s="121">
        <f t="shared" si="46"/>
        <v>15856.107135692855</v>
      </c>
      <c r="O275" s="121">
        <f t="shared" si="46"/>
        <v>531.84000069467299</v>
      </c>
      <c r="P275" s="121">
        <f t="shared" si="46"/>
        <v>3372.1517422609586</v>
      </c>
      <c r="Q275" s="121">
        <f t="shared" si="46"/>
        <v>37.113907471596569</v>
      </c>
      <c r="R275" s="121">
        <f t="shared" si="46"/>
        <v>0</v>
      </c>
      <c r="S275" s="121">
        <f t="shared" si="46"/>
        <v>0</v>
      </c>
      <c r="T275" s="121">
        <f t="shared" si="46"/>
        <v>734.26186025829247</v>
      </c>
      <c r="U275" s="121">
        <f t="shared" si="46"/>
        <v>0</v>
      </c>
      <c r="V275" s="121">
        <f t="shared" si="46"/>
        <v>50.04201140862741</v>
      </c>
      <c r="W275" s="121">
        <f t="shared" si="46"/>
        <v>0</v>
      </c>
      <c r="X275" s="121">
        <f t="shared" si="46"/>
        <v>449.38337701268659</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252</v>
      </c>
      <c r="I277" t="s">
        <v>156</v>
      </c>
      <c r="J277" s="89"/>
      <c r="K277" s="89"/>
      <c r="L277" s="89"/>
      <c r="M277" s="89"/>
      <c r="N277" s="89"/>
      <c r="O277" s="89"/>
      <c r="P277" s="89"/>
      <c r="Q277" s="89"/>
      <c r="R277" s="89"/>
      <c r="S277" s="89"/>
      <c r="T277" s="89"/>
      <c r="U277" s="89"/>
      <c r="V277" s="89"/>
      <c r="W277" s="89"/>
      <c r="X277" s="89"/>
      <c r="Y277" s="89"/>
      <c r="AA277" t="s">
        <v>311</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449</v>
      </c>
      <c r="G279" s="28" t="s">
        <v>253</v>
      </c>
      <c r="J279" s="98">
        <f t="shared" ref="J279:Y279" si="47">J203</f>
        <v>0</v>
      </c>
      <c r="K279" s="98">
        <f t="shared" si="47"/>
        <v>0</v>
      </c>
      <c r="L279" s="98">
        <f t="shared" si="47"/>
        <v>0</v>
      </c>
      <c r="M279" s="98">
        <f t="shared" si="47"/>
        <v>0</v>
      </c>
      <c r="N279" s="98">
        <f t="shared" si="47"/>
        <v>2031567.136986301</v>
      </c>
      <c r="O279" s="98">
        <f t="shared" si="47"/>
        <v>229435.27824188434</v>
      </c>
      <c r="P279" s="98">
        <f t="shared" si="47"/>
        <v>2756218.6309744185</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450</v>
      </c>
      <c r="G280" s="28" t="s">
        <v>253</v>
      </c>
      <c r="J280" s="98">
        <f t="shared" ref="J280:Y280" si="48">J212</f>
        <v>0</v>
      </c>
      <c r="K280" s="98">
        <f t="shared" si="48"/>
        <v>0</v>
      </c>
      <c r="L280" s="98">
        <f t="shared" si="48"/>
        <v>0</v>
      </c>
      <c r="M280" s="98">
        <f t="shared" si="48"/>
        <v>0</v>
      </c>
      <c r="N280" s="98">
        <f t="shared" si="48"/>
        <v>14046.277942523349</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451</v>
      </c>
      <c r="G281" s="28" t="s">
        <v>253</v>
      </c>
      <c r="J281" s="98">
        <f t="shared" ref="J281:Y281" si="49">J221</f>
        <v>0</v>
      </c>
      <c r="K281" s="98">
        <f t="shared" si="49"/>
        <v>0</v>
      </c>
      <c r="L281" s="98">
        <f t="shared" si="49"/>
        <v>0</v>
      </c>
      <c r="M281" s="98">
        <f t="shared" si="49"/>
        <v>0</v>
      </c>
      <c r="N281" s="98">
        <f t="shared" si="49"/>
        <v>143403.86242175783</v>
      </c>
      <c r="O281" s="98">
        <f t="shared" si="49"/>
        <v>25310.122968436284</v>
      </c>
      <c r="P281" s="98">
        <f t="shared" si="49"/>
        <v>73008.25636622723</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452</v>
      </c>
      <c r="G282" s="28" t="s">
        <v>169</v>
      </c>
      <c r="J282" s="385">
        <f t="shared" ref="J282:Y282" si="50">IF(J$41, J$47, J$34)</f>
        <v>0.30293723133621986</v>
      </c>
      <c r="K282" s="385">
        <f t="shared" si="50"/>
        <v>0.30293723133621986</v>
      </c>
      <c r="L282" s="385">
        <f t="shared" si="50"/>
        <v>0.30293723133621986</v>
      </c>
      <c r="M282" s="385">
        <f t="shared" si="50"/>
        <v>0.30293723133621986</v>
      </c>
      <c r="N282" s="385">
        <f t="shared" si="50"/>
        <v>0.30293723133621986</v>
      </c>
      <c r="O282" s="385">
        <f t="shared" si="50"/>
        <v>0</v>
      </c>
      <c r="P282" s="385">
        <f t="shared" si="50"/>
        <v>0</v>
      </c>
      <c r="Q282" s="385">
        <f t="shared" si="50"/>
        <v>0.30293723133621986</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453</v>
      </c>
      <c r="G283" s="28" t="s">
        <v>169</v>
      </c>
      <c r="J283" s="385">
        <f t="shared" ref="J283:Y283" si="51">IF(J$41, J$47, J$35)</f>
        <v>0.440304373746851</v>
      </c>
      <c r="K283" s="385">
        <f t="shared" si="51"/>
        <v>0.440304373746851</v>
      </c>
      <c r="L283" s="385">
        <f t="shared" si="51"/>
        <v>0.440304373746851</v>
      </c>
      <c r="M283" s="385">
        <f t="shared" si="51"/>
        <v>0.440304373746851</v>
      </c>
      <c r="N283" s="385">
        <f t="shared" si="51"/>
        <v>0.440304373746851</v>
      </c>
      <c r="O283" s="385">
        <f t="shared" si="51"/>
        <v>0.1825428677643125</v>
      </c>
      <c r="P283" s="385">
        <f t="shared" si="51"/>
        <v>7.3486631222764401E-2</v>
      </c>
      <c r="Q283" s="385">
        <f t="shared" si="51"/>
        <v>0.440304373746851</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454</v>
      </c>
      <c r="G284" s="28" t="s">
        <v>253</v>
      </c>
      <c r="J284" s="98">
        <f t="shared" ref="J284:Y284" si="52">J280 * (1 - J282)</f>
        <v>0</v>
      </c>
      <c r="K284" s="98">
        <f t="shared" si="52"/>
        <v>0</v>
      </c>
      <c r="L284" s="98">
        <f t="shared" si="52"/>
        <v>0</v>
      </c>
      <c r="M284" s="98">
        <f t="shared" si="52"/>
        <v>0</v>
      </c>
      <c r="N284" s="98">
        <f t="shared" si="52"/>
        <v>9791.1373920363112</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455</v>
      </c>
      <c r="G285" s="67" t="s">
        <v>253</v>
      </c>
      <c r="H285" s="37"/>
      <c r="I285" s="37"/>
      <c r="J285" s="100">
        <f t="shared" ref="J285:Y285" si="53">J281 * (1 - J283)</f>
        <v>0</v>
      </c>
      <c r="K285" s="100">
        <f t="shared" si="53"/>
        <v>0</v>
      </c>
      <c r="L285" s="100">
        <f t="shared" si="53"/>
        <v>0</v>
      </c>
      <c r="M285" s="100">
        <f t="shared" si="53"/>
        <v>0</v>
      </c>
      <c r="N285" s="100">
        <f t="shared" si="53"/>
        <v>80262.514585266166</v>
      </c>
      <c r="O285" s="100">
        <f t="shared" si="53"/>
        <v>20689.94053831053</v>
      </c>
      <c r="P285" s="100">
        <f t="shared" si="53"/>
        <v>67643.125554425249</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456</v>
      </c>
      <c r="G286" s="28" t="s">
        <v>253</v>
      </c>
      <c r="J286" s="121">
        <f t="shared" ref="J286:Y286" si="54">J279 + J284 + J285</f>
        <v>0</v>
      </c>
      <c r="K286" s="121">
        <f t="shared" si="54"/>
        <v>0</v>
      </c>
      <c r="L286" s="121">
        <f t="shared" si="54"/>
        <v>0</v>
      </c>
      <c r="M286" s="121">
        <f t="shared" si="54"/>
        <v>0</v>
      </c>
      <c r="N286" s="121">
        <f t="shared" si="54"/>
        <v>2121620.7889636038</v>
      </c>
      <c r="O286" s="121">
        <f t="shared" si="54"/>
        <v>250125.21878019487</v>
      </c>
      <c r="P286" s="121">
        <f t="shared" si="54"/>
        <v>2823861.7565288437</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254</v>
      </c>
      <c r="I288" t="s">
        <v>156</v>
      </c>
      <c r="J288" s="89"/>
      <c r="K288" s="89"/>
      <c r="L288" s="89"/>
      <c r="M288" s="89"/>
      <c r="N288" s="89"/>
      <c r="O288" s="89"/>
      <c r="P288" s="89"/>
      <c r="Q288" s="89"/>
      <c r="R288" s="89"/>
      <c r="S288" s="89"/>
      <c r="T288" s="89"/>
      <c r="U288" s="89"/>
      <c r="V288" s="89"/>
      <c r="W288" s="89"/>
      <c r="X288" s="89"/>
      <c r="Y288" s="89"/>
      <c r="AA288" t="s">
        <v>311</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449</v>
      </c>
      <c r="G290" s="28" t="s">
        <v>253</v>
      </c>
      <c r="J290" s="98">
        <f t="shared" ref="J290:Y290" si="55">J204</f>
        <v>0</v>
      </c>
      <c r="K290" s="98">
        <f t="shared" si="55"/>
        <v>0</v>
      </c>
      <c r="L290" s="98">
        <f t="shared" si="55"/>
        <v>0</v>
      </c>
      <c r="M290" s="98">
        <f t="shared" si="55"/>
        <v>0</v>
      </c>
      <c r="N290" s="98">
        <f t="shared" si="55"/>
        <v>34669.022988070617</v>
      </c>
      <c r="O290" s="98">
        <f t="shared" si="55"/>
        <v>1296.4337645117066</v>
      </c>
      <c r="P290" s="98">
        <f t="shared" si="55"/>
        <v>35735.005518241596</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450</v>
      </c>
      <c r="G291" s="28" t="s">
        <v>253</v>
      </c>
      <c r="J291" s="98">
        <f t="shared" ref="J291:Y291" si="56">J213</f>
        <v>0</v>
      </c>
      <c r="K291" s="98">
        <f t="shared" si="56"/>
        <v>0</v>
      </c>
      <c r="L291" s="98">
        <f t="shared" si="56"/>
        <v>0</v>
      </c>
      <c r="M291" s="98">
        <f t="shared" si="56"/>
        <v>0</v>
      </c>
      <c r="N291" s="98">
        <f t="shared" si="56"/>
        <v>28.083420839437728</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451</v>
      </c>
      <c r="G292" s="28" t="s">
        <v>253</v>
      </c>
      <c r="J292" s="98">
        <f t="shared" ref="J292:Y292" si="57">J222</f>
        <v>0</v>
      </c>
      <c r="K292" s="98">
        <f t="shared" si="57"/>
        <v>0</v>
      </c>
      <c r="L292" s="98">
        <f t="shared" si="57"/>
        <v>0</v>
      </c>
      <c r="M292" s="98">
        <f t="shared" si="57"/>
        <v>0</v>
      </c>
      <c r="N292" s="98">
        <f t="shared" si="57"/>
        <v>348.78401195134558</v>
      </c>
      <c r="O292" s="98">
        <f t="shared" si="57"/>
        <v>87.593535187294378</v>
      </c>
      <c r="P292" s="98">
        <f t="shared" si="57"/>
        <v>33.39072906498167</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452</v>
      </c>
      <c r="G293" s="28" t="s">
        <v>169</v>
      </c>
      <c r="J293" s="385">
        <f t="shared" ref="J293:Y293" si="58">IF(J$42, J$48, J$34)</f>
        <v>0.30293723133621986</v>
      </c>
      <c r="K293" s="385">
        <f t="shared" si="58"/>
        <v>0.30293723133621986</v>
      </c>
      <c r="L293" s="385">
        <f t="shared" si="58"/>
        <v>0.30293723133621986</v>
      </c>
      <c r="M293" s="385">
        <f t="shared" si="58"/>
        <v>0.30293723133621986</v>
      </c>
      <c r="N293" s="385">
        <f t="shared" si="58"/>
        <v>0.30293723133621986</v>
      </c>
      <c r="O293" s="385">
        <f t="shared" si="58"/>
        <v>0</v>
      </c>
      <c r="P293" s="385">
        <f t="shared" si="58"/>
        <v>0</v>
      </c>
      <c r="Q293" s="385">
        <f t="shared" si="58"/>
        <v>0.30293723133621986</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453</v>
      </c>
      <c r="G294" s="28" t="s">
        <v>169</v>
      </c>
      <c r="J294" s="385">
        <f t="shared" ref="J294:Y294" si="59">IF(J$42, J$48, J$35)</f>
        <v>0.440304373746851</v>
      </c>
      <c r="K294" s="385">
        <f t="shared" si="59"/>
        <v>0.440304373746851</v>
      </c>
      <c r="L294" s="385">
        <f t="shared" si="59"/>
        <v>0.440304373746851</v>
      </c>
      <c r="M294" s="385">
        <f t="shared" si="59"/>
        <v>0.440304373746851</v>
      </c>
      <c r="N294" s="385">
        <f t="shared" si="59"/>
        <v>0.440304373746851</v>
      </c>
      <c r="O294" s="385">
        <f t="shared" si="59"/>
        <v>0.1825428677643125</v>
      </c>
      <c r="P294" s="385">
        <f t="shared" si="59"/>
        <v>7.3486631222764401E-2</v>
      </c>
      <c r="Q294" s="385">
        <f t="shared" si="59"/>
        <v>0.440304373746851</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454</v>
      </c>
      <c r="G295" s="28" t="s">
        <v>253</v>
      </c>
      <c r="J295" s="98">
        <f t="shared" ref="J295:Y295" si="60">J291 * (1 - J293)</f>
        <v>0</v>
      </c>
      <c r="K295" s="98">
        <f t="shared" si="60"/>
        <v>0</v>
      </c>
      <c r="L295" s="98">
        <f t="shared" si="60"/>
        <v>0</v>
      </c>
      <c r="M295" s="98">
        <f t="shared" si="60"/>
        <v>0</v>
      </c>
      <c r="N295" s="98">
        <f t="shared" si="60"/>
        <v>19.575907083888563</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455</v>
      </c>
      <c r="G296" s="67" t="s">
        <v>253</v>
      </c>
      <c r="H296" s="37"/>
      <c r="I296" s="37"/>
      <c r="J296" s="100">
        <f t="shared" ref="J296:Y296" si="61">J292 * (1 - J294)</f>
        <v>0</v>
      </c>
      <c r="K296" s="100">
        <f t="shared" si="61"/>
        <v>0</v>
      </c>
      <c r="L296" s="100">
        <f t="shared" si="61"/>
        <v>0</v>
      </c>
      <c r="M296" s="100">
        <f t="shared" si="61"/>
        <v>0</v>
      </c>
      <c r="N296" s="100">
        <f t="shared" si="61"/>
        <v>195.21288599619416</v>
      </c>
      <c r="O296" s="100">
        <f t="shared" si="61"/>
        <v>71.603960076591449</v>
      </c>
      <c r="P296" s="100">
        <f t="shared" si="61"/>
        <v>30.936956871924121</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456</v>
      </c>
      <c r="G297" s="28" t="s">
        <v>253</v>
      </c>
      <c r="J297" s="121">
        <f t="shared" ref="J297:Y297" si="62">J290 + J295 + J296</f>
        <v>0</v>
      </c>
      <c r="K297" s="121">
        <f t="shared" si="62"/>
        <v>0</v>
      </c>
      <c r="L297" s="121">
        <f t="shared" si="62"/>
        <v>0</v>
      </c>
      <c r="M297" s="121">
        <f t="shared" si="62"/>
        <v>0</v>
      </c>
      <c r="N297" s="121">
        <f t="shared" si="62"/>
        <v>34883.811781150704</v>
      </c>
      <c r="O297" s="121">
        <f t="shared" si="62"/>
        <v>1368.037724588298</v>
      </c>
      <c r="P297" s="121">
        <f t="shared" si="62"/>
        <v>35765.942475113523</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255</v>
      </c>
      <c r="I299" t="s">
        <v>156</v>
      </c>
      <c r="J299" s="89"/>
      <c r="K299" s="89"/>
      <c r="L299" s="89"/>
      <c r="M299" s="89"/>
      <c r="N299" s="89"/>
      <c r="O299" s="89"/>
      <c r="P299" s="89"/>
      <c r="Q299" s="89"/>
      <c r="R299" s="89"/>
      <c r="S299" s="89"/>
      <c r="T299" s="89"/>
      <c r="U299" s="89"/>
      <c r="V299" s="89"/>
      <c r="W299" s="89"/>
      <c r="X299" s="89"/>
      <c r="Y299" s="89"/>
      <c r="AA299" t="s">
        <v>311</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449</v>
      </c>
      <c r="G301" s="28" t="s">
        <v>256</v>
      </c>
      <c r="J301" s="98">
        <f t="shared" ref="J301:Y301" si="63">J205</f>
        <v>0</v>
      </c>
      <c r="K301" s="98">
        <f t="shared" si="63"/>
        <v>0</v>
      </c>
      <c r="L301" s="98">
        <f t="shared" si="63"/>
        <v>0</v>
      </c>
      <c r="M301" s="98">
        <f t="shared" si="63"/>
        <v>0</v>
      </c>
      <c r="N301" s="98">
        <f t="shared" si="63"/>
        <v>343418.5444827468</v>
      </c>
      <c r="O301" s="98">
        <f t="shared" si="63"/>
        <v>33015.531022564035</v>
      </c>
      <c r="P301" s="98">
        <f t="shared" si="63"/>
        <v>567862.39517433289</v>
      </c>
      <c r="Q301" s="98">
        <f t="shared" si="63"/>
        <v>0</v>
      </c>
      <c r="R301" s="98">
        <f t="shared" si="63"/>
        <v>0</v>
      </c>
      <c r="S301" s="98">
        <f t="shared" si="63"/>
        <v>0</v>
      </c>
      <c r="T301" s="98">
        <f t="shared" si="63"/>
        <v>3663.5475540790721</v>
      </c>
      <c r="U301" s="98">
        <f t="shared" si="63"/>
        <v>0</v>
      </c>
      <c r="V301" s="98">
        <f t="shared" si="63"/>
        <v>397.56062338257436</v>
      </c>
      <c r="W301" s="98">
        <f t="shared" si="63"/>
        <v>0</v>
      </c>
      <c r="X301" s="98">
        <f t="shared" si="63"/>
        <v>20979.429173597407</v>
      </c>
      <c r="Y301" s="98">
        <f t="shared" si="63"/>
        <v>0</v>
      </c>
      <c r="AQ301" s="3"/>
    </row>
    <row r="302" spans="5:43" x14ac:dyDescent="0.3">
      <c r="F302" s="28" t="s">
        <v>450</v>
      </c>
      <c r="G302" s="28" t="s">
        <v>256</v>
      </c>
      <c r="J302" s="98">
        <f t="shared" ref="J302:Y302" si="64">J214</f>
        <v>0</v>
      </c>
      <c r="K302" s="98">
        <f t="shared" si="64"/>
        <v>0</v>
      </c>
      <c r="L302" s="98">
        <f t="shared" si="64"/>
        <v>0</v>
      </c>
      <c r="M302" s="98">
        <f t="shared" si="64"/>
        <v>0</v>
      </c>
      <c r="N302" s="98">
        <f t="shared" si="64"/>
        <v>1411.2541228948494</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451</v>
      </c>
      <c r="G303" s="28" t="s">
        <v>256</v>
      </c>
      <c r="J303" s="98">
        <f t="shared" ref="J303:Y303" si="65">J223</f>
        <v>0</v>
      </c>
      <c r="K303" s="98">
        <f t="shared" si="65"/>
        <v>0</v>
      </c>
      <c r="L303" s="98">
        <f t="shared" si="65"/>
        <v>0</v>
      </c>
      <c r="M303" s="98">
        <f t="shared" si="65"/>
        <v>0</v>
      </c>
      <c r="N303" s="98">
        <f t="shared" si="65"/>
        <v>13361.430181915508</v>
      </c>
      <c r="O303" s="98">
        <f t="shared" si="65"/>
        <v>2497.1722615617687</v>
      </c>
      <c r="P303" s="98">
        <f t="shared" si="65"/>
        <v>3294.2593048211338</v>
      </c>
      <c r="Q303" s="98">
        <f t="shared" si="65"/>
        <v>0</v>
      </c>
      <c r="R303" s="98">
        <f t="shared" si="65"/>
        <v>0</v>
      </c>
      <c r="S303" s="98">
        <f t="shared" si="65"/>
        <v>0</v>
      </c>
      <c r="T303" s="98">
        <f t="shared" si="65"/>
        <v>83.119264278831736</v>
      </c>
      <c r="U303" s="98">
        <f t="shared" si="65"/>
        <v>0</v>
      </c>
      <c r="V303" s="98">
        <f t="shared" si="65"/>
        <v>0</v>
      </c>
      <c r="W303" s="98">
        <f t="shared" si="65"/>
        <v>0</v>
      </c>
      <c r="X303" s="98">
        <f t="shared" si="65"/>
        <v>0</v>
      </c>
      <c r="Y303" s="98">
        <f t="shared" si="65"/>
        <v>0</v>
      </c>
      <c r="AQ303" s="3"/>
    </row>
    <row r="304" spans="5:43" x14ac:dyDescent="0.3">
      <c r="F304" s="28" t="s">
        <v>452</v>
      </c>
      <c r="G304" s="28" t="s">
        <v>169</v>
      </c>
      <c r="J304" s="385">
        <f t="shared" ref="J304:Y304" si="66">IF(J$43, J$49, J$34)</f>
        <v>0.30293723133621986</v>
      </c>
      <c r="K304" s="385">
        <f t="shared" si="66"/>
        <v>0.30293723133621986</v>
      </c>
      <c r="L304" s="385">
        <f t="shared" si="66"/>
        <v>0.30293723133621986</v>
      </c>
      <c r="M304" s="385">
        <f t="shared" si="66"/>
        <v>0.30293723133621986</v>
      </c>
      <c r="N304" s="385">
        <f t="shared" si="66"/>
        <v>0.30293723133621986</v>
      </c>
      <c r="O304" s="385">
        <f t="shared" si="66"/>
        <v>0</v>
      </c>
      <c r="P304" s="385">
        <f t="shared" si="66"/>
        <v>0</v>
      </c>
      <c r="Q304" s="385">
        <f t="shared" si="66"/>
        <v>0.30293723133621986</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453</v>
      </c>
      <c r="G305" s="28" t="s">
        <v>169</v>
      </c>
      <c r="J305" s="385">
        <f t="shared" ref="J305:Y305" si="67">IF(J$43, J$49, J$35)</f>
        <v>0.440304373746851</v>
      </c>
      <c r="K305" s="385">
        <f t="shared" si="67"/>
        <v>0.440304373746851</v>
      </c>
      <c r="L305" s="385">
        <f t="shared" si="67"/>
        <v>0.440304373746851</v>
      </c>
      <c r="M305" s="385">
        <f t="shared" si="67"/>
        <v>0.440304373746851</v>
      </c>
      <c r="N305" s="385">
        <f t="shared" si="67"/>
        <v>0.440304373746851</v>
      </c>
      <c r="O305" s="385">
        <f t="shared" si="67"/>
        <v>0.1825428677643125</v>
      </c>
      <c r="P305" s="385">
        <f t="shared" si="67"/>
        <v>7.3486631222764401E-2</v>
      </c>
      <c r="Q305" s="385">
        <f t="shared" si="67"/>
        <v>0.440304373746851</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454</v>
      </c>
      <c r="G306" s="28" t="s">
        <v>256</v>
      </c>
      <c r="J306" s="98">
        <f t="shared" ref="J306:Y306" si="68">J302 * (1 - J304)</f>
        <v>0</v>
      </c>
      <c r="K306" s="98">
        <f t="shared" si="68"/>
        <v>0</v>
      </c>
      <c r="L306" s="98">
        <f t="shared" si="68"/>
        <v>0</v>
      </c>
      <c r="M306" s="98">
        <f t="shared" si="68"/>
        <v>0</v>
      </c>
      <c r="N306" s="98">
        <f t="shared" si="68"/>
        <v>983.73270619325831</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455</v>
      </c>
      <c r="G307" s="67" t="s">
        <v>256</v>
      </c>
      <c r="H307" s="37"/>
      <c r="I307" s="37"/>
      <c r="J307" s="100">
        <f t="shared" ref="J307:Y307" si="69">J303 * (1 - J305)</f>
        <v>0</v>
      </c>
      <c r="K307" s="100">
        <f t="shared" si="69"/>
        <v>0</v>
      </c>
      <c r="L307" s="100">
        <f t="shared" si="69"/>
        <v>0</v>
      </c>
      <c r="M307" s="100">
        <f t="shared" si="69"/>
        <v>0</v>
      </c>
      <c r="N307" s="100">
        <f t="shared" si="69"/>
        <v>7478.3340333049264</v>
      </c>
      <c r="O307" s="100">
        <f t="shared" si="69"/>
        <v>2041.3312756347896</v>
      </c>
      <c r="P307" s="100">
        <f t="shared" si="69"/>
        <v>3052.1752861355826</v>
      </c>
      <c r="Q307" s="100">
        <f t="shared" si="69"/>
        <v>0</v>
      </c>
      <c r="R307" s="100">
        <f t="shared" si="69"/>
        <v>0</v>
      </c>
      <c r="S307" s="100">
        <f t="shared" si="69"/>
        <v>0</v>
      </c>
      <c r="T307" s="100">
        <f t="shared" si="69"/>
        <v>83.119264278831736</v>
      </c>
      <c r="U307" s="100">
        <f t="shared" si="69"/>
        <v>0</v>
      </c>
      <c r="V307" s="100">
        <f t="shared" si="69"/>
        <v>0</v>
      </c>
      <c r="W307" s="100">
        <f t="shared" si="69"/>
        <v>0</v>
      </c>
      <c r="X307" s="100">
        <f t="shared" si="69"/>
        <v>0</v>
      </c>
      <c r="Y307" s="100">
        <f t="shared" si="69"/>
        <v>0</v>
      </c>
      <c r="AQ307" s="3"/>
    </row>
    <row r="308" spans="2:43" x14ac:dyDescent="0.3">
      <c r="F308" s="28" t="s">
        <v>456</v>
      </c>
      <c r="G308" s="28" t="s">
        <v>256</v>
      </c>
      <c r="J308" s="121">
        <f t="shared" ref="J308:Y308" si="70">J301 + J306 + J307</f>
        <v>0</v>
      </c>
      <c r="K308" s="121">
        <f t="shared" si="70"/>
        <v>0</v>
      </c>
      <c r="L308" s="121">
        <f t="shared" si="70"/>
        <v>0</v>
      </c>
      <c r="M308" s="121">
        <f t="shared" si="70"/>
        <v>0</v>
      </c>
      <c r="N308" s="121">
        <f t="shared" si="70"/>
        <v>351880.61122224497</v>
      </c>
      <c r="O308" s="121">
        <f t="shared" si="70"/>
        <v>35056.862298198823</v>
      </c>
      <c r="P308" s="121">
        <f t="shared" si="70"/>
        <v>570914.57046046853</v>
      </c>
      <c r="Q308" s="121">
        <f t="shared" si="70"/>
        <v>0</v>
      </c>
      <c r="R308" s="121">
        <f t="shared" si="70"/>
        <v>0</v>
      </c>
      <c r="S308" s="121">
        <f t="shared" si="70"/>
        <v>0</v>
      </c>
      <c r="T308" s="121">
        <f t="shared" si="70"/>
        <v>3746.666818357904</v>
      </c>
      <c r="U308" s="121">
        <f t="shared" si="70"/>
        <v>0</v>
      </c>
      <c r="V308" s="121">
        <f t="shared" si="70"/>
        <v>397.56062338257436</v>
      </c>
      <c r="W308" s="121">
        <f t="shared" si="70"/>
        <v>0</v>
      </c>
      <c r="X308" s="121">
        <f t="shared" si="70"/>
        <v>20979.429173597407</v>
      </c>
      <c r="Y308" s="121">
        <f t="shared" si="70"/>
        <v>0</v>
      </c>
      <c r="AQ308" s="3"/>
    </row>
    <row r="309" spans="2:43" x14ac:dyDescent="0.3">
      <c r="D309" s="32"/>
      <c r="AQ309" s="3"/>
    </row>
    <row r="310" spans="2:43" x14ac:dyDescent="0.3">
      <c r="B310" s="30" t="s">
        <v>936</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1040</v>
      </c>
      <c r="AQ312" s="3"/>
    </row>
    <row r="313" spans="2:43" x14ac:dyDescent="0.3">
      <c r="C313" s="32"/>
      <c r="AQ313" s="3"/>
    </row>
    <row r="314" spans="2:43" x14ac:dyDescent="0.3">
      <c r="C314" s="32"/>
      <c r="E314" s="32" t="s">
        <v>452</v>
      </c>
      <c r="AQ314" s="3"/>
    </row>
    <row r="315" spans="2:43" x14ac:dyDescent="0.3">
      <c r="C315" s="32"/>
      <c r="F315" s="78" t="s">
        <v>249</v>
      </c>
      <c r="G315" s="23" t="s">
        <v>169</v>
      </c>
      <c r="H315" s="23"/>
      <c r="I315" s="23"/>
      <c r="J315" s="154">
        <f>IF(J$39, J$45, J$34)</f>
        <v>0.30293723133621986</v>
      </c>
      <c r="K315" s="154">
        <f t="shared" ref="K315:Y315" si="71">IF(K$39, K$45, K$34)</f>
        <v>0.30293723133621986</v>
      </c>
      <c r="L315" s="154">
        <f t="shared" si="71"/>
        <v>0.30293723133621986</v>
      </c>
      <c r="M315" s="154">
        <f t="shared" si="71"/>
        <v>0.30293723133621986</v>
      </c>
      <c r="N315" s="154">
        <f t="shared" si="71"/>
        <v>0.30293723133621986</v>
      </c>
      <c r="O315" s="154">
        <f t="shared" si="71"/>
        <v>0</v>
      </c>
      <c r="P315" s="154">
        <f t="shared" si="71"/>
        <v>0</v>
      </c>
      <c r="Q315" s="154">
        <f t="shared" si="71"/>
        <v>0.30293723133621986</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250</v>
      </c>
      <c r="G316" t="s">
        <v>169</v>
      </c>
      <c r="J316" s="332">
        <f t="shared" ref="J316:Y317" si="72">IF(J$39, J$45, J$34)</f>
        <v>0.30293723133621986</v>
      </c>
      <c r="K316" s="332">
        <f t="shared" si="72"/>
        <v>0.30293723133621986</v>
      </c>
      <c r="L316" s="332">
        <f t="shared" si="72"/>
        <v>0.30293723133621986</v>
      </c>
      <c r="M316" s="332">
        <f t="shared" si="72"/>
        <v>0.30293723133621986</v>
      </c>
      <c r="N316" s="332">
        <f t="shared" si="72"/>
        <v>0.30293723133621986</v>
      </c>
      <c r="O316" s="332">
        <f t="shared" si="72"/>
        <v>0</v>
      </c>
      <c r="P316" s="332">
        <f t="shared" si="72"/>
        <v>0</v>
      </c>
      <c r="Q316" s="332">
        <f t="shared" si="72"/>
        <v>0.30293723133621986</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251</v>
      </c>
      <c r="G317" s="37" t="s">
        <v>169</v>
      </c>
      <c r="H317" s="37"/>
      <c r="I317" s="37"/>
      <c r="J317" s="155">
        <f t="shared" si="72"/>
        <v>0.30293723133621986</v>
      </c>
      <c r="K317" s="155">
        <f t="shared" si="72"/>
        <v>0.30293723133621986</v>
      </c>
      <c r="L317" s="155">
        <f t="shared" si="72"/>
        <v>0.30293723133621986</v>
      </c>
      <c r="M317" s="155">
        <f t="shared" si="72"/>
        <v>0.30293723133621986</v>
      </c>
      <c r="N317" s="155">
        <f t="shared" si="72"/>
        <v>0.30293723133621986</v>
      </c>
      <c r="O317" s="155">
        <f t="shared" si="72"/>
        <v>0</v>
      </c>
      <c r="P317" s="155">
        <f t="shared" si="72"/>
        <v>0</v>
      </c>
      <c r="Q317" s="155">
        <f t="shared" si="72"/>
        <v>0.30293723133621986</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214</v>
      </c>
      <c r="G318" t="s">
        <v>169</v>
      </c>
      <c r="J318" s="332">
        <f t="shared" ref="J318:Y318" si="73">IF(J$39, J46, J$34)</f>
        <v>0.30293723133621986</v>
      </c>
      <c r="K318" s="332">
        <f t="shared" si="73"/>
        <v>0.30293723133621986</v>
      </c>
      <c r="L318" s="332">
        <f t="shared" si="73"/>
        <v>0.30293723133621986</v>
      </c>
      <c r="M318" s="332">
        <f t="shared" si="73"/>
        <v>0.30293723133621986</v>
      </c>
      <c r="N318" s="332">
        <f t="shared" si="73"/>
        <v>0.30293723133621986</v>
      </c>
      <c r="O318" s="332">
        <f t="shared" si="73"/>
        <v>0</v>
      </c>
      <c r="P318" s="332">
        <f t="shared" si="73"/>
        <v>0</v>
      </c>
      <c r="Q318" s="332">
        <f t="shared" si="73"/>
        <v>0.30293723133621986</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252</v>
      </c>
      <c r="G319" t="s">
        <v>169</v>
      </c>
      <c r="J319" s="332">
        <f t="shared" ref="J319:Y319" si="74">IF(J$39, J47, J$34)</f>
        <v>0.30293723133621986</v>
      </c>
      <c r="K319" s="332">
        <f t="shared" si="74"/>
        <v>0.30293723133621986</v>
      </c>
      <c r="L319" s="332">
        <f t="shared" si="74"/>
        <v>0.30293723133621986</v>
      </c>
      <c r="M319" s="332">
        <f t="shared" si="74"/>
        <v>0.30293723133621986</v>
      </c>
      <c r="N319" s="332">
        <f t="shared" si="74"/>
        <v>0.30293723133621986</v>
      </c>
      <c r="O319" s="332">
        <f t="shared" si="74"/>
        <v>0</v>
      </c>
      <c r="P319" s="332">
        <f t="shared" si="74"/>
        <v>0</v>
      </c>
      <c r="Q319" s="332">
        <f t="shared" si="74"/>
        <v>0.30293723133621986</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254</v>
      </c>
      <c r="G320" t="s">
        <v>169</v>
      </c>
      <c r="J320" s="332">
        <f t="shared" ref="J320:Y320" si="75">IF(J$39, J48, J$34)</f>
        <v>0.30293723133621986</v>
      </c>
      <c r="K320" s="332">
        <f t="shared" si="75"/>
        <v>0.30293723133621986</v>
      </c>
      <c r="L320" s="332">
        <f t="shared" si="75"/>
        <v>0.30293723133621986</v>
      </c>
      <c r="M320" s="332">
        <f t="shared" si="75"/>
        <v>0.30293723133621986</v>
      </c>
      <c r="N320" s="332">
        <f t="shared" si="75"/>
        <v>0.30293723133621986</v>
      </c>
      <c r="O320" s="332">
        <f t="shared" si="75"/>
        <v>0</v>
      </c>
      <c r="P320" s="332">
        <f t="shared" si="75"/>
        <v>0</v>
      </c>
      <c r="Q320" s="332">
        <f t="shared" si="75"/>
        <v>0.30293723133621986</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255</v>
      </c>
      <c r="G321" s="37" t="s">
        <v>169</v>
      </c>
      <c r="H321" s="37"/>
      <c r="I321" s="37"/>
      <c r="J321" s="155">
        <f t="shared" ref="J321:Y321" si="76">IF(J$39, J49, J$34)</f>
        <v>0.30293723133621986</v>
      </c>
      <c r="K321" s="155">
        <f t="shared" si="76"/>
        <v>0.30293723133621986</v>
      </c>
      <c r="L321" s="155">
        <f t="shared" si="76"/>
        <v>0.30293723133621986</v>
      </c>
      <c r="M321" s="155">
        <f t="shared" si="76"/>
        <v>0.30293723133621986</v>
      </c>
      <c r="N321" s="155">
        <f t="shared" si="76"/>
        <v>0.30293723133621986</v>
      </c>
      <c r="O321" s="155">
        <f t="shared" si="76"/>
        <v>0</v>
      </c>
      <c r="P321" s="155">
        <f t="shared" si="76"/>
        <v>0</v>
      </c>
      <c r="Q321" s="155">
        <f t="shared" si="76"/>
        <v>0.30293723133621986</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453</v>
      </c>
      <c r="AQ323" s="3"/>
    </row>
    <row r="324" spans="3:43" x14ac:dyDescent="0.3">
      <c r="C324" s="32"/>
      <c r="F324" s="78" t="s">
        <v>249</v>
      </c>
      <c r="G324" s="23" t="s">
        <v>169</v>
      </c>
      <c r="H324" s="23"/>
      <c r="I324" s="23"/>
      <c r="J324" s="154">
        <f>IF(J$39, J$45, J$35)</f>
        <v>0.440304373746851</v>
      </c>
      <c r="K324" s="154">
        <f t="shared" ref="K324:Y326" si="77">IF(K$39, K$45, K$35)</f>
        <v>0.440304373746851</v>
      </c>
      <c r="L324" s="154">
        <f t="shared" si="77"/>
        <v>0.440304373746851</v>
      </c>
      <c r="M324" s="154">
        <f t="shared" si="77"/>
        <v>0.440304373746851</v>
      </c>
      <c r="N324" s="154">
        <f t="shared" si="77"/>
        <v>0.440304373746851</v>
      </c>
      <c r="O324" s="154">
        <f t="shared" si="77"/>
        <v>0.1825428677643125</v>
      </c>
      <c r="P324" s="154">
        <f t="shared" si="77"/>
        <v>7.3486631222764401E-2</v>
      </c>
      <c r="Q324" s="154">
        <f t="shared" si="77"/>
        <v>0.440304373746851</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250</v>
      </c>
      <c r="G325" t="s">
        <v>169</v>
      </c>
      <c r="J325" s="332">
        <f t="shared" ref="J325:J326" si="78">IF(J$39, J$45, J$35)</f>
        <v>0.440304373746851</v>
      </c>
      <c r="K325" s="332">
        <f t="shared" si="77"/>
        <v>0.440304373746851</v>
      </c>
      <c r="L325" s="332">
        <f t="shared" si="77"/>
        <v>0.440304373746851</v>
      </c>
      <c r="M325" s="332">
        <f t="shared" si="77"/>
        <v>0.440304373746851</v>
      </c>
      <c r="N325" s="332">
        <f t="shared" si="77"/>
        <v>0.440304373746851</v>
      </c>
      <c r="O325" s="332">
        <f t="shared" si="77"/>
        <v>0.1825428677643125</v>
      </c>
      <c r="P325" s="332">
        <f t="shared" si="77"/>
        <v>7.3486631222764401E-2</v>
      </c>
      <c r="Q325" s="332">
        <f t="shared" si="77"/>
        <v>0.440304373746851</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251</v>
      </c>
      <c r="G326" s="37" t="s">
        <v>169</v>
      </c>
      <c r="H326" s="37"/>
      <c r="I326" s="37"/>
      <c r="J326" s="155">
        <f t="shared" si="78"/>
        <v>0.440304373746851</v>
      </c>
      <c r="K326" s="155">
        <f t="shared" si="77"/>
        <v>0.440304373746851</v>
      </c>
      <c r="L326" s="155">
        <f t="shared" si="77"/>
        <v>0.440304373746851</v>
      </c>
      <c r="M326" s="155">
        <f t="shared" si="77"/>
        <v>0.440304373746851</v>
      </c>
      <c r="N326" s="155">
        <f t="shared" si="77"/>
        <v>0.440304373746851</v>
      </c>
      <c r="O326" s="155">
        <f t="shared" si="77"/>
        <v>0.1825428677643125</v>
      </c>
      <c r="P326" s="155">
        <f t="shared" si="77"/>
        <v>7.3486631222764401E-2</v>
      </c>
      <c r="Q326" s="155">
        <f t="shared" si="77"/>
        <v>0.440304373746851</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214</v>
      </c>
      <c r="G327" t="s">
        <v>169</v>
      </c>
      <c r="J327" s="332">
        <f t="shared" ref="J327:Y327" si="79">IF(J$39, J46, J$35)</f>
        <v>0.440304373746851</v>
      </c>
      <c r="K327" s="332">
        <f t="shared" si="79"/>
        <v>0.440304373746851</v>
      </c>
      <c r="L327" s="332">
        <f t="shared" si="79"/>
        <v>0.440304373746851</v>
      </c>
      <c r="M327" s="332">
        <f t="shared" si="79"/>
        <v>0.440304373746851</v>
      </c>
      <c r="N327" s="332">
        <f t="shared" si="79"/>
        <v>0.440304373746851</v>
      </c>
      <c r="O327" s="332">
        <f t="shared" si="79"/>
        <v>0.1825428677643125</v>
      </c>
      <c r="P327" s="332">
        <f t="shared" si="79"/>
        <v>7.3486631222764401E-2</v>
      </c>
      <c r="Q327" s="332">
        <f t="shared" si="79"/>
        <v>0.440304373746851</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252</v>
      </c>
      <c r="G328" t="s">
        <v>169</v>
      </c>
      <c r="J328" s="332">
        <f t="shared" ref="J328:Y328" si="80">IF(J$39, J47, J$35)</f>
        <v>0.440304373746851</v>
      </c>
      <c r="K328" s="332">
        <f t="shared" si="80"/>
        <v>0.440304373746851</v>
      </c>
      <c r="L328" s="332">
        <f t="shared" si="80"/>
        <v>0.440304373746851</v>
      </c>
      <c r="M328" s="332">
        <f t="shared" si="80"/>
        <v>0.440304373746851</v>
      </c>
      <c r="N328" s="332">
        <f t="shared" si="80"/>
        <v>0.440304373746851</v>
      </c>
      <c r="O328" s="332">
        <f t="shared" si="80"/>
        <v>0.1825428677643125</v>
      </c>
      <c r="P328" s="332">
        <f t="shared" si="80"/>
        <v>7.3486631222764401E-2</v>
      </c>
      <c r="Q328" s="332">
        <f t="shared" si="80"/>
        <v>0.440304373746851</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254</v>
      </c>
      <c r="G329" t="s">
        <v>169</v>
      </c>
      <c r="J329" s="332">
        <f t="shared" ref="J329:Y329" si="81">IF(J$39, J48, J$35)</f>
        <v>0.440304373746851</v>
      </c>
      <c r="K329" s="332">
        <f t="shared" si="81"/>
        <v>0.440304373746851</v>
      </c>
      <c r="L329" s="332">
        <f t="shared" si="81"/>
        <v>0.440304373746851</v>
      </c>
      <c r="M329" s="332">
        <f t="shared" si="81"/>
        <v>0.440304373746851</v>
      </c>
      <c r="N329" s="332">
        <f t="shared" si="81"/>
        <v>0.440304373746851</v>
      </c>
      <c r="O329" s="332">
        <f t="shared" si="81"/>
        <v>0.1825428677643125</v>
      </c>
      <c r="P329" s="332">
        <f t="shared" si="81"/>
        <v>7.3486631222764401E-2</v>
      </c>
      <c r="Q329" s="332">
        <f t="shared" si="81"/>
        <v>0.440304373746851</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255</v>
      </c>
      <c r="G330" s="37" t="s">
        <v>169</v>
      </c>
      <c r="H330" s="37"/>
      <c r="I330" s="37"/>
      <c r="J330" s="155">
        <f t="shared" ref="J330:Y330" si="82">IF(J$39, J49, J$35)</f>
        <v>0.440304373746851</v>
      </c>
      <c r="K330" s="155">
        <f t="shared" si="82"/>
        <v>0.440304373746851</v>
      </c>
      <c r="L330" s="155">
        <f t="shared" si="82"/>
        <v>0.440304373746851</v>
      </c>
      <c r="M330" s="155">
        <f t="shared" si="82"/>
        <v>0.440304373746851</v>
      </c>
      <c r="N330" s="155">
        <f t="shared" si="82"/>
        <v>0.440304373746851</v>
      </c>
      <c r="O330" s="155">
        <f t="shared" si="82"/>
        <v>0.1825428677643125</v>
      </c>
      <c r="P330" s="155">
        <f t="shared" si="82"/>
        <v>7.3486631222764401E-2</v>
      </c>
      <c r="Q330" s="155">
        <f t="shared" si="82"/>
        <v>0.440304373746851</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973</v>
      </c>
      <c r="G334" s="13"/>
      <c r="I334" t="s">
        <v>156</v>
      </c>
      <c r="AQ334" s="3"/>
    </row>
    <row r="335" spans="3:43" x14ac:dyDescent="0.3">
      <c r="E335" s="32"/>
      <c r="F335" s="78" t="s">
        <v>249</v>
      </c>
      <c r="G335" s="78" t="s">
        <v>209</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1.8728551428838309</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250</v>
      </c>
      <c r="G336" s="72" t="s">
        <v>209</v>
      </c>
      <c r="J336" s="331"/>
      <c r="K336" s="330">
        <f t="shared" si="83"/>
        <v>0</v>
      </c>
      <c r="L336" s="330">
        <f t="shared" si="83"/>
        <v>0</v>
      </c>
      <c r="M336" s="330">
        <f t="shared" si="83"/>
        <v>0</v>
      </c>
      <c r="N336" s="330">
        <f t="shared" si="83"/>
        <v>0</v>
      </c>
      <c r="O336" s="330">
        <f t="shared" si="83"/>
        <v>0</v>
      </c>
      <c r="P336" s="330">
        <f t="shared" si="83"/>
        <v>0</v>
      </c>
      <c r="Q336" s="331"/>
      <c r="R336" s="330">
        <f t="shared" si="84"/>
        <v>9.0445144810384299</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251</v>
      </c>
      <c r="G337" s="72" t="s">
        <v>209</v>
      </c>
      <c r="J337" s="331"/>
      <c r="K337" s="330">
        <f t="shared" si="83"/>
        <v>0</v>
      </c>
      <c r="L337" s="330">
        <f t="shared" si="83"/>
        <v>0</v>
      </c>
      <c r="M337" s="330">
        <f t="shared" si="83"/>
        <v>0</v>
      </c>
      <c r="N337" s="330">
        <f t="shared" si="83"/>
        <v>0</v>
      </c>
      <c r="O337" s="330">
        <f t="shared" si="83"/>
        <v>0</v>
      </c>
      <c r="P337" s="330">
        <f t="shared" si="83"/>
        <v>0</v>
      </c>
      <c r="Q337" s="331"/>
      <c r="R337" s="330">
        <f t="shared" si="84"/>
        <v>5.2527047793455779</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214</v>
      </c>
      <c r="G338" s="72" t="s">
        <v>214</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252</v>
      </c>
      <c r="G339" s="72" t="s">
        <v>253</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254</v>
      </c>
      <c r="G340" s="72" t="s">
        <v>253</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255</v>
      </c>
      <c r="G341" s="80" t="s">
        <v>256</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974</v>
      </c>
      <c r="G343" s="13"/>
      <c r="I343" t="s">
        <v>156</v>
      </c>
      <c r="AQ343" s="3"/>
    </row>
    <row r="344" spans="5:43" x14ac:dyDescent="0.3">
      <c r="E344" s="32"/>
      <c r="F344" s="78" t="s">
        <v>249</v>
      </c>
      <c r="G344" s="78" t="s">
        <v>209</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0.10207970836668105</v>
      </c>
      <c r="S344" s="126">
        <f t="shared" si="86"/>
        <v>0</v>
      </c>
      <c r="T344" s="126">
        <f t="shared" si="86"/>
        <v>9.3150819735035242</v>
      </c>
      <c r="U344" s="126">
        <f t="shared" si="86"/>
        <v>0</v>
      </c>
      <c r="V344" s="126">
        <f t="shared" si="86"/>
        <v>0</v>
      </c>
      <c r="W344" s="126">
        <f t="shared" si="86"/>
        <v>0</v>
      </c>
      <c r="X344" s="126">
        <f t="shared" si="86"/>
        <v>0</v>
      </c>
      <c r="Y344" s="126">
        <f t="shared" si="86"/>
        <v>0</v>
      </c>
      <c r="AQ344" s="3"/>
    </row>
    <row r="345" spans="5:43" x14ac:dyDescent="0.3">
      <c r="E345" s="32"/>
      <c r="F345" s="72" t="s">
        <v>250</v>
      </c>
      <c r="G345" s="72" t="s">
        <v>209</v>
      </c>
      <c r="J345" s="331"/>
      <c r="K345" s="330">
        <f t="shared" si="85"/>
        <v>0</v>
      </c>
      <c r="L345" s="330">
        <f t="shared" si="85"/>
        <v>0</v>
      </c>
      <c r="M345" s="330">
        <f t="shared" si="85"/>
        <v>0</v>
      </c>
      <c r="N345" s="330">
        <f t="shared" si="85"/>
        <v>0</v>
      </c>
      <c r="O345" s="330">
        <f t="shared" si="85"/>
        <v>0</v>
      </c>
      <c r="P345" s="330">
        <f t="shared" si="85"/>
        <v>0</v>
      </c>
      <c r="Q345" s="331"/>
      <c r="R345" s="330">
        <f t="shared" si="86"/>
        <v>0.70602788921055704</v>
      </c>
      <c r="S345" s="330">
        <f t="shared" si="86"/>
        <v>0</v>
      </c>
      <c r="T345" s="330">
        <f t="shared" si="86"/>
        <v>50.757499276286254</v>
      </c>
      <c r="U345" s="330">
        <f t="shared" si="86"/>
        <v>0</v>
      </c>
      <c r="V345" s="330">
        <f t="shared" si="86"/>
        <v>0</v>
      </c>
      <c r="W345" s="330">
        <f t="shared" si="86"/>
        <v>0</v>
      </c>
      <c r="X345" s="330">
        <f t="shared" si="86"/>
        <v>0</v>
      </c>
      <c r="Y345" s="330">
        <f t="shared" si="86"/>
        <v>0</v>
      </c>
      <c r="AQ345" s="3"/>
    </row>
    <row r="346" spans="5:43" x14ac:dyDescent="0.3">
      <c r="E346" s="32"/>
      <c r="F346" s="72" t="s">
        <v>251</v>
      </c>
      <c r="G346" s="72" t="s">
        <v>209</v>
      </c>
      <c r="J346" s="331"/>
      <c r="K346" s="330">
        <f t="shared" si="85"/>
        <v>0</v>
      </c>
      <c r="L346" s="330">
        <f t="shared" si="85"/>
        <v>0</v>
      </c>
      <c r="M346" s="330">
        <f t="shared" si="85"/>
        <v>0</v>
      </c>
      <c r="N346" s="330">
        <f t="shared" si="85"/>
        <v>0</v>
      </c>
      <c r="O346" s="330">
        <f t="shared" si="85"/>
        <v>0</v>
      </c>
      <c r="P346" s="330">
        <f t="shared" si="85"/>
        <v>0</v>
      </c>
      <c r="Q346" s="331"/>
      <c r="R346" s="330">
        <f t="shared" si="86"/>
        <v>0.53785825991290714</v>
      </c>
      <c r="S346" s="330">
        <f t="shared" si="86"/>
        <v>0</v>
      </c>
      <c r="T346" s="330">
        <f t="shared" si="86"/>
        <v>102.22566092765663</v>
      </c>
      <c r="U346" s="330">
        <f t="shared" si="86"/>
        <v>0</v>
      </c>
      <c r="V346" s="330">
        <f t="shared" si="86"/>
        <v>0</v>
      </c>
      <c r="W346" s="330">
        <f t="shared" si="86"/>
        <v>0</v>
      </c>
      <c r="X346" s="330">
        <f t="shared" si="86"/>
        <v>0</v>
      </c>
      <c r="Y346" s="330">
        <f t="shared" si="86"/>
        <v>0</v>
      </c>
      <c r="AQ346" s="3"/>
    </row>
    <row r="347" spans="5:43" x14ac:dyDescent="0.3">
      <c r="E347" s="32"/>
      <c r="F347" s="72" t="s">
        <v>214</v>
      </c>
      <c r="G347" s="72" t="s">
        <v>214</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252</v>
      </c>
      <c r="G348" s="72" t="s">
        <v>253</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254</v>
      </c>
      <c r="G349" s="72" t="s">
        <v>253</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255</v>
      </c>
      <c r="G350" s="80" t="s">
        <v>256</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83.119264278831736</v>
      </c>
      <c r="U350" s="100">
        <f t="shared" si="86"/>
        <v>0</v>
      </c>
      <c r="V350" s="100">
        <f t="shared" si="86"/>
        <v>0</v>
      </c>
      <c r="W350" s="100">
        <f t="shared" si="86"/>
        <v>0</v>
      </c>
      <c r="X350" s="100">
        <f t="shared" si="86"/>
        <v>0</v>
      </c>
      <c r="Y350" s="100">
        <f t="shared" si="86"/>
        <v>0</v>
      </c>
      <c r="AQ350" s="3"/>
    </row>
    <row r="351" spans="5:43" x14ac:dyDescent="0.3">
      <c r="AQ351" s="3"/>
    </row>
    <row r="352" spans="5:43" x14ac:dyDescent="0.3">
      <c r="E352" s="32" t="s">
        <v>975</v>
      </c>
      <c r="G352" s="13"/>
      <c r="I352" t="s">
        <v>156</v>
      </c>
      <c r="AQ352" s="3"/>
    </row>
    <row r="353" spans="3:43" x14ac:dyDescent="0.3">
      <c r="E353" s="32"/>
      <c r="F353" s="78" t="s">
        <v>249</v>
      </c>
      <c r="G353" s="78" t="s">
        <v>209</v>
      </c>
      <c r="H353" s="23"/>
      <c r="I353" s="23"/>
      <c r="J353" s="83"/>
      <c r="K353" s="126">
        <f t="shared" ref="K353:P359" si="87">K58+K335+K344</f>
        <v>907.55296879515561</v>
      </c>
      <c r="L353" s="126">
        <f t="shared" si="87"/>
        <v>0</v>
      </c>
      <c r="M353" s="126">
        <f t="shared" si="87"/>
        <v>38.5327591755619</v>
      </c>
      <c r="N353" s="126">
        <f t="shared" si="87"/>
        <v>0</v>
      </c>
      <c r="O353" s="126">
        <f t="shared" si="87"/>
        <v>0</v>
      </c>
      <c r="P353" s="126">
        <f t="shared" si="87"/>
        <v>0</v>
      </c>
      <c r="Q353" s="83"/>
      <c r="R353" s="126">
        <f t="shared" ref="R353:Y359" si="88">R58+R335+R344</f>
        <v>70.204805753113575</v>
      </c>
      <c r="S353" s="126">
        <f t="shared" si="88"/>
        <v>0</v>
      </c>
      <c r="T353" s="126">
        <f t="shared" si="88"/>
        <v>4784.6093633622941</v>
      </c>
      <c r="U353" s="126">
        <f t="shared" si="88"/>
        <v>0</v>
      </c>
      <c r="V353" s="126">
        <f t="shared" si="88"/>
        <v>643.59278860763663</v>
      </c>
      <c r="W353" s="126">
        <f t="shared" si="88"/>
        <v>0</v>
      </c>
      <c r="X353" s="126">
        <f t="shared" si="88"/>
        <v>278149.15352828434</v>
      </c>
      <c r="Y353" s="126">
        <f t="shared" si="88"/>
        <v>0</v>
      </c>
      <c r="AQ353" s="3"/>
    </row>
    <row r="354" spans="3:43" x14ac:dyDescent="0.3">
      <c r="E354" s="32"/>
      <c r="F354" s="72" t="s">
        <v>250</v>
      </c>
      <c r="G354" s="72" t="s">
        <v>209</v>
      </c>
      <c r="J354" s="331"/>
      <c r="K354" s="330">
        <f t="shared" si="87"/>
        <v>5824.4312721126043</v>
      </c>
      <c r="L354" s="330">
        <f t="shared" si="87"/>
        <v>0</v>
      </c>
      <c r="M354" s="330">
        <f t="shared" si="87"/>
        <v>502.36485110192183</v>
      </c>
      <c r="N354" s="330">
        <f t="shared" si="87"/>
        <v>0</v>
      </c>
      <c r="O354" s="330">
        <f t="shared" si="87"/>
        <v>0</v>
      </c>
      <c r="P354" s="330">
        <f t="shared" si="87"/>
        <v>0</v>
      </c>
      <c r="Q354" s="331"/>
      <c r="R354" s="330">
        <f t="shared" si="88"/>
        <v>459.38403586007723</v>
      </c>
      <c r="S354" s="330">
        <f t="shared" si="88"/>
        <v>0</v>
      </c>
      <c r="T354" s="330">
        <f t="shared" si="88"/>
        <v>23831.708677412124</v>
      </c>
      <c r="U354" s="330">
        <f t="shared" si="88"/>
        <v>0</v>
      </c>
      <c r="V354" s="330">
        <f t="shared" si="88"/>
        <v>2524.6060767726581</v>
      </c>
      <c r="W354" s="330">
        <f t="shared" si="88"/>
        <v>0</v>
      </c>
      <c r="X354" s="330">
        <f t="shared" si="88"/>
        <v>600091.23989919515</v>
      </c>
      <c r="Y354" s="330">
        <f t="shared" si="88"/>
        <v>0</v>
      </c>
      <c r="AQ354" s="3"/>
    </row>
    <row r="355" spans="3:43" x14ac:dyDescent="0.3">
      <c r="E355" s="32"/>
      <c r="F355" s="72" t="s">
        <v>251</v>
      </c>
      <c r="G355" s="72" t="s">
        <v>209</v>
      </c>
      <c r="J355" s="331"/>
      <c r="K355" s="330">
        <f t="shared" si="87"/>
        <v>10388.832210240402</v>
      </c>
      <c r="L355" s="330">
        <f t="shared" si="87"/>
        <v>0</v>
      </c>
      <c r="M355" s="330">
        <f t="shared" si="87"/>
        <v>1825.2777420810467</v>
      </c>
      <c r="N355" s="330">
        <f t="shared" si="87"/>
        <v>0</v>
      </c>
      <c r="O355" s="330">
        <f t="shared" si="87"/>
        <v>0</v>
      </c>
      <c r="P355" s="330">
        <f t="shared" si="87"/>
        <v>0</v>
      </c>
      <c r="Q355" s="331"/>
      <c r="R355" s="330">
        <f t="shared" si="88"/>
        <v>257.78882983990695</v>
      </c>
      <c r="S355" s="330">
        <f t="shared" si="88"/>
        <v>0</v>
      </c>
      <c r="T355" s="330">
        <f t="shared" si="88"/>
        <v>24299.787303789228</v>
      </c>
      <c r="U355" s="330">
        <f t="shared" si="88"/>
        <v>0</v>
      </c>
      <c r="V355" s="330">
        <f t="shared" si="88"/>
        <v>4216.2054199370059</v>
      </c>
      <c r="W355" s="330">
        <f t="shared" si="88"/>
        <v>0</v>
      </c>
      <c r="X355" s="330">
        <f t="shared" si="88"/>
        <v>673152.99157943716</v>
      </c>
      <c r="Y355" s="330">
        <f t="shared" si="88"/>
        <v>0</v>
      </c>
      <c r="AQ355" s="3"/>
    </row>
    <row r="356" spans="3:43" x14ac:dyDescent="0.3">
      <c r="E356" s="32"/>
      <c r="F356" s="72" t="s">
        <v>214</v>
      </c>
      <c r="G356" s="72" t="s">
        <v>214</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734.26186025829247</v>
      </c>
      <c r="U356" s="330">
        <f t="shared" si="88"/>
        <v>0</v>
      </c>
      <c r="V356" s="330">
        <f t="shared" si="88"/>
        <v>50.04201140862741</v>
      </c>
      <c r="W356" s="330">
        <f t="shared" si="88"/>
        <v>0</v>
      </c>
      <c r="X356" s="330">
        <f t="shared" si="88"/>
        <v>449.38337701268659</v>
      </c>
      <c r="Y356" s="330">
        <f t="shared" si="88"/>
        <v>0</v>
      </c>
      <c r="AQ356" s="3"/>
    </row>
    <row r="357" spans="3:43" x14ac:dyDescent="0.3">
      <c r="E357" s="32"/>
      <c r="F357" s="72" t="s">
        <v>252</v>
      </c>
      <c r="G357" s="72" t="s">
        <v>253</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254</v>
      </c>
      <c r="G358" s="72" t="s">
        <v>253</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255</v>
      </c>
      <c r="G359" s="80" t="s">
        <v>256</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3746.666818357904</v>
      </c>
      <c r="U359" s="100">
        <f t="shared" si="88"/>
        <v>0</v>
      </c>
      <c r="V359" s="100">
        <f t="shared" si="88"/>
        <v>397.56062338257436</v>
      </c>
      <c r="W359" s="100">
        <f t="shared" si="88"/>
        <v>0</v>
      </c>
      <c r="X359" s="100">
        <f t="shared" si="88"/>
        <v>20979.429173597407</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971</v>
      </c>
      <c r="G363" s="13"/>
      <c r="I363" t="s">
        <v>156</v>
      </c>
      <c r="AQ363" s="3"/>
    </row>
    <row r="364" spans="3:43" x14ac:dyDescent="0.3">
      <c r="E364" s="32"/>
      <c r="F364" s="78" t="s">
        <v>249</v>
      </c>
      <c r="G364" s="78" t="s">
        <v>209</v>
      </c>
      <c r="H364" s="23"/>
      <c r="I364" s="23"/>
      <c r="J364" s="126">
        <f t="shared" ref="J364:J370" si="89">(1 - J315) * J114</f>
        <v>11741.903904221706</v>
      </c>
      <c r="K364" s="83"/>
      <c r="L364" s="126">
        <f t="shared" ref="L364:L370" si="90">(1 - L315) * L114</f>
        <v>13.204037212396502</v>
      </c>
      <c r="M364" s="83"/>
      <c r="N364" s="126">
        <f t="shared" ref="N364:Q370" si="91">(1 - N315) * N114</f>
        <v>263.94813193861654</v>
      </c>
      <c r="O364" s="126">
        <f t="shared" si="91"/>
        <v>0</v>
      </c>
      <c r="P364" s="126">
        <f t="shared" si="91"/>
        <v>0</v>
      </c>
      <c r="Q364" s="126">
        <f t="shared" si="91"/>
        <v>1.6484303202140138</v>
      </c>
      <c r="R364" s="83"/>
      <c r="S364" s="83"/>
      <c r="T364" s="83"/>
      <c r="U364" s="83"/>
      <c r="V364" s="83"/>
      <c r="W364" s="83"/>
      <c r="X364" s="83"/>
      <c r="Y364" s="83"/>
      <c r="AQ364" s="3"/>
    </row>
    <row r="365" spans="3:43" x14ac:dyDescent="0.3">
      <c r="E365" s="32"/>
      <c r="F365" s="72" t="s">
        <v>250</v>
      </c>
      <c r="G365" s="72" t="s">
        <v>209</v>
      </c>
      <c r="J365" s="330">
        <f t="shared" si="89"/>
        <v>33320.333457442459</v>
      </c>
      <c r="K365" s="331"/>
      <c r="L365" s="330">
        <f t="shared" si="90"/>
        <v>57.179637556824495</v>
      </c>
      <c r="M365" s="331"/>
      <c r="N365" s="330">
        <f t="shared" si="91"/>
        <v>995.70171042925688</v>
      </c>
      <c r="O365" s="330">
        <f t="shared" si="91"/>
        <v>0</v>
      </c>
      <c r="P365" s="330">
        <f t="shared" si="91"/>
        <v>0</v>
      </c>
      <c r="Q365" s="330">
        <f t="shared" si="91"/>
        <v>143.43823257289108</v>
      </c>
      <c r="R365" s="331"/>
      <c r="S365" s="331"/>
      <c r="T365" s="331"/>
      <c r="U365" s="331"/>
      <c r="V365" s="331"/>
      <c r="W365" s="331"/>
      <c r="X365" s="331"/>
      <c r="Y365" s="331"/>
      <c r="AQ365" s="3"/>
    </row>
    <row r="366" spans="3:43" x14ac:dyDescent="0.3">
      <c r="E366" s="32"/>
      <c r="F366" s="72" t="s">
        <v>251</v>
      </c>
      <c r="G366" s="72" t="s">
        <v>209</v>
      </c>
      <c r="J366" s="330">
        <f t="shared" si="89"/>
        <v>50220.849963077831</v>
      </c>
      <c r="K366" s="331"/>
      <c r="L366" s="330">
        <f t="shared" si="90"/>
        <v>53.753375053518027</v>
      </c>
      <c r="M366" s="331"/>
      <c r="N366" s="330">
        <f t="shared" si="91"/>
        <v>1257.6667561805452</v>
      </c>
      <c r="O366" s="330">
        <f t="shared" si="91"/>
        <v>0</v>
      </c>
      <c r="P366" s="330">
        <f t="shared" si="91"/>
        <v>0</v>
      </c>
      <c r="Q366" s="330">
        <f t="shared" si="91"/>
        <v>243.44739078301933</v>
      </c>
      <c r="R366" s="331"/>
      <c r="S366" s="331"/>
      <c r="T366" s="331"/>
      <c r="U366" s="331"/>
      <c r="V366" s="331"/>
      <c r="W366" s="331"/>
      <c r="X366" s="331"/>
      <c r="Y366" s="331"/>
      <c r="AQ366" s="3"/>
    </row>
    <row r="367" spans="3:43" x14ac:dyDescent="0.3">
      <c r="E367" s="32"/>
      <c r="F367" s="72" t="s">
        <v>214</v>
      </c>
      <c r="G367" s="72" t="s">
        <v>214</v>
      </c>
      <c r="J367" s="330">
        <f t="shared" si="89"/>
        <v>28476.299535052749</v>
      </c>
      <c r="K367" s="331"/>
      <c r="L367" s="330">
        <f t="shared" si="90"/>
        <v>180.57386739268694</v>
      </c>
      <c r="M367" s="331"/>
      <c r="N367" s="330">
        <f t="shared" si="91"/>
        <v>19.078165213622228</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252</v>
      </c>
      <c r="G368" s="72" t="s">
        <v>253</v>
      </c>
      <c r="J368" s="330">
        <f t="shared" si="89"/>
        <v>0</v>
      </c>
      <c r="K368" s="331"/>
      <c r="L368" s="330">
        <f t="shared" si="90"/>
        <v>0</v>
      </c>
      <c r="M368" s="331"/>
      <c r="N368" s="330">
        <f t="shared" si="91"/>
        <v>1231.1907833239829</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254</v>
      </c>
      <c r="G369" s="72" t="s">
        <v>253</v>
      </c>
      <c r="J369" s="330">
        <f t="shared" si="89"/>
        <v>0</v>
      </c>
      <c r="K369" s="331"/>
      <c r="L369" s="330">
        <f t="shared" si="90"/>
        <v>0</v>
      </c>
      <c r="M369" s="331"/>
      <c r="N369" s="330">
        <f t="shared" si="91"/>
        <v>2.4615808574490567</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255</v>
      </c>
      <c r="G370" s="80" t="s">
        <v>256</v>
      </c>
      <c r="H370" s="37"/>
      <c r="I370" s="37"/>
      <c r="J370" s="100">
        <f t="shared" si="89"/>
        <v>0</v>
      </c>
      <c r="K370" s="81"/>
      <c r="L370" s="100">
        <f t="shared" si="90"/>
        <v>0</v>
      </c>
      <c r="M370" s="81"/>
      <c r="N370" s="100">
        <f t="shared" si="91"/>
        <v>164.54067535339274</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972</v>
      </c>
      <c r="G372" s="13"/>
      <c r="I372" t="s">
        <v>156</v>
      </c>
      <c r="AQ372" s="3"/>
    </row>
    <row r="373" spans="5:43" x14ac:dyDescent="0.3">
      <c r="E373" s="32"/>
      <c r="F373" s="78" t="s">
        <v>249</v>
      </c>
      <c r="G373" s="78" t="s">
        <v>209</v>
      </c>
      <c r="H373" s="23"/>
      <c r="I373" s="23"/>
      <c r="J373" s="126">
        <f t="shared" ref="J373:J379" si="92">(1 - J324) * J161</f>
        <v>21329.212160473588</v>
      </c>
      <c r="K373" s="83"/>
      <c r="L373" s="126">
        <f t="shared" ref="L373:L379" si="93">(1 - L324) * L161</f>
        <v>50.944187169389338</v>
      </c>
      <c r="M373" s="83"/>
      <c r="N373" s="126">
        <f t="shared" ref="N373:Q379" si="94">(1 - N324) * N161</f>
        <v>1935.9925118513893</v>
      </c>
      <c r="O373" s="126">
        <f t="shared" si="94"/>
        <v>41.667904744546192</v>
      </c>
      <c r="P373" s="126">
        <f t="shared" si="94"/>
        <v>1099.8143975055752</v>
      </c>
      <c r="Q373" s="126">
        <f t="shared" si="94"/>
        <v>3.1866328510759128</v>
      </c>
      <c r="R373" s="83"/>
      <c r="S373" s="83"/>
      <c r="T373" s="83"/>
      <c r="U373" s="83"/>
      <c r="V373" s="83"/>
      <c r="W373" s="83"/>
      <c r="X373" s="83"/>
      <c r="Y373" s="83"/>
      <c r="AQ373" s="3"/>
    </row>
    <row r="374" spans="5:43" x14ac:dyDescent="0.3">
      <c r="E374" s="32"/>
      <c r="F374" s="72" t="s">
        <v>250</v>
      </c>
      <c r="G374" s="72" t="s">
        <v>209</v>
      </c>
      <c r="J374" s="330">
        <f t="shared" si="92"/>
        <v>60419.267230345191</v>
      </c>
      <c r="K374" s="331"/>
      <c r="L374" s="330">
        <f t="shared" si="93"/>
        <v>218.95329070997968</v>
      </c>
      <c r="M374" s="331"/>
      <c r="N374" s="330">
        <f t="shared" si="94"/>
        <v>7160.1680040370111</v>
      </c>
      <c r="O374" s="330">
        <f t="shared" si="94"/>
        <v>158.47718806068411</v>
      </c>
      <c r="P374" s="330">
        <f t="shared" si="94"/>
        <v>3888.0822919073853</v>
      </c>
      <c r="Q374" s="330">
        <f t="shared" si="94"/>
        <v>271.06452768355308</v>
      </c>
      <c r="R374" s="331"/>
      <c r="S374" s="331"/>
      <c r="T374" s="331"/>
      <c r="U374" s="331"/>
      <c r="V374" s="331"/>
      <c r="W374" s="331"/>
      <c r="X374" s="331"/>
      <c r="Y374" s="331"/>
      <c r="AQ374" s="3"/>
    </row>
    <row r="375" spans="5:43" x14ac:dyDescent="0.3">
      <c r="E375" s="32"/>
      <c r="F375" s="72" t="s">
        <v>251</v>
      </c>
      <c r="G375" s="72" t="s">
        <v>209</v>
      </c>
      <c r="J375" s="330">
        <f t="shared" si="92"/>
        <v>91170.115945508151</v>
      </c>
      <c r="K375" s="331"/>
      <c r="L375" s="330">
        <f t="shared" si="93"/>
        <v>197.94566540767298</v>
      </c>
      <c r="M375" s="331"/>
      <c r="N375" s="330">
        <f t="shared" si="94"/>
        <v>9042.3629818855861</v>
      </c>
      <c r="O375" s="330">
        <f t="shared" si="94"/>
        <v>227.87973160330449</v>
      </c>
      <c r="P375" s="330">
        <f t="shared" si="94"/>
        <v>6035.0287285020913</v>
      </c>
      <c r="Q375" s="330">
        <f t="shared" si="94"/>
        <v>447.0109191896604</v>
      </c>
      <c r="R375" s="331"/>
      <c r="S375" s="331"/>
      <c r="T375" s="331"/>
      <c r="U375" s="331"/>
      <c r="V375" s="331"/>
      <c r="W375" s="331"/>
      <c r="X375" s="331"/>
      <c r="Y375" s="331"/>
      <c r="AQ375" s="3"/>
    </row>
    <row r="376" spans="5:43" x14ac:dyDescent="0.3">
      <c r="E376" s="32"/>
      <c r="F376" s="72" t="s">
        <v>214</v>
      </c>
      <c r="G376" s="72" t="s">
        <v>214</v>
      </c>
      <c r="J376" s="330">
        <f t="shared" si="92"/>
        <v>53356.873636295953</v>
      </c>
      <c r="K376" s="331"/>
      <c r="L376" s="330">
        <f t="shared" si="93"/>
        <v>434.62169702885905</v>
      </c>
      <c r="M376" s="331"/>
      <c r="N376" s="330">
        <f t="shared" si="94"/>
        <v>99.380207695779049</v>
      </c>
      <c r="O376" s="330">
        <f t="shared" si="94"/>
        <v>0.84265099280159528</v>
      </c>
      <c r="P376" s="330">
        <f t="shared" si="94"/>
        <v>20.84657615931053</v>
      </c>
      <c r="Q376" s="330">
        <f t="shared" si="94"/>
        <v>0</v>
      </c>
      <c r="R376" s="331"/>
      <c r="S376" s="331"/>
      <c r="T376" s="331"/>
      <c r="U376" s="331"/>
      <c r="V376" s="331"/>
      <c r="W376" s="331"/>
      <c r="X376" s="331"/>
      <c r="Y376" s="331"/>
      <c r="AQ376" s="3"/>
    </row>
    <row r="377" spans="5:43" x14ac:dyDescent="0.3">
      <c r="E377" s="32"/>
      <c r="F377" s="72" t="s">
        <v>252</v>
      </c>
      <c r="G377" s="72" t="s">
        <v>253</v>
      </c>
      <c r="J377" s="330">
        <f t="shared" si="92"/>
        <v>0</v>
      </c>
      <c r="K377" s="331"/>
      <c r="L377" s="330">
        <f t="shared" si="93"/>
        <v>0</v>
      </c>
      <c r="M377" s="331"/>
      <c r="N377" s="330">
        <f t="shared" si="94"/>
        <v>10092.644423942114</v>
      </c>
      <c r="O377" s="330">
        <f t="shared" si="94"/>
        <v>9.8612232847527483</v>
      </c>
      <c r="P377" s="330">
        <f t="shared" si="94"/>
        <v>7606.3099499676309</v>
      </c>
      <c r="Q377" s="330">
        <f t="shared" si="94"/>
        <v>0</v>
      </c>
      <c r="R377" s="331"/>
      <c r="S377" s="331"/>
      <c r="T377" s="331"/>
      <c r="U377" s="331"/>
      <c r="V377" s="331"/>
      <c r="W377" s="331"/>
      <c r="X377" s="331"/>
      <c r="Y377" s="331"/>
      <c r="AQ377" s="3"/>
    </row>
    <row r="378" spans="5:43" x14ac:dyDescent="0.3">
      <c r="E378" s="32"/>
      <c r="F378" s="72" t="s">
        <v>254</v>
      </c>
      <c r="G378" s="72" t="s">
        <v>253</v>
      </c>
      <c r="J378" s="330">
        <f t="shared" si="92"/>
        <v>0</v>
      </c>
      <c r="K378" s="331"/>
      <c r="L378" s="330">
        <f t="shared" si="93"/>
        <v>0</v>
      </c>
      <c r="M378" s="331"/>
      <c r="N378" s="330">
        <f t="shared" si="94"/>
        <v>24.547128326487922</v>
      </c>
      <c r="O378" s="330">
        <f t="shared" si="94"/>
        <v>3.4127823474423946E-2</v>
      </c>
      <c r="P378" s="330">
        <f t="shared" si="94"/>
        <v>3.4787878435230204</v>
      </c>
      <c r="Q378" s="330">
        <f t="shared" si="94"/>
        <v>0</v>
      </c>
      <c r="R378" s="331"/>
      <c r="S378" s="331"/>
      <c r="T378" s="331"/>
      <c r="U378" s="331"/>
      <c r="V378" s="331"/>
      <c r="W378" s="331"/>
      <c r="X378" s="331"/>
      <c r="Y378" s="331"/>
      <c r="AQ378" s="3"/>
    </row>
    <row r="379" spans="5:43" x14ac:dyDescent="0.3">
      <c r="E379" s="32"/>
      <c r="F379" s="80" t="s">
        <v>255</v>
      </c>
      <c r="G379" s="80" t="s">
        <v>256</v>
      </c>
      <c r="H379" s="37"/>
      <c r="I379" s="37"/>
      <c r="J379" s="100">
        <f t="shared" si="92"/>
        <v>0</v>
      </c>
      <c r="K379" s="81"/>
      <c r="L379" s="100">
        <f t="shared" si="93"/>
        <v>0</v>
      </c>
      <c r="M379" s="81"/>
      <c r="N379" s="100">
        <f t="shared" si="94"/>
        <v>1250.8378796511411</v>
      </c>
      <c r="O379" s="100">
        <f t="shared" si="94"/>
        <v>30.339767871405996</v>
      </c>
      <c r="P379" s="100">
        <f t="shared" si="94"/>
        <v>293.41155258846504</v>
      </c>
      <c r="Q379" s="100">
        <f t="shared" si="94"/>
        <v>0</v>
      </c>
      <c r="R379" s="81"/>
      <c r="S379" s="81"/>
      <c r="T379" s="81"/>
      <c r="U379" s="81"/>
      <c r="V379" s="81"/>
      <c r="W379" s="81"/>
      <c r="X379" s="81"/>
      <c r="Y379" s="81"/>
      <c r="AQ379" s="3"/>
    </row>
    <row r="380" spans="5:43" x14ac:dyDescent="0.3">
      <c r="AQ380" s="3"/>
    </row>
    <row r="381" spans="5:43" x14ac:dyDescent="0.3">
      <c r="E381" s="32" t="s">
        <v>970</v>
      </c>
      <c r="G381" s="13"/>
      <c r="I381" t="s">
        <v>156</v>
      </c>
      <c r="AQ381" s="3"/>
    </row>
    <row r="382" spans="5:43" x14ac:dyDescent="0.3">
      <c r="E382" s="32"/>
      <c r="F382" s="78" t="s">
        <v>249</v>
      </c>
      <c r="G382" s="78" t="s">
        <v>209</v>
      </c>
      <c r="H382" s="23"/>
      <c r="I382" s="23"/>
      <c r="J382" s="126">
        <f t="shared" ref="J382:J388" si="95">J67+J364+J373</f>
        <v>996682.69564175408</v>
      </c>
      <c r="K382" s="83"/>
      <c r="L382" s="126">
        <f t="shared" ref="L382:L388" si="96">L67+L364+L373</f>
        <v>10141.215842152091</v>
      </c>
      <c r="M382" s="83"/>
      <c r="N382" s="126">
        <f t="shared" ref="N382:Q388" si="97">N67+N364+N373</f>
        <v>56646.953450539746</v>
      </c>
      <c r="O382" s="126">
        <f t="shared" si="97"/>
        <v>418.66636199825882</v>
      </c>
      <c r="P382" s="126">
        <f t="shared" si="97"/>
        <v>64616.402471241767</v>
      </c>
      <c r="Q382" s="126">
        <f t="shared" si="97"/>
        <v>8816.224920714214</v>
      </c>
      <c r="R382" s="83"/>
      <c r="S382" s="83"/>
      <c r="T382" s="83"/>
      <c r="U382" s="83"/>
      <c r="V382" s="83"/>
      <c r="W382" s="83"/>
      <c r="X382" s="83"/>
      <c r="Y382" s="83"/>
      <c r="AQ382" s="3"/>
    </row>
    <row r="383" spans="5:43" x14ac:dyDescent="0.3">
      <c r="E383" s="32"/>
      <c r="F383" s="72" t="s">
        <v>250</v>
      </c>
      <c r="G383" s="72" t="s">
        <v>209</v>
      </c>
      <c r="J383" s="330">
        <f t="shared" si="95"/>
        <v>2953123.9288298711</v>
      </c>
      <c r="K383" s="331"/>
      <c r="L383" s="330">
        <f t="shared" si="96"/>
        <v>41768.030679412033</v>
      </c>
      <c r="M383" s="331"/>
      <c r="N383" s="330">
        <f t="shared" si="97"/>
        <v>238687.02885950569</v>
      </c>
      <c r="O383" s="330">
        <f t="shared" si="97"/>
        <v>1625.5885044142794</v>
      </c>
      <c r="P383" s="330">
        <f t="shared" si="97"/>
        <v>246916.17539110262</v>
      </c>
      <c r="Q383" s="330">
        <f t="shared" si="97"/>
        <v>49603.561201843237</v>
      </c>
      <c r="R383" s="331"/>
      <c r="S383" s="331"/>
      <c r="T383" s="331"/>
      <c r="U383" s="331"/>
      <c r="V383" s="331"/>
      <c r="W383" s="331"/>
      <c r="X383" s="331"/>
      <c r="Y383" s="331"/>
      <c r="AQ383" s="3"/>
    </row>
    <row r="384" spans="5:43" x14ac:dyDescent="0.3">
      <c r="E384" s="32"/>
      <c r="F384" s="72" t="s">
        <v>251</v>
      </c>
      <c r="G384" s="72" t="s">
        <v>209</v>
      </c>
      <c r="J384" s="330">
        <f t="shared" si="95"/>
        <v>4878763.9763329094</v>
      </c>
      <c r="K384" s="331"/>
      <c r="L384" s="330">
        <f t="shared" si="96"/>
        <v>45827.411289764794</v>
      </c>
      <c r="M384" s="331"/>
      <c r="N384" s="330">
        <f t="shared" si="97"/>
        <v>261542.64283959483</v>
      </c>
      <c r="O384" s="330">
        <f t="shared" si="97"/>
        <v>1868.6275405675392</v>
      </c>
      <c r="P384" s="330">
        <f t="shared" si="97"/>
        <v>352411.42538540094</v>
      </c>
      <c r="Q384" s="330">
        <f t="shared" si="97"/>
        <v>160108.74333476496</v>
      </c>
      <c r="R384" s="331"/>
      <c r="S384" s="331"/>
      <c r="T384" s="331"/>
      <c r="U384" s="331"/>
      <c r="V384" s="331"/>
      <c r="W384" s="331"/>
      <c r="X384" s="331"/>
      <c r="Y384" s="331"/>
      <c r="AQ384" s="3"/>
    </row>
    <row r="385" spans="3:43" x14ac:dyDescent="0.3">
      <c r="E385" s="32"/>
      <c r="F385" s="72" t="s">
        <v>214</v>
      </c>
      <c r="G385" s="72" t="s">
        <v>214</v>
      </c>
      <c r="J385" s="330">
        <f t="shared" si="95"/>
        <v>2559230.0756873167</v>
      </c>
      <c r="K385" s="331"/>
      <c r="L385" s="330">
        <f t="shared" si="96"/>
        <v>67322.669349880758</v>
      </c>
      <c r="M385" s="331"/>
      <c r="N385" s="330">
        <f t="shared" si="97"/>
        <v>5490.5862475307358</v>
      </c>
      <c r="O385" s="330">
        <f t="shared" si="97"/>
        <v>14.531147559963742</v>
      </c>
      <c r="P385" s="330">
        <f t="shared" si="97"/>
        <v>1548.6689527111448</v>
      </c>
      <c r="Q385" s="330">
        <f t="shared" si="97"/>
        <v>37.113907471596569</v>
      </c>
      <c r="R385" s="331"/>
      <c r="S385" s="331"/>
      <c r="T385" s="331"/>
      <c r="U385" s="331"/>
      <c r="V385" s="331"/>
      <c r="W385" s="331"/>
      <c r="X385" s="331"/>
      <c r="Y385" s="331"/>
      <c r="AQ385" s="3"/>
    </row>
    <row r="386" spans="3:43" x14ac:dyDescent="0.3">
      <c r="E386" s="32"/>
      <c r="F386" s="72" t="s">
        <v>252</v>
      </c>
      <c r="G386" s="72" t="s">
        <v>253</v>
      </c>
      <c r="J386" s="330">
        <f t="shared" si="95"/>
        <v>0</v>
      </c>
      <c r="K386" s="331"/>
      <c r="L386" s="330">
        <f t="shared" si="96"/>
        <v>0</v>
      </c>
      <c r="M386" s="331"/>
      <c r="N386" s="330">
        <f t="shared" si="97"/>
        <v>266784.11878941976</v>
      </c>
      <c r="O386" s="330">
        <f t="shared" si="97"/>
        <v>119.21448623653427</v>
      </c>
      <c r="P386" s="330">
        <f t="shared" si="97"/>
        <v>317536.59518196579</v>
      </c>
      <c r="Q386" s="330">
        <f t="shared" si="97"/>
        <v>0</v>
      </c>
      <c r="R386" s="331"/>
      <c r="S386" s="331"/>
      <c r="T386" s="331"/>
      <c r="U386" s="331"/>
      <c r="V386" s="331"/>
      <c r="W386" s="331"/>
      <c r="X386" s="331"/>
      <c r="Y386" s="331"/>
      <c r="AQ386" s="3"/>
    </row>
    <row r="387" spans="3:43" x14ac:dyDescent="0.3">
      <c r="E387" s="32"/>
      <c r="F387" s="72" t="s">
        <v>254</v>
      </c>
      <c r="G387" s="72" t="s">
        <v>253</v>
      </c>
      <c r="J387" s="330">
        <f t="shared" si="95"/>
        <v>0</v>
      </c>
      <c r="K387" s="331"/>
      <c r="L387" s="330">
        <f t="shared" si="96"/>
        <v>0</v>
      </c>
      <c r="M387" s="331"/>
      <c r="N387" s="330">
        <f t="shared" si="97"/>
        <v>4386.4799187777571</v>
      </c>
      <c r="O387" s="330">
        <f t="shared" si="97"/>
        <v>0.65203307081286965</v>
      </c>
      <c r="P387" s="330">
        <f t="shared" si="97"/>
        <v>4021.7958867015795</v>
      </c>
      <c r="Q387" s="330">
        <f t="shared" si="97"/>
        <v>0</v>
      </c>
      <c r="R387" s="331"/>
      <c r="S387" s="331"/>
      <c r="T387" s="331"/>
      <c r="U387" s="331"/>
      <c r="V387" s="331"/>
      <c r="W387" s="331"/>
      <c r="X387" s="331"/>
      <c r="Y387" s="331"/>
      <c r="AQ387" s="3"/>
    </row>
    <row r="388" spans="3:43" x14ac:dyDescent="0.3">
      <c r="E388" s="32"/>
      <c r="F388" s="80" t="s">
        <v>255</v>
      </c>
      <c r="G388" s="80" t="s">
        <v>256</v>
      </c>
      <c r="H388" s="37"/>
      <c r="I388" s="37"/>
      <c r="J388" s="100">
        <f t="shared" si="95"/>
        <v>0</v>
      </c>
      <c r="K388" s="81"/>
      <c r="L388" s="100">
        <f t="shared" si="96"/>
        <v>0</v>
      </c>
      <c r="M388" s="81"/>
      <c r="N388" s="100">
        <f t="shared" si="97"/>
        <v>58856.102933003822</v>
      </c>
      <c r="O388" s="100">
        <f t="shared" si="97"/>
        <v>521.04088989497586</v>
      </c>
      <c r="P388" s="100">
        <f t="shared" si="97"/>
        <v>54883.129181703705</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982</v>
      </c>
      <c r="G392" s="13"/>
      <c r="I392" t="s">
        <v>156</v>
      </c>
      <c r="AQ392" s="3"/>
    </row>
    <row r="393" spans="3:43" x14ac:dyDescent="0.3">
      <c r="E393" s="32"/>
      <c r="F393" s="78" t="s">
        <v>249</v>
      </c>
      <c r="G393" s="78" t="s">
        <v>209</v>
      </c>
      <c r="H393" s="23"/>
      <c r="I393" s="23"/>
      <c r="J393" s="83"/>
      <c r="K393" s="83"/>
      <c r="L393" s="126">
        <f t="shared" ref="L393:L399" si="98">(1 - L315) * L123</f>
        <v>60.773014261852886</v>
      </c>
      <c r="M393" s="83"/>
      <c r="N393" s="126">
        <f t="shared" ref="N393:P399" si="99">(1 - N315) * N123</f>
        <v>478.40208609514696</v>
      </c>
      <c r="O393" s="126">
        <f t="shared" si="99"/>
        <v>0</v>
      </c>
      <c r="P393" s="126">
        <f t="shared" si="99"/>
        <v>0</v>
      </c>
      <c r="Q393" s="83"/>
      <c r="R393" s="83"/>
      <c r="S393" s="83"/>
      <c r="T393" s="83"/>
      <c r="U393" s="83"/>
      <c r="V393" s="83"/>
      <c r="W393" s="83"/>
      <c r="X393" s="83"/>
      <c r="Y393" s="83"/>
      <c r="AQ393" s="3"/>
    </row>
    <row r="394" spans="3:43" x14ac:dyDescent="0.3">
      <c r="E394" s="32"/>
      <c r="F394" s="72" t="s">
        <v>250</v>
      </c>
      <c r="G394" s="72" t="s">
        <v>209</v>
      </c>
      <c r="J394" s="331"/>
      <c r="K394" s="331"/>
      <c r="L394" s="330">
        <f t="shared" si="98"/>
        <v>263.1754873779073</v>
      </c>
      <c r="M394" s="331"/>
      <c r="N394" s="330">
        <f t="shared" si="99"/>
        <v>1804.6946265512529</v>
      </c>
      <c r="O394" s="330">
        <f t="shared" si="99"/>
        <v>0</v>
      </c>
      <c r="P394" s="330">
        <f t="shared" si="99"/>
        <v>0</v>
      </c>
      <c r="Q394" s="331"/>
      <c r="R394" s="331"/>
      <c r="S394" s="331"/>
      <c r="T394" s="331"/>
      <c r="U394" s="331"/>
      <c r="V394" s="331"/>
      <c r="W394" s="331"/>
      <c r="X394" s="331"/>
      <c r="Y394" s="331"/>
      <c r="AQ394" s="3"/>
    </row>
    <row r="395" spans="3:43" x14ac:dyDescent="0.3">
      <c r="E395" s="32"/>
      <c r="F395" s="72" t="s">
        <v>251</v>
      </c>
      <c r="G395" s="72" t="s">
        <v>209</v>
      </c>
      <c r="J395" s="331"/>
      <c r="K395" s="331"/>
      <c r="L395" s="330">
        <f t="shared" si="98"/>
        <v>247.40574236516181</v>
      </c>
      <c r="M395" s="331"/>
      <c r="N395" s="330">
        <f t="shared" si="99"/>
        <v>2279.5023982560833</v>
      </c>
      <c r="O395" s="330">
        <f t="shared" si="99"/>
        <v>0</v>
      </c>
      <c r="P395" s="330">
        <f t="shared" si="99"/>
        <v>0</v>
      </c>
      <c r="Q395" s="331"/>
      <c r="R395" s="331"/>
      <c r="S395" s="331"/>
      <c r="T395" s="331"/>
      <c r="U395" s="331"/>
      <c r="V395" s="331"/>
      <c r="W395" s="331"/>
      <c r="X395" s="331"/>
      <c r="Y395" s="331"/>
      <c r="AQ395" s="3"/>
    </row>
    <row r="396" spans="3:43" x14ac:dyDescent="0.3">
      <c r="E396" s="32"/>
      <c r="F396" s="72" t="s">
        <v>214</v>
      </c>
      <c r="G396" s="72" t="s">
        <v>214</v>
      </c>
      <c r="J396" s="331"/>
      <c r="K396" s="331"/>
      <c r="L396" s="330">
        <f t="shared" si="98"/>
        <v>157.0251875674243</v>
      </c>
      <c r="M396" s="331"/>
      <c r="N396" s="330">
        <f t="shared" si="99"/>
        <v>20.072896683366313</v>
      </c>
      <c r="O396" s="330">
        <f t="shared" si="99"/>
        <v>0</v>
      </c>
      <c r="P396" s="330">
        <f t="shared" si="99"/>
        <v>0</v>
      </c>
      <c r="Q396" s="331"/>
      <c r="R396" s="331"/>
      <c r="S396" s="331"/>
      <c r="T396" s="331"/>
      <c r="U396" s="331"/>
      <c r="V396" s="331"/>
      <c r="W396" s="331"/>
      <c r="X396" s="331"/>
      <c r="Y396" s="331"/>
      <c r="AQ396" s="3"/>
    </row>
    <row r="397" spans="3:43" x14ac:dyDescent="0.3">
      <c r="E397" s="32"/>
      <c r="F397" s="72" t="s">
        <v>252</v>
      </c>
      <c r="G397" s="72" t="s">
        <v>253</v>
      </c>
      <c r="J397" s="331"/>
      <c r="K397" s="331"/>
      <c r="L397" s="330">
        <f t="shared" si="98"/>
        <v>0</v>
      </c>
      <c r="M397" s="331"/>
      <c r="N397" s="330">
        <f t="shared" si="99"/>
        <v>3193.2806647196626</v>
      </c>
      <c r="O397" s="330">
        <f t="shared" si="99"/>
        <v>0</v>
      </c>
      <c r="P397" s="330">
        <f t="shared" si="99"/>
        <v>0</v>
      </c>
      <c r="Q397" s="331"/>
      <c r="R397" s="331"/>
      <c r="S397" s="331"/>
      <c r="T397" s="331"/>
      <c r="U397" s="331"/>
      <c r="V397" s="331"/>
      <c r="W397" s="331"/>
      <c r="X397" s="331"/>
      <c r="Y397" s="331"/>
      <c r="AQ397" s="3"/>
    </row>
    <row r="398" spans="3:43" x14ac:dyDescent="0.3">
      <c r="E398" s="32"/>
      <c r="F398" s="72" t="s">
        <v>254</v>
      </c>
      <c r="G398" s="72" t="s">
        <v>253</v>
      </c>
      <c r="J398" s="331"/>
      <c r="K398" s="331"/>
      <c r="L398" s="330">
        <f t="shared" si="98"/>
        <v>0</v>
      </c>
      <c r="M398" s="331"/>
      <c r="N398" s="330">
        <f t="shared" si="99"/>
        <v>6.3844845682764158</v>
      </c>
      <c r="O398" s="330">
        <f t="shared" si="99"/>
        <v>0</v>
      </c>
      <c r="P398" s="330">
        <f t="shared" si="99"/>
        <v>0</v>
      </c>
      <c r="Q398" s="331"/>
      <c r="R398" s="331"/>
      <c r="S398" s="331"/>
      <c r="T398" s="331"/>
      <c r="U398" s="331"/>
      <c r="V398" s="331"/>
      <c r="W398" s="331"/>
      <c r="X398" s="331"/>
      <c r="Y398" s="331"/>
      <c r="AQ398" s="3"/>
    </row>
    <row r="399" spans="3:43" x14ac:dyDescent="0.3">
      <c r="E399" s="32"/>
      <c r="F399" s="80" t="s">
        <v>255</v>
      </c>
      <c r="G399" s="80" t="s">
        <v>256</v>
      </c>
      <c r="H399" s="37"/>
      <c r="I399" s="37"/>
      <c r="J399" s="81"/>
      <c r="K399" s="81"/>
      <c r="L399" s="100">
        <f t="shared" si="98"/>
        <v>0</v>
      </c>
      <c r="M399" s="81"/>
      <c r="N399" s="100">
        <f t="shared" si="99"/>
        <v>298.22754098852141</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983</v>
      </c>
      <c r="G401" s="13"/>
      <c r="I401" t="s">
        <v>156</v>
      </c>
      <c r="AQ401" s="3"/>
    </row>
    <row r="402" spans="5:43" x14ac:dyDescent="0.3">
      <c r="E402" s="32"/>
      <c r="F402" s="78" t="s">
        <v>249</v>
      </c>
      <c r="G402" s="78" t="s">
        <v>209</v>
      </c>
      <c r="H402" s="23"/>
      <c r="I402" s="23"/>
      <c r="J402" s="83"/>
      <c r="K402" s="83"/>
      <c r="L402" s="126">
        <f t="shared" ref="L402:L408" si="100">(1 - L324) * L170</f>
        <v>234.4761502563108</v>
      </c>
      <c r="M402" s="83"/>
      <c r="N402" s="126">
        <f t="shared" ref="N402:P408" si="101">(1 - N324) * N170</f>
        <v>3508.9577998971408</v>
      </c>
      <c r="O402" s="126">
        <f t="shared" si="101"/>
        <v>82.34897144150905</v>
      </c>
      <c r="P402" s="126">
        <f t="shared" si="101"/>
        <v>2690.1400255361696</v>
      </c>
      <c r="Q402" s="83"/>
      <c r="R402" s="83"/>
      <c r="S402" s="83"/>
      <c r="T402" s="83"/>
      <c r="U402" s="83"/>
      <c r="V402" s="83"/>
      <c r="W402" s="83"/>
      <c r="X402" s="83"/>
      <c r="Y402" s="83"/>
      <c r="AQ402" s="3"/>
    </row>
    <row r="403" spans="5:43" x14ac:dyDescent="0.3">
      <c r="E403" s="32"/>
      <c r="F403" s="72" t="s">
        <v>250</v>
      </c>
      <c r="G403" s="72" t="s">
        <v>209</v>
      </c>
      <c r="J403" s="331"/>
      <c r="K403" s="331"/>
      <c r="L403" s="330">
        <f t="shared" si="100"/>
        <v>1007.7562827908849</v>
      </c>
      <c r="M403" s="331"/>
      <c r="N403" s="330">
        <f t="shared" si="101"/>
        <v>12977.698628758042</v>
      </c>
      <c r="O403" s="330">
        <f t="shared" si="101"/>
        <v>313.20109599338741</v>
      </c>
      <c r="P403" s="330">
        <f t="shared" si="101"/>
        <v>9510.2281073615795</v>
      </c>
      <c r="Q403" s="331"/>
      <c r="R403" s="331"/>
      <c r="S403" s="331"/>
      <c r="T403" s="331"/>
      <c r="U403" s="331"/>
      <c r="V403" s="331"/>
      <c r="W403" s="331"/>
      <c r="X403" s="331"/>
      <c r="Y403" s="331"/>
      <c r="AQ403" s="3"/>
    </row>
    <row r="404" spans="5:43" x14ac:dyDescent="0.3">
      <c r="E404" s="32"/>
      <c r="F404" s="72" t="s">
        <v>251</v>
      </c>
      <c r="G404" s="72" t="s">
        <v>209</v>
      </c>
      <c r="J404" s="331"/>
      <c r="K404" s="331"/>
      <c r="L404" s="330">
        <f t="shared" si="100"/>
        <v>911.06640744684012</v>
      </c>
      <c r="M404" s="331"/>
      <c r="N404" s="330">
        <f t="shared" si="101"/>
        <v>16389.149193787893</v>
      </c>
      <c r="O404" s="330">
        <f t="shared" si="101"/>
        <v>450.36249422537759</v>
      </c>
      <c r="P404" s="330">
        <f t="shared" si="101"/>
        <v>14761.64739671162</v>
      </c>
      <c r="Q404" s="331"/>
      <c r="R404" s="331"/>
      <c r="S404" s="331"/>
      <c r="T404" s="331"/>
      <c r="U404" s="331"/>
      <c r="V404" s="331"/>
      <c r="W404" s="331"/>
      <c r="X404" s="331"/>
      <c r="Y404" s="331"/>
      <c r="AQ404" s="3"/>
    </row>
    <row r="405" spans="5:43" x14ac:dyDescent="0.3">
      <c r="E405" s="32"/>
      <c r="F405" s="72" t="s">
        <v>214</v>
      </c>
      <c r="G405" s="72" t="s">
        <v>214</v>
      </c>
      <c r="J405" s="331"/>
      <c r="K405" s="331"/>
      <c r="L405" s="330">
        <f t="shared" si="100"/>
        <v>377.942580962813</v>
      </c>
      <c r="M405" s="331"/>
      <c r="N405" s="330">
        <f t="shared" si="101"/>
        <v>104.56187055265111</v>
      </c>
      <c r="O405" s="330">
        <f t="shared" si="101"/>
        <v>2.2751576805643072</v>
      </c>
      <c r="P405" s="330">
        <f t="shared" si="101"/>
        <v>14.518896271060834</v>
      </c>
      <c r="Q405" s="331"/>
      <c r="R405" s="331"/>
      <c r="S405" s="331"/>
      <c r="T405" s="331"/>
      <c r="U405" s="331"/>
      <c r="V405" s="331"/>
      <c r="W405" s="331"/>
      <c r="X405" s="331"/>
      <c r="Y405" s="331"/>
      <c r="AQ405" s="3"/>
    </row>
    <row r="406" spans="5:43" x14ac:dyDescent="0.3">
      <c r="E406" s="32"/>
      <c r="F406" s="72" t="s">
        <v>252</v>
      </c>
      <c r="G406" s="72" t="s">
        <v>253</v>
      </c>
      <c r="J406" s="331"/>
      <c r="K406" s="331"/>
      <c r="L406" s="330">
        <f t="shared" si="100"/>
        <v>0</v>
      </c>
      <c r="M406" s="331"/>
      <c r="N406" s="330">
        <f t="shared" si="101"/>
        <v>26176.80925766339</v>
      </c>
      <c r="O406" s="330">
        <f t="shared" si="101"/>
        <v>444.80817327000381</v>
      </c>
      <c r="P406" s="330">
        <f t="shared" si="101"/>
        <v>16991.877077879602</v>
      </c>
      <c r="Q406" s="331"/>
      <c r="R406" s="331"/>
      <c r="S406" s="331"/>
      <c r="T406" s="331"/>
      <c r="U406" s="331"/>
      <c r="V406" s="331"/>
      <c r="W406" s="331"/>
      <c r="X406" s="331"/>
      <c r="Y406" s="331"/>
      <c r="AQ406" s="3"/>
    </row>
    <row r="407" spans="5:43" x14ac:dyDescent="0.3">
      <c r="E407" s="32"/>
      <c r="F407" s="72" t="s">
        <v>254</v>
      </c>
      <c r="G407" s="72" t="s">
        <v>253</v>
      </c>
      <c r="J407" s="331"/>
      <c r="K407" s="331"/>
      <c r="L407" s="330">
        <f t="shared" si="100"/>
        <v>0</v>
      </c>
      <c r="M407" s="331"/>
      <c r="N407" s="330">
        <f t="shared" si="101"/>
        <v>63.666713007499254</v>
      </c>
      <c r="O407" s="330">
        <f t="shared" si="101"/>
        <v>1.539396723813286</v>
      </c>
      <c r="P407" s="330">
        <f t="shared" si="101"/>
        <v>7.7713287791298296</v>
      </c>
      <c r="Q407" s="331"/>
      <c r="R407" s="331"/>
      <c r="S407" s="331"/>
      <c r="T407" s="331"/>
      <c r="U407" s="331"/>
      <c r="V407" s="331"/>
      <c r="W407" s="331"/>
      <c r="X407" s="331"/>
      <c r="Y407" s="331"/>
      <c r="AQ407" s="3"/>
    </row>
    <row r="408" spans="5:43" x14ac:dyDescent="0.3">
      <c r="E408" s="32"/>
      <c r="F408" s="80" t="s">
        <v>255</v>
      </c>
      <c r="G408" s="80" t="s">
        <v>256</v>
      </c>
      <c r="H408" s="37"/>
      <c r="I408" s="37"/>
      <c r="J408" s="81"/>
      <c r="K408" s="81"/>
      <c r="L408" s="100">
        <f t="shared" si="100"/>
        <v>0</v>
      </c>
      <c r="M408" s="81"/>
      <c r="N408" s="100">
        <f t="shared" si="101"/>
        <v>2267.1251605262364</v>
      </c>
      <c r="O408" s="100">
        <f t="shared" si="101"/>
        <v>59.960986598718804</v>
      </c>
      <c r="P408" s="100">
        <f t="shared" si="101"/>
        <v>717.68305939906486</v>
      </c>
      <c r="Q408" s="81"/>
      <c r="R408" s="81"/>
      <c r="S408" s="81"/>
      <c r="T408" s="81"/>
      <c r="U408" s="81"/>
      <c r="V408" s="81"/>
      <c r="W408" s="81"/>
      <c r="X408" s="81"/>
      <c r="Y408" s="81"/>
      <c r="AQ408" s="3"/>
    </row>
    <row r="409" spans="5:43" x14ac:dyDescent="0.3">
      <c r="AQ409" s="3"/>
    </row>
    <row r="410" spans="5:43" x14ac:dyDescent="0.3">
      <c r="E410" s="32" t="s">
        <v>984</v>
      </c>
      <c r="G410" s="13"/>
      <c r="I410" t="s">
        <v>156</v>
      </c>
      <c r="AQ410" s="3"/>
    </row>
    <row r="411" spans="5:43" x14ac:dyDescent="0.3">
      <c r="E411" s="32"/>
      <c r="F411" s="78" t="s">
        <v>249</v>
      </c>
      <c r="G411" s="78" t="s">
        <v>209</v>
      </c>
      <c r="H411" s="23"/>
      <c r="I411" s="23"/>
      <c r="J411" s="83"/>
      <c r="K411" s="83"/>
      <c r="L411" s="126">
        <f t="shared" ref="L411:L417" si="102">L76+L393+L402</f>
        <v>46676.046507125699</v>
      </c>
      <c r="M411" s="83"/>
      <c r="N411" s="126">
        <f t="shared" ref="N411:P417" si="103">N76+N393+N402</f>
        <v>102671.76548146681</v>
      </c>
      <c r="O411" s="126">
        <f t="shared" si="103"/>
        <v>827.41727713649141</v>
      </c>
      <c r="P411" s="126">
        <f t="shared" si="103"/>
        <v>158051.36847479813</v>
      </c>
      <c r="Q411" s="83"/>
      <c r="R411" s="83"/>
      <c r="S411" s="83"/>
      <c r="T411" s="83"/>
      <c r="U411" s="83"/>
      <c r="V411" s="83"/>
      <c r="W411" s="83"/>
      <c r="X411" s="83"/>
      <c r="Y411" s="83"/>
      <c r="AQ411" s="3"/>
    </row>
    <row r="412" spans="5:43" x14ac:dyDescent="0.3">
      <c r="E412" s="32"/>
      <c r="F412" s="72" t="s">
        <v>250</v>
      </c>
      <c r="G412" s="72" t="s">
        <v>209</v>
      </c>
      <c r="J412" s="331"/>
      <c r="K412" s="331"/>
      <c r="L412" s="330">
        <f t="shared" si="102"/>
        <v>192241.89415236498</v>
      </c>
      <c r="M412" s="331"/>
      <c r="N412" s="330">
        <f t="shared" si="103"/>
        <v>432616.71030426375</v>
      </c>
      <c r="O412" s="330">
        <f t="shared" si="103"/>
        <v>3212.677530736129</v>
      </c>
      <c r="P412" s="330">
        <f t="shared" si="103"/>
        <v>603955.62003774091</v>
      </c>
      <c r="Q412" s="331"/>
      <c r="R412" s="331"/>
      <c r="S412" s="331"/>
      <c r="T412" s="331"/>
      <c r="U412" s="331"/>
      <c r="V412" s="331"/>
      <c r="W412" s="331"/>
      <c r="X412" s="331"/>
      <c r="Y412" s="331"/>
      <c r="AQ412" s="3"/>
    </row>
    <row r="413" spans="5:43" x14ac:dyDescent="0.3">
      <c r="E413" s="32"/>
      <c r="F413" s="72" t="s">
        <v>251</v>
      </c>
      <c r="G413" s="72" t="s">
        <v>209</v>
      </c>
      <c r="J413" s="331"/>
      <c r="K413" s="331"/>
      <c r="L413" s="330">
        <f t="shared" si="102"/>
        <v>210925.63396306807</v>
      </c>
      <c r="M413" s="331"/>
      <c r="N413" s="330">
        <f t="shared" si="103"/>
        <v>474042.17267352535</v>
      </c>
      <c r="O413" s="330">
        <f t="shared" si="103"/>
        <v>3692.999610045295</v>
      </c>
      <c r="P413" s="330">
        <f t="shared" si="103"/>
        <v>861996.42688412301</v>
      </c>
      <c r="Q413" s="331"/>
      <c r="R413" s="331"/>
      <c r="S413" s="331"/>
      <c r="T413" s="331"/>
      <c r="U413" s="331"/>
      <c r="V413" s="331"/>
      <c r="W413" s="331"/>
      <c r="X413" s="331"/>
      <c r="Y413" s="331"/>
      <c r="AQ413" s="3"/>
    </row>
    <row r="414" spans="5:43" x14ac:dyDescent="0.3">
      <c r="E414" s="32"/>
      <c r="F414" s="72" t="s">
        <v>214</v>
      </c>
      <c r="G414" s="72" t="s">
        <v>214</v>
      </c>
      <c r="J414" s="331"/>
      <c r="K414" s="331"/>
      <c r="L414" s="330">
        <f t="shared" si="102"/>
        <v>58543.104463812582</v>
      </c>
      <c r="M414" s="331"/>
      <c r="N414" s="330">
        <f t="shared" si="103"/>
        <v>5776.8642447389366</v>
      </c>
      <c r="O414" s="330">
        <f t="shared" si="103"/>
        <v>39.234098411902103</v>
      </c>
      <c r="P414" s="330">
        <f t="shared" si="103"/>
        <v>1078.5926528555271</v>
      </c>
      <c r="Q414" s="331"/>
      <c r="R414" s="331"/>
      <c r="S414" s="331"/>
      <c r="T414" s="331"/>
      <c r="U414" s="331"/>
      <c r="V414" s="331"/>
      <c r="W414" s="331"/>
      <c r="X414" s="331"/>
      <c r="Y414" s="331"/>
      <c r="AQ414" s="3"/>
    </row>
    <row r="415" spans="5:43" x14ac:dyDescent="0.3">
      <c r="E415" s="32"/>
      <c r="F415" s="72" t="s">
        <v>252</v>
      </c>
      <c r="G415" s="72" t="s">
        <v>253</v>
      </c>
      <c r="J415" s="331"/>
      <c r="K415" s="331"/>
      <c r="L415" s="330">
        <f t="shared" si="102"/>
        <v>0</v>
      </c>
      <c r="M415" s="331"/>
      <c r="N415" s="330">
        <f t="shared" si="103"/>
        <v>691945.21249136864</v>
      </c>
      <c r="O415" s="330">
        <f t="shared" si="103"/>
        <v>5377.3833447403167</v>
      </c>
      <c r="P415" s="330">
        <f t="shared" si="103"/>
        <v>709350.89794537507</v>
      </c>
      <c r="Q415" s="331"/>
      <c r="R415" s="331"/>
      <c r="S415" s="331"/>
      <c r="T415" s="331"/>
      <c r="U415" s="331"/>
      <c r="V415" s="331"/>
      <c r="W415" s="331"/>
      <c r="X415" s="331"/>
      <c r="Y415" s="331"/>
      <c r="AQ415" s="3"/>
    </row>
    <row r="416" spans="5:43" x14ac:dyDescent="0.3">
      <c r="E416" s="32"/>
      <c r="F416" s="72" t="s">
        <v>254</v>
      </c>
      <c r="G416" s="72" t="s">
        <v>253</v>
      </c>
      <c r="J416" s="331"/>
      <c r="K416" s="331"/>
      <c r="L416" s="330">
        <f t="shared" si="102"/>
        <v>0</v>
      </c>
      <c r="M416" s="331"/>
      <c r="N416" s="330">
        <f t="shared" si="103"/>
        <v>11377.003223657282</v>
      </c>
      <c r="O416" s="330">
        <f t="shared" si="103"/>
        <v>29.411121801525617</v>
      </c>
      <c r="P416" s="330">
        <f t="shared" si="103"/>
        <v>8984.3645326924725</v>
      </c>
      <c r="Q416" s="331"/>
      <c r="R416" s="331"/>
      <c r="S416" s="331"/>
      <c r="T416" s="331"/>
      <c r="U416" s="331"/>
      <c r="V416" s="331"/>
      <c r="W416" s="331"/>
      <c r="X416" s="331"/>
      <c r="Y416" s="331"/>
      <c r="AQ416" s="3"/>
    </row>
    <row r="417" spans="3:43" x14ac:dyDescent="0.3">
      <c r="E417" s="32"/>
      <c r="F417" s="80" t="s">
        <v>255</v>
      </c>
      <c r="G417" s="80" t="s">
        <v>256</v>
      </c>
      <c r="H417" s="37"/>
      <c r="I417" s="37"/>
      <c r="J417" s="81"/>
      <c r="K417" s="81"/>
      <c r="L417" s="100">
        <f t="shared" si="102"/>
        <v>0</v>
      </c>
      <c r="M417" s="81"/>
      <c r="N417" s="100">
        <f t="shared" si="103"/>
        <v>106675.81625138328</v>
      </c>
      <c r="O417" s="100">
        <f t="shared" si="103"/>
        <v>1029.7417550719497</v>
      </c>
      <c r="P417" s="100">
        <f t="shared" si="103"/>
        <v>134243.83502637761</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979</v>
      </c>
      <c r="G421" s="13"/>
      <c r="I421" t="s">
        <v>156</v>
      </c>
      <c r="AQ421" s="3"/>
    </row>
    <row r="422" spans="3:43" x14ac:dyDescent="0.3">
      <c r="E422" s="32"/>
      <c r="F422" s="78" t="s">
        <v>249</v>
      </c>
      <c r="G422" s="78" t="s">
        <v>209</v>
      </c>
      <c r="H422" s="23"/>
      <c r="I422" s="23"/>
      <c r="J422" s="83"/>
      <c r="K422" s="83"/>
      <c r="L422" s="126">
        <f t="shared" ref="L422:L428" si="104">(1 - L315) * L132</f>
        <v>75.221284728365774</v>
      </c>
      <c r="M422" s="83"/>
      <c r="N422" s="126">
        <f t="shared" ref="N422:P428" si="105">(1 - N315) * N132</f>
        <v>304.51471051444372</v>
      </c>
      <c r="O422" s="126">
        <f t="shared" si="105"/>
        <v>0</v>
      </c>
      <c r="P422" s="126">
        <f t="shared" si="105"/>
        <v>0</v>
      </c>
      <c r="Q422" s="83"/>
      <c r="R422" s="83"/>
      <c r="S422" s="83"/>
      <c r="T422" s="83"/>
      <c r="U422" s="83"/>
      <c r="V422" s="83"/>
      <c r="W422" s="83"/>
      <c r="X422" s="83"/>
      <c r="Y422" s="83"/>
      <c r="AQ422" s="3"/>
    </row>
    <row r="423" spans="3:43" x14ac:dyDescent="0.3">
      <c r="E423" s="32"/>
      <c r="F423" s="72" t="s">
        <v>250</v>
      </c>
      <c r="G423" s="72" t="s">
        <v>209</v>
      </c>
      <c r="J423" s="331"/>
      <c r="K423" s="331"/>
      <c r="L423" s="330">
        <f t="shared" si="104"/>
        <v>325.74323505303175</v>
      </c>
      <c r="M423" s="331"/>
      <c r="N423" s="330">
        <f t="shared" si="105"/>
        <v>1148.7325781893194</v>
      </c>
      <c r="O423" s="330">
        <f t="shared" si="105"/>
        <v>0</v>
      </c>
      <c r="P423" s="330">
        <f t="shared" si="105"/>
        <v>0</v>
      </c>
      <c r="Q423" s="331"/>
      <c r="R423" s="331"/>
      <c r="S423" s="331"/>
      <c r="T423" s="331"/>
      <c r="U423" s="331"/>
      <c r="V423" s="331"/>
      <c r="W423" s="331"/>
      <c r="X423" s="331"/>
      <c r="Y423" s="331"/>
      <c r="AQ423" s="3"/>
    </row>
    <row r="424" spans="3:43" x14ac:dyDescent="0.3">
      <c r="E424" s="32"/>
      <c r="F424" s="72" t="s">
        <v>251</v>
      </c>
      <c r="G424" s="72" t="s">
        <v>209</v>
      </c>
      <c r="J424" s="331"/>
      <c r="K424" s="331"/>
      <c r="L424" s="330">
        <f t="shared" si="104"/>
        <v>306.22436645476904</v>
      </c>
      <c r="M424" s="331"/>
      <c r="N424" s="330">
        <f t="shared" si="105"/>
        <v>1450.959419068831</v>
      </c>
      <c r="O424" s="330">
        <f t="shared" si="105"/>
        <v>0</v>
      </c>
      <c r="P424" s="330">
        <f t="shared" si="105"/>
        <v>0</v>
      </c>
      <c r="Q424" s="331"/>
      <c r="R424" s="331"/>
      <c r="S424" s="331"/>
      <c r="T424" s="331"/>
      <c r="U424" s="331"/>
      <c r="V424" s="331"/>
      <c r="W424" s="331"/>
      <c r="X424" s="331"/>
      <c r="Y424" s="331"/>
      <c r="AQ424" s="3"/>
    </row>
    <row r="425" spans="3:43" x14ac:dyDescent="0.3">
      <c r="E425" s="32"/>
      <c r="F425" s="72" t="s">
        <v>214</v>
      </c>
      <c r="G425" s="72" t="s">
        <v>214</v>
      </c>
      <c r="J425" s="331"/>
      <c r="K425" s="331"/>
      <c r="L425" s="330">
        <f t="shared" si="104"/>
        <v>77.96555891591639</v>
      </c>
      <c r="M425" s="331"/>
      <c r="N425" s="330">
        <f t="shared" si="105"/>
        <v>8.1539457752857469</v>
      </c>
      <c r="O425" s="330">
        <f t="shared" si="105"/>
        <v>0</v>
      </c>
      <c r="P425" s="330">
        <f t="shared" si="105"/>
        <v>0</v>
      </c>
      <c r="Q425" s="331"/>
      <c r="R425" s="331"/>
      <c r="S425" s="331"/>
      <c r="T425" s="331"/>
      <c r="U425" s="331"/>
      <c r="V425" s="331"/>
      <c r="W425" s="331"/>
      <c r="X425" s="331"/>
      <c r="Y425" s="331"/>
      <c r="AQ425" s="3"/>
    </row>
    <row r="426" spans="3:43" x14ac:dyDescent="0.3">
      <c r="E426" s="32"/>
      <c r="F426" s="72" t="s">
        <v>252</v>
      </c>
      <c r="G426" s="72" t="s">
        <v>253</v>
      </c>
      <c r="J426" s="331"/>
      <c r="K426" s="331"/>
      <c r="L426" s="330">
        <f t="shared" si="104"/>
        <v>0</v>
      </c>
      <c r="M426" s="331"/>
      <c r="N426" s="330">
        <f t="shared" si="105"/>
        <v>2013.9764189593041</v>
      </c>
      <c r="O426" s="330">
        <f t="shared" si="105"/>
        <v>0</v>
      </c>
      <c r="P426" s="330">
        <f t="shared" si="105"/>
        <v>0</v>
      </c>
      <c r="Q426" s="331"/>
      <c r="R426" s="331"/>
      <c r="S426" s="331"/>
      <c r="T426" s="331"/>
      <c r="U426" s="331"/>
      <c r="V426" s="331"/>
      <c r="W426" s="331"/>
      <c r="X426" s="331"/>
      <c r="Y426" s="331"/>
      <c r="AQ426" s="3"/>
    </row>
    <row r="427" spans="3:43" x14ac:dyDescent="0.3">
      <c r="E427" s="32"/>
      <c r="F427" s="72" t="s">
        <v>254</v>
      </c>
      <c r="G427" s="72" t="s">
        <v>253</v>
      </c>
      <c r="J427" s="331"/>
      <c r="K427" s="331"/>
      <c r="L427" s="330">
        <f t="shared" si="104"/>
        <v>0</v>
      </c>
      <c r="M427" s="331"/>
      <c r="N427" s="330">
        <f t="shared" si="105"/>
        <v>4.0266430413648262</v>
      </c>
      <c r="O427" s="330">
        <f t="shared" si="105"/>
        <v>0</v>
      </c>
      <c r="P427" s="330">
        <f t="shared" si="105"/>
        <v>0</v>
      </c>
      <c r="Q427" s="331"/>
      <c r="R427" s="331"/>
      <c r="S427" s="331"/>
      <c r="T427" s="331"/>
      <c r="U427" s="331"/>
      <c r="V427" s="331"/>
      <c r="W427" s="331"/>
      <c r="X427" s="331"/>
      <c r="Y427" s="331"/>
      <c r="AQ427" s="3"/>
    </row>
    <row r="428" spans="3:43" x14ac:dyDescent="0.3">
      <c r="E428" s="32"/>
      <c r="F428" s="80" t="s">
        <v>255</v>
      </c>
      <c r="G428" s="80" t="s">
        <v>256</v>
      </c>
      <c r="H428" s="37"/>
      <c r="I428" s="37"/>
      <c r="J428" s="81"/>
      <c r="K428" s="81"/>
      <c r="L428" s="100">
        <f t="shared" si="104"/>
        <v>0</v>
      </c>
      <c r="M428" s="81"/>
      <c r="N428" s="100">
        <f t="shared" si="105"/>
        <v>189.8291749787486</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980</v>
      </c>
      <c r="G430" s="13"/>
      <c r="I430" t="s">
        <v>156</v>
      </c>
      <c r="AQ430" s="3"/>
    </row>
    <row r="431" spans="3:43" x14ac:dyDescent="0.3">
      <c r="E431" s="32"/>
      <c r="F431" s="78" t="s">
        <v>249</v>
      </c>
      <c r="G431" s="78" t="s">
        <v>209</v>
      </c>
      <c r="H431" s="23"/>
      <c r="I431" s="23"/>
      <c r="J431" s="83"/>
      <c r="K431" s="83"/>
      <c r="L431" s="126">
        <f t="shared" ref="L431:L437" si="106">(1 - L324) * L179</f>
        <v>290.22087310736072</v>
      </c>
      <c r="M431" s="83"/>
      <c r="N431" s="126">
        <f t="shared" ref="N431:P437" si="107">(1 - N324) * N179</f>
        <v>2233.5380628556936</v>
      </c>
      <c r="O431" s="126">
        <f t="shared" si="107"/>
        <v>174.31106196039116</v>
      </c>
      <c r="P431" s="126">
        <f t="shared" si="107"/>
        <v>1904.6108447593037</v>
      </c>
      <c r="Q431" s="83"/>
      <c r="R431" s="83"/>
      <c r="S431" s="83"/>
      <c r="T431" s="83"/>
      <c r="U431" s="83"/>
      <c r="V431" s="83"/>
      <c r="W431" s="83"/>
      <c r="X431" s="83"/>
      <c r="Y431" s="83"/>
      <c r="AQ431" s="3"/>
    </row>
    <row r="432" spans="3:43" x14ac:dyDescent="0.3">
      <c r="E432" s="32"/>
      <c r="F432" s="72" t="s">
        <v>250</v>
      </c>
      <c r="G432" s="72" t="s">
        <v>209</v>
      </c>
      <c r="J432" s="331"/>
      <c r="K432" s="331"/>
      <c r="L432" s="330">
        <f t="shared" si="106"/>
        <v>1247.3418211246294</v>
      </c>
      <c r="M432" s="331"/>
      <c r="N432" s="330">
        <f t="shared" si="107"/>
        <v>8260.6248090105018</v>
      </c>
      <c r="O432" s="330">
        <f t="shared" si="107"/>
        <v>662.9641475066046</v>
      </c>
      <c r="P432" s="330">
        <f t="shared" si="107"/>
        <v>6733.2121813270551</v>
      </c>
      <c r="Q432" s="331"/>
      <c r="R432" s="331"/>
      <c r="S432" s="331"/>
      <c r="T432" s="331"/>
      <c r="U432" s="331"/>
      <c r="V432" s="331"/>
      <c r="W432" s="331"/>
      <c r="X432" s="331"/>
      <c r="Y432" s="331"/>
      <c r="AQ432" s="3"/>
    </row>
    <row r="433" spans="3:43" x14ac:dyDescent="0.3">
      <c r="E433" s="32"/>
      <c r="F433" s="72" t="s">
        <v>251</v>
      </c>
      <c r="G433" s="72" t="s">
        <v>209</v>
      </c>
      <c r="J433" s="331"/>
      <c r="K433" s="331"/>
      <c r="L433" s="330">
        <f t="shared" si="106"/>
        <v>1127.6647451733397</v>
      </c>
      <c r="M433" s="331"/>
      <c r="N433" s="330">
        <f t="shared" si="107"/>
        <v>10432.097115336923</v>
      </c>
      <c r="O433" s="330">
        <f t="shared" si="107"/>
        <v>953.29866616871391</v>
      </c>
      <c r="P433" s="330">
        <f t="shared" si="107"/>
        <v>10451.200848805734</v>
      </c>
      <c r="Q433" s="331"/>
      <c r="R433" s="331"/>
      <c r="S433" s="331"/>
      <c r="T433" s="331"/>
      <c r="U433" s="331"/>
      <c r="V433" s="331"/>
      <c r="W433" s="331"/>
      <c r="X433" s="331"/>
      <c r="Y433" s="331"/>
      <c r="AQ433" s="3"/>
    </row>
    <row r="434" spans="3:43" x14ac:dyDescent="0.3">
      <c r="E434" s="32"/>
      <c r="F434" s="72" t="s">
        <v>214</v>
      </c>
      <c r="G434" s="72" t="s">
        <v>214</v>
      </c>
      <c r="J434" s="331"/>
      <c r="K434" s="331"/>
      <c r="L434" s="330">
        <f t="shared" si="106"/>
        <v>187.65463693674761</v>
      </c>
      <c r="M434" s="331"/>
      <c r="N434" s="330">
        <f t="shared" si="107"/>
        <v>42.474777611707474</v>
      </c>
      <c r="O434" s="330">
        <f t="shared" si="107"/>
        <v>2.9492784748055834</v>
      </c>
      <c r="P434" s="330">
        <f t="shared" si="107"/>
        <v>4.6449342476382363</v>
      </c>
      <c r="Q434" s="331"/>
      <c r="R434" s="331"/>
      <c r="S434" s="331"/>
      <c r="T434" s="331"/>
      <c r="U434" s="331"/>
      <c r="V434" s="331"/>
      <c r="W434" s="331"/>
      <c r="X434" s="331"/>
      <c r="Y434" s="331"/>
      <c r="AQ434" s="3"/>
    </row>
    <row r="435" spans="3:43" x14ac:dyDescent="0.3">
      <c r="E435" s="32"/>
      <c r="F435" s="72" t="s">
        <v>252</v>
      </c>
      <c r="G435" s="72" t="s">
        <v>253</v>
      </c>
      <c r="J435" s="331"/>
      <c r="K435" s="331"/>
      <c r="L435" s="330">
        <f t="shared" si="106"/>
        <v>0</v>
      </c>
      <c r="M435" s="331"/>
      <c r="N435" s="330">
        <f t="shared" si="107"/>
        <v>16509.502954435073</v>
      </c>
      <c r="O435" s="330">
        <f t="shared" si="107"/>
        <v>845.47259560453313</v>
      </c>
      <c r="P435" s="330">
        <f t="shared" si="107"/>
        <v>11368.853832590108</v>
      </c>
      <c r="Q435" s="331"/>
      <c r="R435" s="331"/>
      <c r="S435" s="331"/>
      <c r="T435" s="331"/>
      <c r="U435" s="331"/>
      <c r="V435" s="331"/>
      <c r="W435" s="331"/>
      <c r="X435" s="331"/>
      <c r="Y435" s="331"/>
      <c r="AQ435" s="3"/>
    </row>
    <row r="436" spans="3:43" x14ac:dyDescent="0.3">
      <c r="E436" s="32"/>
      <c r="F436" s="72" t="s">
        <v>254</v>
      </c>
      <c r="G436" s="72" t="s">
        <v>253</v>
      </c>
      <c r="J436" s="331"/>
      <c r="K436" s="331"/>
      <c r="L436" s="330">
        <f t="shared" si="106"/>
        <v>0</v>
      </c>
      <c r="M436" s="331"/>
      <c r="N436" s="330">
        <f t="shared" si="107"/>
        <v>40.154083568789524</v>
      </c>
      <c r="O436" s="330">
        <f t="shared" si="107"/>
        <v>2.9260202980971233</v>
      </c>
      <c r="P436" s="330">
        <f t="shared" si="107"/>
        <v>5.199608058014106</v>
      </c>
      <c r="Q436" s="331"/>
      <c r="R436" s="331"/>
      <c r="S436" s="331"/>
      <c r="T436" s="331"/>
      <c r="U436" s="331"/>
      <c r="V436" s="331"/>
      <c r="W436" s="331"/>
      <c r="X436" s="331"/>
      <c r="Y436" s="331"/>
      <c r="AQ436" s="3"/>
    </row>
    <row r="437" spans="3:43" x14ac:dyDescent="0.3">
      <c r="E437" s="32"/>
      <c r="F437" s="80" t="s">
        <v>255</v>
      </c>
      <c r="G437" s="80" t="s">
        <v>256</v>
      </c>
      <c r="H437" s="37"/>
      <c r="I437" s="37"/>
      <c r="J437" s="81"/>
      <c r="K437" s="81"/>
      <c r="L437" s="100">
        <f t="shared" si="106"/>
        <v>0</v>
      </c>
      <c r="M437" s="81"/>
      <c r="N437" s="100">
        <f t="shared" si="107"/>
        <v>1443.0810024109173</v>
      </c>
      <c r="O437" s="100">
        <f t="shared" si="107"/>
        <v>126.92160044329422</v>
      </c>
      <c r="P437" s="100">
        <f t="shared" si="107"/>
        <v>508.11739353941539</v>
      </c>
      <c r="Q437" s="81"/>
      <c r="R437" s="81"/>
      <c r="S437" s="81"/>
      <c r="T437" s="81"/>
      <c r="U437" s="81"/>
      <c r="V437" s="81"/>
      <c r="W437" s="81"/>
      <c r="X437" s="81"/>
      <c r="Y437" s="81"/>
      <c r="AQ437" s="3"/>
    </row>
    <row r="438" spans="3:43" x14ac:dyDescent="0.3">
      <c r="AQ438" s="3"/>
    </row>
    <row r="439" spans="3:43" x14ac:dyDescent="0.3">
      <c r="E439" s="32" t="s">
        <v>981</v>
      </c>
      <c r="G439" s="13"/>
      <c r="I439" t="s">
        <v>156</v>
      </c>
      <c r="AQ439" s="3"/>
    </row>
    <row r="440" spans="3:43" x14ac:dyDescent="0.3">
      <c r="E440" s="32"/>
      <c r="F440" s="78" t="s">
        <v>249</v>
      </c>
      <c r="G440" s="78" t="s">
        <v>209</v>
      </c>
      <c r="H440" s="23"/>
      <c r="I440" s="23"/>
      <c r="J440" s="83"/>
      <c r="K440" s="83"/>
      <c r="L440" s="126">
        <f t="shared" ref="L440:L446" si="108">L85+L422+L431</f>
        <v>57772.882042331315</v>
      </c>
      <c r="M440" s="83"/>
      <c r="N440" s="126">
        <f t="shared" ref="N440:P446" si="109">N85+N422+N431</f>
        <v>65353.107464037224</v>
      </c>
      <c r="O440" s="126">
        <f t="shared" si="109"/>
        <v>1751.4242344177856</v>
      </c>
      <c r="P440" s="126">
        <f t="shared" si="109"/>
        <v>111899.88163019577</v>
      </c>
      <c r="Q440" s="83"/>
      <c r="R440" s="83"/>
      <c r="S440" s="83"/>
      <c r="T440" s="83"/>
      <c r="U440" s="83"/>
      <c r="V440" s="83"/>
      <c r="W440" s="83"/>
      <c r="X440" s="83"/>
      <c r="Y440" s="83"/>
      <c r="AQ440" s="3"/>
    </row>
    <row r="441" spans="3:43" x14ac:dyDescent="0.3">
      <c r="E441" s="32"/>
      <c r="F441" s="72" t="s">
        <v>250</v>
      </c>
      <c r="G441" s="72" t="s">
        <v>209</v>
      </c>
      <c r="J441" s="331"/>
      <c r="K441" s="331"/>
      <c r="L441" s="330">
        <f t="shared" si="108"/>
        <v>237945.77959303799</v>
      </c>
      <c r="M441" s="331"/>
      <c r="N441" s="330">
        <f t="shared" si="109"/>
        <v>275371.19116117968</v>
      </c>
      <c r="O441" s="330">
        <f t="shared" si="109"/>
        <v>6800.3913384232519</v>
      </c>
      <c r="P441" s="330">
        <f t="shared" si="109"/>
        <v>427598.71707716974</v>
      </c>
      <c r="Q441" s="331"/>
      <c r="R441" s="331"/>
      <c r="S441" s="331"/>
      <c r="T441" s="331"/>
      <c r="U441" s="331"/>
      <c r="V441" s="331"/>
      <c r="W441" s="331"/>
      <c r="X441" s="331"/>
      <c r="Y441" s="331"/>
      <c r="AQ441" s="3"/>
    </row>
    <row r="442" spans="3:43" x14ac:dyDescent="0.3">
      <c r="E442" s="32"/>
      <c r="F442" s="72" t="s">
        <v>251</v>
      </c>
      <c r="G442" s="72" t="s">
        <v>209</v>
      </c>
      <c r="J442" s="331"/>
      <c r="K442" s="331"/>
      <c r="L442" s="330">
        <f t="shared" si="108"/>
        <v>261071.42062239494</v>
      </c>
      <c r="M442" s="331"/>
      <c r="N442" s="330">
        <f t="shared" si="109"/>
        <v>301739.51823990775</v>
      </c>
      <c r="O442" s="330">
        <f t="shared" si="109"/>
        <v>7817.1065476335152</v>
      </c>
      <c r="P442" s="330">
        <f t="shared" si="109"/>
        <v>610290.81282118452</v>
      </c>
      <c r="Q442" s="331"/>
      <c r="R442" s="331"/>
      <c r="S442" s="331"/>
      <c r="T442" s="331"/>
      <c r="U442" s="331"/>
      <c r="V442" s="331"/>
      <c r="W442" s="331"/>
      <c r="X442" s="331"/>
      <c r="Y442" s="331"/>
      <c r="AQ442" s="3"/>
    </row>
    <row r="443" spans="3:43" x14ac:dyDescent="0.3">
      <c r="E443" s="32"/>
      <c r="F443" s="72" t="s">
        <v>214</v>
      </c>
      <c r="G443" s="72" t="s">
        <v>214</v>
      </c>
      <c r="J443" s="331"/>
      <c r="K443" s="331"/>
      <c r="L443" s="330">
        <f t="shared" si="108"/>
        <v>29067.603299210616</v>
      </c>
      <c r="M443" s="331"/>
      <c r="N443" s="330">
        <f t="shared" si="109"/>
        <v>2346.6587082980363</v>
      </c>
      <c r="O443" s="330">
        <f t="shared" si="109"/>
        <v>50.859016459873096</v>
      </c>
      <c r="P443" s="330">
        <f t="shared" si="109"/>
        <v>345.06699813577211</v>
      </c>
      <c r="Q443" s="331"/>
      <c r="R443" s="331"/>
      <c r="S443" s="331"/>
      <c r="T443" s="331"/>
      <c r="U443" s="331"/>
      <c r="V443" s="331"/>
      <c r="W443" s="331"/>
      <c r="X443" s="331"/>
      <c r="Y443" s="331"/>
      <c r="AQ443" s="3"/>
    </row>
    <row r="444" spans="3:43" x14ac:dyDescent="0.3">
      <c r="E444" s="32"/>
      <c r="F444" s="72" t="s">
        <v>252</v>
      </c>
      <c r="G444" s="72" t="s">
        <v>253</v>
      </c>
      <c r="J444" s="331"/>
      <c r="K444" s="331"/>
      <c r="L444" s="330">
        <f t="shared" si="108"/>
        <v>0</v>
      </c>
      <c r="M444" s="331"/>
      <c r="N444" s="330">
        <f t="shared" si="109"/>
        <v>436404.27744604205</v>
      </c>
      <c r="O444" s="330">
        <f t="shared" si="109"/>
        <v>10221.10322437453</v>
      </c>
      <c r="P444" s="330">
        <f t="shared" si="109"/>
        <v>474609.52299708326</v>
      </c>
      <c r="Q444" s="331"/>
      <c r="R444" s="331"/>
      <c r="S444" s="331"/>
      <c r="T444" s="331"/>
      <c r="U444" s="331"/>
      <c r="V444" s="331"/>
      <c r="W444" s="331"/>
      <c r="X444" s="331"/>
      <c r="Y444" s="331"/>
      <c r="AQ444" s="3"/>
    </row>
    <row r="445" spans="3:43" x14ac:dyDescent="0.3">
      <c r="E445" s="32"/>
      <c r="F445" s="72" t="s">
        <v>254</v>
      </c>
      <c r="G445" s="72" t="s">
        <v>253</v>
      </c>
      <c r="J445" s="331"/>
      <c r="K445" s="331"/>
      <c r="L445" s="330">
        <f t="shared" si="108"/>
        <v>0</v>
      </c>
      <c r="M445" s="331"/>
      <c r="N445" s="330">
        <f t="shared" si="109"/>
        <v>7175.3843825942813</v>
      </c>
      <c r="O445" s="330">
        <f t="shared" si="109"/>
        <v>55.903418559898618</v>
      </c>
      <c r="P445" s="330">
        <f t="shared" si="109"/>
        <v>6011.2209311976503</v>
      </c>
      <c r="Q445" s="331"/>
      <c r="R445" s="331"/>
      <c r="S445" s="331"/>
      <c r="T445" s="331"/>
      <c r="U445" s="331"/>
      <c r="V445" s="331"/>
      <c r="W445" s="331"/>
      <c r="X445" s="331"/>
      <c r="Y445" s="331"/>
      <c r="AQ445" s="3"/>
    </row>
    <row r="446" spans="3:43" x14ac:dyDescent="0.3">
      <c r="E446" s="32"/>
      <c r="F446" s="80" t="s">
        <v>255</v>
      </c>
      <c r="G446" s="80" t="s">
        <v>256</v>
      </c>
      <c r="H446" s="37"/>
      <c r="I446" s="37"/>
      <c r="J446" s="81"/>
      <c r="K446" s="81"/>
      <c r="L446" s="100">
        <f t="shared" si="108"/>
        <v>0</v>
      </c>
      <c r="M446" s="81"/>
      <c r="N446" s="100">
        <f t="shared" si="109"/>
        <v>67901.784396110103</v>
      </c>
      <c r="O446" s="100">
        <f t="shared" si="109"/>
        <v>2179.6918131398984</v>
      </c>
      <c r="P446" s="100">
        <f t="shared" si="109"/>
        <v>95044.221343964367</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976</v>
      </c>
      <c r="G450" s="13"/>
      <c r="I450" t="s">
        <v>156</v>
      </c>
      <c r="AQ450" s="3"/>
    </row>
    <row r="451" spans="3:43" x14ac:dyDescent="0.3">
      <c r="E451" s="32"/>
      <c r="F451" s="78" t="s">
        <v>249</v>
      </c>
      <c r="G451" s="78" t="s">
        <v>209</v>
      </c>
      <c r="H451" s="23"/>
      <c r="I451" s="23"/>
      <c r="J451" s="83"/>
      <c r="K451" s="83"/>
      <c r="L451" s="126">
        <f t="shared" ref="L451:L457" si="110">(1 - L315) * L141</f>
        <v>266.77016653327286</v>
      </c>
      <c r="M451" s="83"/>
      <c r="N451" s="126">
        <f t="shared" ref="N451:P457" si="111">(1 - N315) * N141</f>
        <v>531.19113308492319</v>
      </c>
      <c r="O451" s="126">
        <f t="shared" si="111"/>
        <v>0</v>
      </c>
      <c r="P451" s="126">
        <f t="shared" si="111"/>
        <v>0</v>
      </c>
      <c r="Q451" s="83"/>
      <c r="R451" s="83"/>
      <c r="S451" s="83"/>
      <c r="T451" s="83"/>
      <c r="U451" s="83"/>
      <c r="V451" s="83"/>
      <c r="W451" s="83"/>
      <c r="X451" s="83"/>
      <c r="Y451" s="83"/>
      <c r="AQ451" s="3"/>
    </row>
    <row r="452" spans="3:43" x14ac:dyDescent="0.3">
      <c r="E452" s="32"/>
      <c r="F452" s="72" t="s">
        <v>250</v>
      </c>
      <c r="G452" s="72" t="s">
        <v>209</v>
      </c>
      <c r="J452" s="331"/>
      <c r="K452" s="331"/>
      <c r="L452" s="330">
        <f t="shared" si="110"/>
        <v>1155.2392035842893</v>
      </c>
      <c r="M452" s="331"/>
      <c r="N452" s="330">
        <f t="shared" si="111"/>
        <v>2003.8327829518989</v>
      </c>
      <c r="O452" s="330">
        <f t="shared" si="111"/>
        <v>0</v>
      </c>
      <c r="P452" s="330">
        <f t="shared" si="111"/>
        <v>0</v>
      </c>
      <c r="Q452" s="331"/>
      <c r="R452" s="331"/>
      <c r="S452" s="331"/>
      <c r="T452" s="331"/>
      <c r="U452" s="331"/>
      <c r="V452" s="331"/>
      <c r="W452" s="331"/>
      <c r="X452" s="331"/>
      <c r="Y452" s="331"/>
      <c r="AQ452" s="3"/>
    </row>
    <row r="453" spans="3:43" x14ac:dyDescent="0.3">
      <c r="E453" s="32"/>
      <c r="F453" s="72" t="s">
        <v>251</v>
      </c>
      <c r="G453" s="72" t="s">
        <v>209</v>
      </c>
      <c r="J453" s="331"/>
      <c r="K453" s="331"/>
      <c r="L453" s="330">
        <f t="shared" si="110"/>
        <v>1086.016086147476</v>
      </c>
      <c r="M453" s="331"/>
      <c r="N453" s="330">
        <f t="shared" si="111"/>
        <v>2531.0329887621529</v>
      </c>
      <c r="O453" s="330">
        <f t="shared" si="111"/>
        <v>0</v>
      </c>
      <c r="P453" s="330">
        <f t="shared" si="111"/>
        <v>0</v>
      </c>
      <c r="Q453" s="331"/>
      <c r="R453" s="331"/>
      <c r="S453" s="331"/>
      <c r="T453" s="331"/>
      <c r="U453" s="331"/>
      <c r="V453" s="331"/>
      <c r="W453" s="331"/>
      <c r="X453" s="331"/>
      <c r="Y453" s="331"/>
      <c r="AQ453" s="3"/>
    </row>
    <row r="454" spans="3:43" x14ac:dyDescent="0.3">
      <c r="E454" s="32"/>
      <c r="F454" s="72" t="s">
        <v>214</v>
      </c>
      <c r="G454" s="72" t="s">
        <v>214</v>
      </c>
      <c r="J454" s="331"/>
      <c r="K454" s="331"/>
      <c r="L454" s="330">
        <f t="shared" si="110"/>
        <v>88.716103093605042</v>
      </c>
      <c r="M454" s="331"/>
      <c r="N454" s="330">
        <f t="shared" si="111"/>
        <v>7.7902805067771572</v>
      </c>
      <c r="O454" s="330">
        <f t="shared" si="111"/>
        <v>0</v>
      </c>
      <c r="P454" s="330">
        <f t="shared" si="111"/>
        <v>0</v>
      </c>
      <c r="Q454" s="331"/>
      <c r="R454" s="331"/>
      <c r="S454" s="331"/>
      <c r="T454" s="331"/>
      <c r="U454" s="331"/>
      <c r="V454" s="331"/>
      <c r="W454" s="331"/>
      <c r="X454" s="331"/>
      <c r="Y454" s="331"/>
      <c r="AQ454" s="3"/>
    </row>
    <row r="455" spans="3:43" x14ac:dyDescent="0.3">
      <c r="E455" s="32"/>
      <c r="F455" s="72" t="s">
        <v>252</v>
      </c>
      <c r="G455" s="72" t="s">
        <v>253</v>
      </c>
      <c r="J455" s="331"/>
      <c r="K455" s="331"/>
      <c r="L455" s="330">
        <f t="shared" si="110"/>
        <v>0</v>
      </c>
      <c r="M455" s="331"/>
      <c r="N455" s="330">
        <f t="shared" si="111"/>
        <v>3352.6895250333628</v>
      </c>
      <c r="O455" s="330">
        <f t="shared" si="111"/>
        <v>0</v>
      </c>
      <c r="P455" s="330">
        <f t="shared" si="111"/>
        <v>0</v>
      </c>
      <c r="Q455" s="331"/>
      <c r="R455" s="331"/>
      <c r="S455" s="331"/>
      <c r="T455" s="331"/>
      <c r="U455" s="331"/>
      <c r="V455" s="331"/>
      <c r="W455" s="331"/>
      <c r="X455" s="331"/>
      <c r="Y455" s="331"/>
      <c r="AQ455" s="3"/>
    </row>
    <row r="456" spans="3:43" x14ac:dyDescent="0.3">
      <c r="E456" s="32"/>
      <c r="F456" s="72" t="s">
        <v>254</v>
      </c>
      <c r="G456" s="72" t="s">
        <v>253</v>
      </c>
      <c r="J456" s="331"/>
      <c r="K456" s="331"/>
      <c r="L456" s="330">
        <f t="shared" si="110"/>
        <v>0</v>
      </c>
      <c r="M456" s="331"/>
      <c r="N456" s="330">
        <f t="shared" si="111"/>
        <v>6.7031986167982671</v>
      </c>
      <c r="O456" s="330">
        <f t="shared" si="111"/>
        <v>0</v>
      </c>
      <c r="P456" s="330">
        <f t="shared" si="111"/>
        <v>0</v>
      </c>
      <c r="Q456" s="331"/>
      <c r="R456" s="331"/>
      <c r="S456" s="331"/>
      <c r="T456" s="331"/>
      <c r="U456" s="331"/>
      <c r="V456" s="331"/>
      <c r="W456" s="331"/>
      <c r="X456" s="331"/>
      <c r="Y456" s="331"/>
      <c r="AQ456" s="3"/>
    </row>
    <row r="457" spans="3:43" x14ac:dyDescent="0.3">
      <c r="E457" s="32"/>
      <c r="F457" s="80" t="s">
        <v>255</v>
      </c>
      <c r="G457" s="80" t="s">
        <v>256</v>
      </c>
      <c r="H457" s="37"/>
      <c r="I457" s="37"/>
      <c r="J457" s="81"/>
      <c r="K457" s="81"/>
      <c r="L457" s="100">
        <f t="shared" si="110"/>
        <v>0</v>
      </c>
      <c r="M457" s="81"/>
      <c r="N457" s="100">
        <f t="shared" si="111"/>
        <v>331.13531487259559</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977</v>
      </c>
      <c r="G459" s="13"/>
      <c r="I459" t="s">
        <v>156</v>
      </c>
      <c r="AQ459" s="3"/>
    </row>
    <row r="460" spans="3:43" x14ac:dyDescent="0.3">
      <c r="E460" s="32"/>
      <c r="F460" s="78" t="s">
        <v>249</v>
      </c>
      <c r="G460" s="78" t="s">
        <v>209</v>
      </c>
      <c r="H460" s="23"/>
      <c r="I460" s="23"/>
      <c r="J460" s="83"/>
      <c r="K460" s="83"/>
      <c r="L460" s="126">
        <f t="shared" ref="L460:L466" si="112">(1 - L324) * L188</f>
        <v>1029.2601479736056</v>
      </c>
      <c r="M460" s="83"/>
      <c r="N460" s="126">
        <f t="shared" ref="N460:P466" si="113">(1 - N324) * N188</f>
        <v>3896.1520525306287</v>
      </c>
      <c r="O460" s="126">
        <f t="shared" si="113"/>
        <v>2505.1871548407053</v>
      </c>
      <c r="P460" s="126">
        <f t="shared" si="113"/>
        <v>5746.1101036654945</v>
      </c>
      <c r="Q460" s="83"/>
      <c r="R460" s="83"/>
      <c r="S460" s="83"/>
      <c r="T460" s="83"/>
      <c r="U460" s="83"/>
      <c r="V460" s="83"/>
      <c r="W460" s="83"/>
      <c r="X460" s="83"/>
      <c r="Y460" s="83"/>
      <c r="AQ460" s="3"/>
    </row>
    <row r="461" spans="3:43" x14ac:dyDescent="0.3">
      <c r="E461" s="32"/>
      <c r="F461" s="72" t="s">
        <v>250</v>
      </c>
      <c r="G461" s="72" t="s">
        <v>209</v>
      </c>
      <c r="J461" s="331"/>
      <c r="K461" s="331"/>
      <c r="L461" s="330">
        <f t="shared" si="112"/>
        <v>4423.6626181931269</v>
      </c>
      <c r="M461" s="331"/>
      <c r="N461" s="330">
        <f t="shared" si="113"/>
        <v>14409.716512134099</v>
      </c>
      <c r="O461" s="330">
        <f t="shared" si="113"/>
        <v>9528.077264716916</v>
      </c>
      <c r="P461" s="330">
        <f t="shared" si="113"/>
        <v>20313.744748280282</v>
      </c>
      <c r="Q461" s="331"/>
      <c r="R461" s="331"/>
      <c r="S461" s="331"/>
      <c r="T461" s="331"/>
      <c r="U461" s="331"/>
      <c r="V461" s="331"/>
      <c r="W461" s="331"/>
      <c r="X461" s="331"/>
      <c r="Y461" s="331"/>
      <c r="AQ461" s="3"/>
    </row>
    <row r="462" spans="3:43" x14ac:dyDescent="0.3">
      <c r="E462" s="32"/>
      <c r="F462" s="72" t="s">
        <v>251</v>
      </c>
      <c r="G462" s="72" t="s">
        <v>209</v>
      </c>
      <c r="J462" s="331"/>
      <c r="K462" s="331"/>
      <c r="L462" s="330">
        <f t="shared" si="112"/>
        <v>3999.231240863814</v>
      </c>
      <c r="M462" s="331"/>
      <c r="N462" s="330">
        <f t="shared" si="113"/>
        <v>18197.601941088942</v>
      </c>
      <c r="O462" s="330">
        <f t="shared" si="113"/>
        <v>13700.745932896163</v>
      </c>
      <c r="P462" s="330">
        <f t="shared" si="113"/>
        <v>31530.7197572685</v>
      </c>
      <c r="Q462" s="331"/>
      <c r="R462" s="331"/>
      <c r="S462" s="331"/>
      <c r="T462" s="331"/>
      <c r="U462" s="331"/>
      <c r="V462" s="331"/>
      <c r="W462" s="331"/>
      <c r="X462" s="331"/>
      <c r="Y462" s="331"/>
      <c r="AQ462" s="3"/>
    </row>
    <row r="463" spans="3:43" x14ac:dyDescent="0.3">
      <c r="E463" s="32"/>
      <c r="F463" s="72" t="s">
        <v>214</v>
      </c>
      <c r="G463" s="72" t="s">
        <v>214</v>
      </c>
      <c r="J463" s="331"/>
      <c r="K463" s="331"/>
      <c r="L463" s="330">
        <f t="shared" si="112"/>
        <v>213.53002977158033</v>
      </c>
      <c r="M463" s="331"/>
      <c r="N463" s="330">
        <f t="shared" si="113"/>
        <v>40.580406244678983</v>
      </c>
      <c r="O463" s="330">
        <f t="shared" si="113"/>
        <v>24.773939188366899</v>
      </c>
      <c r="P463" s="330">
        <f t="shared" si="113"/>
        <v>5.3820046522035856</v>
      </c>
      <c r="Q463" s="331"/>
      <c r="R463" s="331"/>
      <c r="S463" s="331"/>
      <c r="T463" s="331"/>
      <c r="U463" s="331"/>
      <c r="V463" s="331"/>
      <c r="W463" s="331"/>
      <c r="X463" s="331"/>
      <c r="Y463" s="331"/>
      <c r="AQ463" s="3"/>
    </row>
    <row r="464" spans="3:43" x14ac:dyDescent="0.3">
      <c r="E464" s="32"/>
      <c r="F464" s="72" t="s">
        <v>252</v>
      </c>
      <c r="G464" s="72" t="s">
        <v>253</v>
      </c>
      <c r="J464" s="331"/>
      <c r="K464" s="331"/>
      <c r="L464" s="330">
        <f t="shared" si="112"/>
        <v>0</v>
      </c>
      <c r="M464" s="331"/>
      <c r="N464" s="330">
        <f t="shared" si="113"/>
        <v>27483.557949225575</v>
      </c>
      <c r="O464" s="330">
        <f t="shared" si="113"/>
        <v>19389.79854615124</v>
      </c>
      <c r="P464" s="330">
        <f t="shared" si="113"/>
        <v>31676.084693987897</v>
      </c>
      <c r="Q464" s="331"/>
      <c r="R464" s="331"/>
      <c r="S464" s="331"/>
      <c r="T464" s="331"/>
      <c r="U464" s="331"/>
      <c r="V464" s="331"/>
      <c r="W464" s="331"/>
      <c r="X464" s="331"/>
      <c r="Y464" s="331"/>
      <c r="AQ464" s="3"/>
    </row>
    <row r="465" spans="3:43" x14ac:dyDescent="0.3">
      <c r="E465" s="32"/>
      <c r="F465" s="72" t="s">
        <v>254</v>
      </c>
      <c r="G465" s="72" t="s">
        <v>253</v>
      </c>
      <c r="J465" s="331"/>
      <c r="K465" s="331"/>
      <c r="L465" s="330">
        <f t="shared" si="112"/>
        <v>0</v>
      </c>
      <c r="M465" s="331"/>
      <c r="N465" s="330">
        <f t="shared" si="113"/>
        <v>66.844961093417453</v>
      </c>
      <c r="O465" s="330">
        <f t="shared" si="113"/>
        <v>67.104415231206616</v>
      </c>
      <c r="P465" s="330">
        <f t="shared" si="113"/>
        <v>14.487232191257162</v>
      </c>
      <c r="Q465" s="331"/>
      <c r="R465" s="331"/>
      <c r="S465" s="331"/>
      <c r="T465" s="331"/>
      <c r="U465" s="331"/>
      <c r="V465" s="331"/>
      <c r="W465" s="331"/>
      <c r="X465" s="331"/>
      <c r="Y465" s="331"/>
      <c r="AQ465" s="3"/>
    </row>
    <row r="466" spans="3:43" x14ac:dyDescent="0.3">
      <c r="E466" s="32"/>
      <c r="F466" s="80" t="s">
        <v>255</v>
      </c>
      <c r="G466" s="80" t="s">
        <v>256</v>
      </c>
      <c r="H466" s="37"/>
      <c r="I466" s="37"/>
      <c r="J466" s="81"/>
      <c r="K466" s="81"/>
      <c r="L466" s="100">
        <f t="shared" si="112"/>
        <v>0</v>
      </c>
      <c r="M466" s="81"/>
      <c r="N466" s="100">
        <f t="shared" si="113"/>
        <v>2517.2899907166316</v>
      </c>
      <c r="O466" s="100">
        <f t="shared" si="113"/>
        <v>1824.1089207213706</v>
      </c>
      <c r="P466" s="100">
        <f t="shared" si="113"/>
        <v>1532.9632806086377</v>
      </c>
      <c r="Q466" s="81"/>
      <c r="R466" s="81"/>
      <c r="S466" s="81"/>
      <c r="T466" s="81"/>
      <c r="U466" s="81"/>
      <c r="V466" s="81"/>
      <c r="W466" s="81"/>
      <c r="X466" s="81"/>
      <c r="Y466" s="81"/>
      <c r="AQ466" s="3"/>
    </row>
    <row r="467" spans="3:43" x14ac:dyDescent="0.3">
      <c r="AQ467" s="3"/>
    </row>
    <row r="468" spans="3:43" x14ac:dyDescent="0.3">
      <c r="E468" s="32" t="s">
        <v>978</v>
      </c>
      <c r="G468" s="13"/>
      <c r="I468" t="s">
        <v>156</v>
      </c>
      <c r="AQ468" s="3"/>
    </row>
    <row r="469" spans="3:43" x14ac:dyDescent="0.3">
      <c r="E469" s="32"/>
      <c r="F469" s="78" t="s">
        <v>249</v>
      </c>
      <c r="G469" s="78" t="s">
        <v>209</v>
      </c>
      <c r="H469" s="23"/>
      <c r="I469" s="23"/>
      <c r="J469" s="83"/>
      <c r="K469" s="83"/>
      <c r="L469" s="126">
        <f t="shared" ref="L469:L475" si="114">L94+L451+L460</f>
        <v>204889.89810789539</v>
      </c>
      <c r="M469" s="83"/>
      <c r="N469" s="126">
        <f t="shared" ref="N469:P475" si="115">N94+N451+N460</f>
        <v>114001.03182468776</v>
      </c>
      <c r="O469" s="126">
        <f t="shared" si="115"/>
        <v>25171.354275480015</v>
      </c>
      <c r="P469" s="126">
        <f t="shared" si="115"/>
        <v>337596.0197871807</v>
      </c>
      <c r="Q469" s="83"/>
      <c r="R469" s="83"/>
      <c r="S469" s="83"/>
      <c r="T469" s="83"/>
      <c r="U469" s="83"/>
      <c r="V469" s="83"/>
      <c r="W469" s="83"/>
      <c r="X469" s="83"/>
      <c r="Y469" s="83"/>
      <c r="AQ469" s="3"/>
    </row>
    <row r="470" spans="3:43" x14ac:dyDescent="0.3">
      <c r="E470" s="32"/>
      <c r="F470" s="72" t="s">
        <v>250</v>
      </c>
      <c r="G470" s="72" t="s">
        <v>209</v>
      </c>
      <c r="J470" s="331"/>
      <c r="K470" s="331"/>
      <c r="L470" s="330">
        <f t="shared" si="114"/>
        <v>843868.00195114466</v>
      </c>
      <c r="M470" s="331"/>
      <c r="N470" s="330">
        <f t="shared" si="115"/>
        <v>480353.5921293823</v>
      </c>
      <c r="O470" s="330">
        <f t="shared" si="115"/>
        <v>97734.778489153396</v>
      </c>
      <c r="P470" s="330">
        <f t="shared" si="115"/>
        <v>1290042.695741364</v>
      </c>
      <c r="Q470" s="331"/>
      <c r="R470" s="331"/>
      <c r="S470" s="331"/>
      <c r="T470" s="331"/>
      <c r="U470" s="331"/>
      <c r="V470" s="331"/>
      <c r="W470" s="331"/>
      <c r="X470" s="331"/>
      <c r="Y470" s="331"/>
      <c r="AQ470" s="3"/>
    </row>
    <row r="471" spans="3:43" x14ac:dyDescent="0.3">
      <c r="E471" s="32"/>
      <c r="F471" s="72" t="s">
        <v>251</v>
      </c>
      <c r="G471" s="72" t="s">
        <v>209</v>
      </c>
      <c r="J471" s="331"/>
      <c r="K471" s="331"/>
      <c r="L471" s="330">
        <f t="shared" si="114"/>
        <v>925882.4361750239</v>
      </c>
      <c r="M471" s="331"/>
      <c r="N471" s="330">
        <f t="shared" si="115"/>
        <v>526350.1271238355</v>
      </c>
      <c r="O471" s="330">
        <f t="shared" si="115"/>
        <v>112346.94282111933</v>
      </c>
      <c r="P471" s="330">
        <f t="shared" si="115"/>
        <v>1841215.0783322926</v>
      </c>
      <c r="Q471" s="331"/>
      <c r="R471" s="331"/>
      <c r="S471" s="331"/>
      <c r="T471" s="331"/>
      <c r="U471" s="331"/>
      <c r="V471" s="331"/>
      <c r="W471" s="331"/>
      <c r="X471" s="331"/>
      <c r="Y471" s="331"/>
      <c r="AQ471" s="3"/>
    </row>
    <row r="472" spans="3:43" x14ac:dyDescent="0.3">
      <c r="E472" s="32"/>
      <c r="F472" s="72" t="s">
        <v>214</v>
      </c>
      <c r="G472" s="72" t="s">
        <v>214</v>
      </c>
      <c r="J472" s="331"/>
      <c r="K472" s="331"/>
      <c r="L472" s="330">
        <f t="shared" si="114"/>
        <v>33075.687865688313</v>
      </c>
      <c r="M472" s="331"/>
      <c r="N472" s="330">
        <f t="shared" si="115"/>
        <v>2241.9979351251463</v>
      </c>
      <c r="O472" s="330">
        <f t="shared" si="115"/>
        <v>427.21573826293405</v>
      </c>
      <c r="P472" s="330">
        <f t="shared" si="115"/>
        <v>399.82313855851442</v>
      </c>
      <c r="Q472" s="331"/>
      <c r="R472" s="331"/>
      <c r="S472" s="331"/>
      <c r="T472" s="331"/>
      <c r="U472" s="331"/>
      <c r="V472" s="331"/>
      <c r="W472" s="331"/>
      <c r="X472" s="331"/>
      <c r="Y472" s="331"/>
      <c r="AQ472" s="3"/>
    </row>
    <row r="473" spans="3:43" x14ac:dyDescent="0.3">
      <c r="E473" s="32"/>
      <c r="F473" s="72" t="s">
        <v>252</v>
      </c>
      <c r="G473" s="72" t="s">
        <v>253</v>
      </c>
      <c r="J473" s="331"/>
      <c r="K473" s="331"/>
      <c r="L473" s="330">
        <f t="shared" si="114"/>
        <v>0</v>
      </c>
      <c r="M473" s="331"/>
      <c r="N473" s="330">
        <f t="shared" si="115"/>
        <v>726487.18023677298</v>
      </c>
      <c r="O473" s="330">
        <f t="shared" si="115"/>
        <v>234407.51772484349</v>
      </c>
      <c r="P473" s="330">
        <f t="shared" si="115"/>
        <v>1322364.7404044194</v>
      </c>
      <c r="Q473" s="331"/>
      <c r="R473" s="331"/>
      <c r="S473" s="331"/>
      <c r="T473" s="331"/>
      <c r="U473" s="331"/>
      <c r="V473" s="331"/>
      <c r="W473" s="331"/>
      <c r="X473" s="331"/>
      <c r="Y473" s="331"/>
      <c r="AQ473" s="3"/>
    </row>
    <row r="474" spans="3:43" x14ac:dyDescent="0.3">
      <c r="E474" s="32"/>
      <c r="F474" s="72" t="s">
        <v>254</v>
      </c>
      <c r="G474" s="72" t="s">
        <v>253</v>
      </c>
      <c r="J474" s="331"/>
      <c r="K474" s="331"/>
      <c r="L474" s="330">
        <f t="shared" si="114"/>
        <v>0</v>
      </c>
      <c r="M474" s="331"/>
      <c r="N474" s="330">
        <f t="shared" si="115"/>
        <v>11944.944256121373</v>
      </c>
      <c r="O474" s="330">
        <f t="shared" si="115"/>
        <v>1282.071151156061</v>
      </c>
      <c r="P474" s="330">
        <f t="shared" si="115"/>
        <v>16748.561124521824</v>
      </c>
      <c r="Q474" s="331"/>
      <c r="R474" s="331"/>
      <c r="S474" s="331"/>
      <c r="T474" s="331"/>
      <c r="U474" s="331"/>
      <c r="V474" s="331"/>
      <c r="W474" s="331"/>
      <c r="X474" s="331"/>
      <c r="Y474" s="331"/>
      <c r="AQ474" s="3"/>
    </row>
    <row r="475" spans="3:43" x14ac:dyDescent="0.3">
      <c r="E475" s="32"/>
      <c r="F475" s="80" t="s">
        <v>255</v>
      </c>
      <c r="G475" s="80" t="s">
        <v>256</v>
      </c>
      <c r="H475" s="37"/>
      <c r="I475" s="37"/>
      <c r="J475" s="81"/>
      <c r="K475" s="81"/>
      <c r="L475" s="100">
        <f t="shared" si="114"/>
        <v>0</v>
      </c>
      <c r="M475" s="81"/>
      <c r="N475" s="100">
        <f t="shared" si="115"/>
        <v>118446.90764174778</v>
      </c>
      <c r="O475" s="100">
        <f t="shared" si="115"/>
        <v>31326.387840092</v>
      </c>
      <c r="P475" s="100">
        <f t="shared" si="115"/>
        <v>286743.38490842277</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1018</v>
      </c>
      <c r="AQ479" s="3"/>
    </row>
    <row r="480" spans="3:43" x14ac:dyDescent="0.3">
      <c r="E480" s="78" t="s">
        <v>249</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985</v>
      </c>
      <c r="G481" t="s">
        <v>209</v>
      </c>
      <c r="J481" s="131">
        <f t="shared" ref="J481:Y481" si="116">J353</f>
        <v>0</v>
      </c>
      <c r="K481" s="131">
        <f t="shared" si="116"/>
        <v>907.55296879515561</v>
      </c>
      <c r="L481" s="131">
        <f t="shared" si="116"/>
        <v>0</v>
      </c>
      <c r="M481" s="131">
        <f t="shared" si="116"/>
        <v>38.5327591755619</v>
      </c>
      <c r="N481" s="131">
        <f t="shared" si="116"/>
        <v>0</v>
      </c>
      <c r="O481" s="131">
        <f t="shared" si="116"/>
        <v>0</v>
      </c>
      <c r="P481" s="131">
        <f t="shared" si="116"/>
        <v>0</v>
      </c>
      <c r="Q481" s="131">
        <f t="shared" si="116"/>
        <v>0</v>
      </c>
      <c r="R481" s="131">
        <f t="shared" si="116"/>
        <v>70.204805753113575</v>
      </c>
      <c r="S481" s="131">
        <f t="shared" si="116"/>
        <v>0</v>
      </c>
      <c r="T481" s="131">
        <f t="shared" si="116"/>
        <v>4784.6093633622941</v>
      </c>
      <c r="U481" s="131">
        <f t="shared" si="116"/>
        <v>0</v>
      </c>
      <c r="V481" s="131">
        <f t="shared" si="116"/>
        <v>643.59278860763663</v>
      </c>
      <c r="W481" s="131">
        <f t="shared" si="116"/>
        <v>0</v>
      </c>
      <c r="X481" s="131">
        <f t="shared" si="116"/>
        <v>278149.15352828434</v>
      </c>
      <c r="Y481" s="131">
        <f t="shared" si="116"/>
        <v>0</v>
      </c>
      <c r="AQ481" s="3"/>
    </row>
    <row r="482" spans="5:43" x14ac:dyDescent="0.3">
      <c r="E482" s="352"/>
      <c r="F482" s="2" t="s">
        <v>986</v>
      </c>
      <c r="G482" t="s">
        <v>209</v>
      </c>
      <c r="J482" s="364">
        <f t="shared" ref="J482:Y482" si="117">J382</f>
        <v>996682.69564175408</v>
      </c>
      <c r="K482" s="364">
        <f t="shared" si="117"/>
        <v>0</v>
      </c>
      <c r="L482" s="364">
        <f t="shared" si="117"/>
        <v>10141.215842152091</v>
      </c>
      <c r="M482" s="364">
        <f t="shared" si="117"/>
        <v>0</v>
      </c>
      <c r="N482" s="364">
        <f t="shared" si="117"/>
        <v>56646.953450539746</v>
      </c>
      <c r="O482" s="364">
        <f t="shared" si="117"/>
        <v>418.66636199825882</v>
      </c>
      <c r="P482" s="364">
        <f t="shared" si="117"/>
        <v>64616.402471241767</v>
      </c>
      <c r="Q482" s="364">
        <f t="shared" si="117"/>
        <v>8816.224920714214</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987</v>
      </c>
      <c r="G483" t="s">
        <v>209</v>
      </c>
      <c r="J483" s="364">
        <f t="shared" ref="J483:Y483" si="118">J411</f>
        <v>0</v>
      </c>
      <c r="K483" s="364">
        <f t="shared" si="118"/>
        <v>0</v>
      </c>
      <c r="L483" s="364">
        <f t="shared" si="118"/>
        <v>46676.046507125699</v>
      </c>
      <c r="M483" s="364">
        <f t="shared" si="118"/>
        <v>0</v>
      </c>
      <c r="N483" s="364">
        <f t="shared" si="118"/>
        <v>102671.76548146681</v>
      </c>
      <c r="O483" s="364">
        <f t="shared" si="118"/>
        <v>827.41727713649141</v>
      </c>
      <c r="P483" s="364">
        <f t="shared" si="118"/>
        <v>158051.36847479813</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989</v>
      </c>
      <c r="G484" t="s">
        <v>209</v>
      </c>
      <c r="J484" s="101">
        <f t="shared" ref="J484:Y484" si="119">J440</f>
        <v>0</v>
      </c>
      <c r="K484" s="101">
        <f t="shared" si="119"/>
        <v>0</v>
      </c>
      <c r="L484" s="101">
        <f t="shared" si="119"/>
        <v>57772.882042331315</v>
      </c>
      <c r="M484" s="101">
        <f t="shared" si="119"/>
        <v>0</v>
      </c>
      <c r="N484" s="101">
        <f t="shared" si="119"/>
        <v>65353.107464037224</v>
      </c>
      <c r="O484" s="101">
        <f t="shared" si="119"/>
        <v>1751.4242344177856</v>
      </c>
      <c r="P484" s="101">
        <f t="shared" si="119"/>
        <v>111899.88163019577</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988</v>
      </c>
      <c r="G485" t="s">
        <v>209</v>
      </c>
      <c r="J485" s="101">
        <f t="shared" ref="J485:Y485" si="120">J469</f>
        <v>0</v>
      </c>
      <c r="K485" s="101">
        <f t="shared" si="120"/>
        <v>0</v>
      </c>
      <c r="L485" s="101">
        <f t="shared" si="120"/>
        <v>204889.89810789539</v>
      </c>
      <c r="M485" s="101">
        <f t="shared" si="120"/>
        <v>0</v>
      </c>
      <c r="N485" s="101">
        <f t="shared" si="120"/>
        <v>114001.03182468776</v>
      </c>
      <c r="O485" s="101">
        <f t="shared" si="120"/>
        <v>25171.354275480015</v>
      </c>
      <c r="P485" s="101">
        <f t="shared" si="120"/>
        <v>337596.0197871807</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250</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985</v>
      </c>
      <c r="G487" t="s">
        <v>209</v>
      </c>
      <c r="J487" s="131">
        <f t="shared" ref="J487:Y487" si="121">J354</f>
        <v>0</v>
      </c>
      <c r="K487" s="131">
        <f t="shared" si="121"/>
        <v>5824.4312721126043</v>
      </c>
      <c r="L487" s="131">
        <f t="shared" si="121"/>
        <v>0</v>
      </c>
      <c r="M487" s="131">
        <f t="shared" si="121"/>
        <v>502.36485110192183</v>
      </c>
      <c r="N487" s="131">
        <f t="shared" si="121"/>
        <v>0</v>
      </c>
      <c r="O487" s="131">
        <f t="shared" si="121"/>
        <v>0</v>
      </c>
      <c r="P487" s="131">
        <f t="shared" si="121"/>
        <v>0</v>
      </c>
      <c r="Q487" s="131">
        <f t="shared" si="121"/>
        <v>0</v>
      </c>
      <c r="R487" s="131">
        <f t="shared" si="121"/>
        <v>459.38403586007723</v>
      </c>
      <c r="S487" s="131">
        <f t="shared" si="121"/>
        <v>0</v>
      </c>
      <c r="T487" s="131">
        <f t="shared" si="121"/>
        <v>23831.708677412124</v>
      </c>
      <c r="U487" s="131">
        <f t="shared" si="121"/>
        <v>0</v>
      </c>
      <c r="V487" s="131">
        <f t="shared" si="121"/>
        <v>2524.6060767726581</v>
      </c>
      <c r="W487" s="131">
        <f t="shared" si="121"/>
        <v>0</v>
      </c>
      <c r="X487" s="131">
        <f t="shared" si="121"/>
        <v>600091.23989919515</v>
      </c>
      <c r="Y487" s="131">
        <f t="shared" si="121"/>
        <v>0</v>
      </c>
      <c r="AQ487" s="3"/>
    </row>
    <row r="488" spans="5:43" x14ac:dyDescent="0.3">
      <c r="E488" s="352"/>
      <c r="F488" s="2" t="s">
        <v>986</v>
      </c>
      <c r="G488" t="s">
        <v>209</v>
      </c>
      <c r="J488" s="364">
        <f t="shared" ref="J488:Y488" si="122">J383</f>
        <v>2953123.9288298711</v>
      </c>
      <c r="K488" s="364">
        <f t="shared" si="122"/>
        <v>0</v>
      </c>
      <c r="L488" s="364">
        <f t="shared" si="122"/>
        <v>41768.030679412033</v>
      </c>
      <c r="M488" s="364">
        <f t="shared" si="122"/>
        <v>0</v>
      </c>
      <c r="N488" s="364">
        <f t="shared" si="122"/>
        <v>238687.02885950569</v>
      </c>
      <c r="O488" s="364">
        <f t="shared" si="122"/>
        <v>1625.5885044142794</v>
      </c>
      <c r="P488" s="364">
        <f t="shared" si="122"/>
        <v>246916.17539110262</v>
      </c>
      <c r="Q488" s="364">
        <f t="shared" si="122"/>
        <v>49603.561201843237</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987</v>
      </c>
      <c r="G489" t="s">
        <v>209</v>
      </c>
      <c r="J489" s="364">
        <f t="shared" ref="J489:Y489" si="123">J412</f>
        <v>0</v>
      </c>
      <c r="K489" s="364">
        <f t="shared" si="123"/>
        <v>0</v>
      </c>
      <c r="L489" s="364">
        <f t="shared" si="123"/>
        <v>192241.89415236498</v>
      </c>
      <c r="M489" s="364">
        <f t="shared" si="123"/>
        <v>0</v>
      </c>
      <c r="N489" s="364">
        <f t="shared" si="123"/>
        <v>432616.71030426375</v>
      </c>
      <c r="O489" s="364">
        <f t="shared" si="123"/>
        <v>3212.677530736129</v>
      </c>
      <c r="P489" s="364">
        <f t="shared" si="123"/>
        <v>603955.62003774091</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989</v>
      </c>
      <c r="G490" t="s">
        <v>209</v>
      </c>
      <c r="J490" s="101">
        <f t="shared" ref="J490:Y490" si="124">J441</f>
        <v>0</v>
      </c>
      <c r="K490" s="101">
        <f t="shared" si="124"/>
        <v>0</v>
      </c>
      <c r="L490" s="101">
        <f t="shared" si="124"/>
        <v>237945.77959303799</v>
      </c>
      <c r="M490" s="101">
        <f t="shared" si="124"/>
        <v>0</v>
      </c>
      <c r="N490" s="101">
        <f t="shared" si="124"/>
        <v>275371.19116117968</v>
      </c>
      <c r="O490" s="101">
        <f t="shared" si="124"/>
        <v>6800.3913384232519</v>
      </c>
      <c r="P490" s="101">
        <f t="shared" si="124"/>
        <v>427598.71707716974</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988</v>
      </c>
      <c r="G491" t="s">
        <v>209</v>
      </c>
      <c r="J491" s="101">
        <f t="shared" ref="J491:Y491" si="125">J470</f>
        <v>0</v>
      </c>
      <c r="K491" s="101">
        <f t="shared" si="125"/>
        <v>0</v>
      </c>
      <c r="L491" s="101">
        <f t="shared" si="125"/>
        <v>843868.00195114466</v>
      </c>
      <c r="M491" s="101">
        <f t="shared" si="125"/>
        <v>0</v>
      </c>
      <c r="N491" s="101">
        <f t="shared" si="125"/>
        <v>480353.5921293823</v>
      </c>
      <c r="O491" s="101">
        <f t="shared" si="125"/>
        <v>97734.778489153396</v>
      </c>
      <c r="P491" s="101">
        <f t="shared" si="125"/>
        <v>1290042.695741364</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251</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985</v>
      </c>
      <c r="G493" t="s">
        <v>209</v>
      </c>
      <c r="J493" s="131">
        <f t="shared" ref="J493:Y493" si="126">J355</f>
        <v>0</v>
      </c>
      <c r="K493" s="131">
        <f t="shared" si="126"/>
        <v>10388.832210240402</v>
      </c>
      <c r="L493" s="131">
        <f t="shared" si="126"/>
        <v>0</v>
      </c>
      <c r="M493" s="131">
        <f t="shared" si="126"/>
        <v>1825.2777420810467</v>
      </c>
      <c r="N493" s="131">
        <f t="shared" si="126"/>
        <v>0</v>
      </c>
      <c r="O493" s="131">
        <f t="shared" si="126"/>
        <v>0</v>
      </c>
      <c r="P493" s="131">
        <f t="shared" si="126"/>
        <v>0</v>
      </c>
      <c r="Q493" s="131">
        <f t="shared" si="126"/>
        <v>0</v>
      </c>
      <c r="R493" s="131">
        <f t="shared" si="126"/>
        <v>257.78882983990695</v>
      </c>
      <c r="S493" s="131">
        <f t="shared" si="126"/>
        <v>0</v>
      </c>
      <c r="T493" s="131">
        <f t="shared" si="126"/>
        <v>24299.787303789228</v>
      </c>
      <c r="U493" s="131">
        <f t="shared" si="126"/>
        <v>0</v>
      </c>
      <c r="V493" s="131">
        <f t="shared" si="126"/>
        <v>4216.2054199370059</v>
      </c>
      <c r="W493" s="131">
        <f t="shared" si="126"/>
        <v>0</v>
      </c>
      <c r="X493" s="131">
        <f t="shared" si="126"/>
        <v>673152.99157943716</v>
      </c>
      <c r="Y493" s="131">
        <f t="shared" si="126"/>
        <v>0</v>
      </c>
      <c r="AQ493" s="3"/>
    </row>
    <row r="494" spans="5:43" x14ac:dyDescent="0.3">
      <c r="E494" s="352"/>
      <c r="F494" s="2" t="s">
        <v>986</v>
      </c>
      <c r="G494" t="s">
        <v>209</v>
      </c>
      <c r="J494" s="364">
        <f t="shared" ref="J494:Y494" si="127">J384</f>
        <v>4878763.9763329094</v>
      </c>
      <c r="K494" s="364">
        <f t="shared" si="127"/>
        <v>0</v>
      </c>
      <c r="L494" s="364">
        <f t="shared" si="127"/>
        <v>45827.411289764794</v>
      </c>
      <c r="M494" s="364">
        <f t="shared" si="127"/>
        <v>0</v>
      </c>
      <c r="N494" s="364">
        <f t="shared" si="127"/>
        <v>261542.64283959483</v>
      </c>
      <c r="O494" s="364">
        <f t="shared" si="127"/>
        <v>1868.6275405675392</v>
      </c>
      <c r="P494" s="364">
        <f t="shared" si="127"/>
        <v>352411.42538540094</v>
      </c>
      <c r="Q494" s="364">
        <f t="shared" si="127"/>
        <v>160108.74333476496</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987</v>
      </c>
      <c r="G495" t="s">
        <v>209</v>
      </c>
      <c r="J495" s="364">
        <f t="shared" ref="J495:Y495" si="128">J413</f>
        <v>0</v>
      </c>
      <c r="K495" s="364">
        <f t="shared" si="128"/>
        <v>0</v>
      </c>
      <c r="L495" s="364">
        <f t="shared" si="128"/>
        <v>210925.63396306807</v>
      </c>
      <c r="M495" s="364">
        <f t="shared" si="128"/>
        <v>0</v>
      </c>
      <c r="N495" s="364">
        <f t="shared" si="128"/>
        <v>474042.17267352535</v>
      </c>
      <c r="O495" s="364">
        <f t="shared" si="128"/>
        <v>3692.999610045295</v>
      </c>
      <c r="P495" s="364">
        <f t="shared" si="128"/>
        <v>861996.42688412301</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989</v>
      </c>
      <c r="G496" t="s">
        <v>209</v>
      </c>
      <c r="J496" s="101">
        <f t="shared" ref="J496:Y496" si="129">J442</f>
        <v>0</v>
      </c>
      <c r="K496" s="101">
        <f t="shared" si="129"/>
        <v>0</v>
      </c>
      <c r="L496" s="101">
        <f t="shared" si="129"/>
        <v>261071.42062239494</v>
      </c>
      <c r="M496" s="101">
        <f t="shared" si="129"/>
        <v>0</v>
      </c>
      <c r="N496" s="101">
        <f t="shared" si="129"/>
        <v>301739.51823990775</v>
      </c>
      <c r="O496" s="101">
        <f t="shared" si="129"/>
        <v>7817.1065476335152</v>
      </c>
      <c r="P496" s="101">
        <f t="shared" si="129"/>
        <v>610290.81282118452</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988</v>
      </c>
      <c r="G497" t="s">
        <v>209</v>
      </c>
      <c r="J497" s="101">
        <f t="shared" ref="J497:Y497" si="130">J471</f>
        <v>0</v>
      </c>
      <c r="K497" s="101">
        <f t="shared" si="130"/>
        <v>0</v>
      </c>
      <c r="L497" s="101">
        <f t="shared" si="130"/>
        <v>925882.4361750239</v>
      </c>
      <c r="M497" s="101">
        <f t="shared" si="130"/>
        <v>0</v>
      </c>
      <c r="N497" s="101">
        <f t="shared" si="130"/>
        <v>526350.1271238355</v>
      </c>
      <c r="O497" s="101">
        <f t="shared" si="130"/>
        <v>112346.94282111933</v>
      </c>
      <c r="P497" s="101">
        <f t="shared" si="130"/>
        <v>1841215.0783322926</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214</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985</v>
      </c>
      <c r="G499" t="s">
        <v>214</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734.26186025829247</v>
      </c>
      <c r="U499" s="131">
        <f t="shared" si="131"/>
        <v>0</v>
      </c>
      <c r="V499" s="131">
        <f t="shared" si="131"/>
        <v>50.04201140862741</v>
      </c>
      <c r="W499" s="131">
        <f t="shared" si="131"/>
        <v>0</v>
      </c>
      <c r="X499" s="131">
        <f t="shared" si="131"/>
        <v>449.38337701268659</v>
      </c>
      <c r="Y499" s="131">
        <f t="shared" si="131"/>
        <v>0</v>
      </c>
      <c r="AQ499" s="3"/>
    </row>
    <row r="500" spans="5:43" x14ac:dyDescent="0.3">
      <c r="E500" s="352"/>
      <c r="F500" s="2" t="s">
        <v>986</v>
      </c>
      <c r="G500" t="s">
        <v>214</v>
      </c>
      <c r="J500" s="364">
        <f t="shared" ref="J500:Y500" si="132">J385</f>
        <v>2559230.0756873167</v>
      </c>
      <c r="K500" s="364">
        <f t="shared" si="132"/>
        <v>0</v>
      </c>
      <c r="L500" s="364">
        <f t="shared" si="132"/>
        <v>67322.669349880758</v>
      </c>
      <c r="M500" s="364">
        <f t="shared" si="132"/>
        <v>0</v>
      </c>
      <c r="N500" s="364">
        <f t="shared" si="132"/>
        <v>5490.5862475307358</v>
      </c>
      <c r="O500" s="364">
        <f t="shared" si="132"/>
        <v>14.531147559963742</v>
      </c>
      <c r="P500" s="364">
        <f t="shared" si="132"/>
        <v>1548.6689527111448</v>
      </c>
      <c r="Q500" s="364">
        <f t="shared" si="132"/>
        <v>37.113907471596569</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987</v>
      </c>
      <c r="G501" t="s">
        <v>214</v>
      </c>
      <c r="J501" s="364">
        <f t="shared" ref="J501:Y501" si="133">J414</f>
        <v>0</v>
      </c>
      <c r="K501" s="364">
        <f t="shared" si="133"/>
        <v>0</v>
      </c>
      <c r="L501" s="364">
        <f t="shared" si="133"/>
        <v>58543.104463812582</v>
      </c>
      <c r="M501" s="364">
        <f t="shared" si="133"/>
        <v>0</v>
      </c>
      <c r="N501" s="364">
        <f t="shared" si="133"/>
        <v>5776.8642447389366</v>
      </c>
      <c r="O501" s="364">
        <f t="shared" si="133"/>
        <v>39.234098411902103</v>
      </c>
      <c r="P501" s="364">
        <f t="shared" si="133"/>
        <v>1078.5926528555271</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989</v>
      </c>
      <c r="G502" t="s">
        <v>214</v>
      </c>
      <c r="J502" s="101">
        <f t="shared" ref="J502:Y502" si="134">J443</f>
        <v>0</v>
      </c>
      <c r="K502" s="101">
        <f t="shared" si="134"/>
        <v>0</v>
      </c>
      <c r="L502" s="101">
        <f t="shared" si="134"/>
        <v>29067.603299210616</v>
      </c>
      <c r="M502" s="101">
        <f t="shared" si="134"/>
        <v>0</v>
      </c>
      <c r="N502" s="101">
        <f t="shared" si="134"/>
        <v>2346.6587082980363</v>
      </c>
      <c r="O502" s="101">
        <f t="shared" si="134"/>
        <v>50.859016459873096</v>
      </c>
      <c r="P502" s="101">
        <f t="shared" si="134"/>
        <v>345.06699813577211</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988</v>
      </c>
      <c r="G503" t="s">
        <v>214</v>
      </c>
      <c r="J503" s="101">
        <f t="shared" ref="J503:Y503" si="135">J472</f>
        <v>0</v>
      </c>
      <c r="K503" s="101">
        <f t="shared" si="135"/>
        <v>0</v>
      </c>
      <c r="L503" s="101">
        <f t="shared" si="135"/>
        <v>33075.687865688313</v>
      </c>
      <c r="M503" s="101">
        <f t="shared" si="135"/>
        <v>0</v>
      </c>
      <c r="N503" s="101">
        <f t="shared" si="135"/>
        <v>2241.9979351251463</v>
      </c>
      <c r="O503" s="101">
        <f t="shared" si="135"/>
        <v>427.21573826293405</v>
      </c>
      <c r="P503" s="101">
        <f t="shared" si="135"/>
        <v>399.82313855851442</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252</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985</v>
      </c>
      <c r="G505" t="s">
        <v>253</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986</v>
      </c>
      <c r="G506" t="s">
        <v>253</v>
      </c>
      <c r="J506" s="364">
        <f t="shared" ref="J506:Y506" si="137">J386</f>
        <v>0</v>
      </c>
      <c r="K506" s="364">
        <f t="shared" si="137"/>
        <v>0</v>
      </c>
      <c r="L506" s="364">
        <f t="shared" si="137"/>
        <v>0</v>
      </c>
      <c r="M506" s="364">
        <f t="shared" si="137"/>
        <v>0</v>
      </c>
      <c r="N506" s="364">
        <f t="shared" si="137"/>
        <v>266784.11878941976</v>
      </c>
      <c r="O506" s="364">
        <f t="shared" si="137"/>
        <v>119.21448623653427</v>
      </c>
      <c r="P506" s="364">
        <f t="shared" si="137"/>
        <v>317536.59518196579</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987</v>
      </c>
      <c r="G507" t="s">
        <v>253</v>
      </c>
      <c r="J507" s="364">
        <f t="shared" ref="J507:Y507" si="138">J415</f>
        <v>0</v>
      </c>
      <c r="K507" s="364">
        <f t="shared" si="138"/>
        <v>0</v>
      </c>
      <c r="L507" s="364">
        <f t="shared" si="138"/>
        <v>0</v>
      </c>
      <c r="M507" s="364">
        <f t="shared" si="138"/>
        <v>0</v>
      </c>
      <c r="N507" s="364">
        <f t="shared" si="138"/>
        <v>691945.21249136864</v>
      </c>
      <c r="O507" s="364">
        <f t="shared" si="138"/>
        <v>5377.3833447403167</v>
      </c>
      <c r="P507" s="364">
        <f t="shared" si="138"/>
        <v>709350.89794537507</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989</v>
      </c>
      <c r="G508" t="s">
        <v>253</v>
      </c>
      <c r="J508" s="101">
        <f t="shared" ref="J508:Y508" si="139">J444</f>
        <v>0</v>
      </c>
      <c r="K508" s="101">
        <f t="shared" si="139"/>
        <v>0</v>
      </c>
      <c r="L508" s="101">
        <f t="shared" si="139"/>
        <v>0</v>
      </c>
      <c r="M508" s="101">
        <f t="shared" si="139"/>
        <v>0</v>
      </c>
      <c r="N508" s="101">
        <f t="shared" si="139"/>
        <v>436404.27744604205</v>
      </c>
      <c r="O508" s="101">
        <f t="shared" si="139"/>
        <v>10221.10322437453</v>
      </c>
      <c r="P508" s="101">
        <f t="shared" si="139"/>
        <v>474609.52299708326</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988</v>
      </c>
      <c r="G509" t="s">
        <v>253</v>
      </c>
      <c r="J509" s="101">
        <f>J473</f>
        <v>0</v>
      </c>
      <c r="K509" s="101">
        <f t="shared" ref="K509:Y509" si="140">K473</f>
        <v>0</v>
      </c>
      <c r="L509" s="101">
        <f t="shared" si="140"/>
        <v>0</v>
      </c>
      <c r="M509" s="101">
        <f t="shared" si="140"/>
        <v>0</v>
      </c>
      <c r="N509" s="101">
        <f t="shared" si="140"/>
        <v>726487.18023677298</v>
      </c>
      <c r="O509" s="101">
        <f t="shared" si="140"/>
        <v>234407.51772484349</v>
      </c>
      <c r="P509" s="101">
        <f t="shared" si="140"/>
        <v>1322364.7404044194</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254</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985</v>
      </c>
      <c r="G511" t="s">
        <v>253</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986</v>
      </c>
      <c r="G512" t="s">
        <v>253</v>
      </c>
      <c r="J512" s="364">
        <f t="shared" ref="J512:Y512" si="142">J387</f>
        <v>0</v>
      </c>
      <c r="K512" s="364">
        <f t="shared" si="142"/>
        <v>0</v>
      </c>
      <c r="L512" s="364">
        <f t="shared" si="142"/>
        <v>0</v>
      </c>
      <c r="M512" s="364">
        <f t="shared" si="142"/>
        <v>0</v>
      </c>
      <c r="N512" s="364">
        <f t="shared" si="142"/>
        <v>4386.4799187777571</v>
      </c>
      <c r="O512" s="364">
        <f t="shared" si="142"/>
        <v>0.65203307081286965</v>
      </c>
      <c r="P512" s="364">
        <f t="shared" si="142"/>
        <v>4021.7958867015795</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987</v>
      </c>
      <c r="G513" t="s">
        <v>253</v>
      </c>
      <c r="J513" s="364">
        <f t="shared" ref="J513:Y513" si="143">J416</f>
        <v>0</v>
      </c>
      <c r="K513" s="364">
        <f t="shared" si="143"/>
        <v>0</v>
      </c>
      <c r="L513" s="364">
        <f t="shared" si="143"/>
        <v>0</v>
      </c>
      <c r="M513" s="364">
        <f t="shared" si="143"/>
        <v>0</v>
      </c>
      <c r="N513" s="364">
        <f t="shared" si="143"/>
        <v>11377.003223657282</v>
      </c>
      <c r="O513" s="364">
        <f t="shared" si="143"/>
        <v>29.411121801525617</v>
      </c>
      <c r="P513" s="364">
        <f t="shared" si="143"/>
        <v>8984.3645326924725</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989</v>
      </c>
      <c r="G514" t="s">
        <v>253</v>
      </c>
      <c r="J514" s="101">
        <f t="shared" ref="J514:Y514" si="144">J445</f>
        <v>0</v>
      </c>
      <c r="K514" s="101">
        <f t="shared" si="144"/>
        <v>0</v>
      </c>
      <c r="L514" s="101">
        <f t="shared" si="144"/>
        <v>0</v>
      </c>
      <c r="M514" s="101">
        <f t="shared" si="144"/>
        <v>0</v>
      </c>
      <c r="N514" s="101">
        <f t="shared" si="144"/>
        <v>7175.3843825942813</v>
      </c>
      <c r="O514" s="101">
        <f t="shared" si="144"/>
        <v>55.903418559898618</v>
      </c>
      <c r="P514" s="101">
        <f t="shared" si="144"/>
        <v>6011.2209311976503</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988</v>
      </c>
      <c r="G515" t="s">
        <v>253</v>
      </c>
      <c r="J515" s="101">
        <f t="shared" ref="J515:Y515" si="145">J474</f>
        <v>0</v>
      </c>
      <c r="K515" s="101">
        <f t="shared" si="145"/>
        <v>0</v>
      </c>
      <c r="L515" s="101">
        <f t="shared" si="145"/>
        <v>0</v>
      </c>
      <c r="M515" s="101">
        <f t="shared" si="145"/>
        <v>0</v>
      </c>
      <c r="N515" s="101">
        <f t="shared" si="145"/>
        <v>11944.944256121373</v>
      </c>
      <c r="O515" s="101">
        <f t="shared" si="145"/>
        <v>1282.071151156061</v>
      </c>
      <c r="P515" s="101">
        <f t="shared" si="145"/>
        <v>16748.561124521824</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255</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985</v>
      </c>
      <c r="G517" t="s">
        <v>256</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3746.666818357904</v>
      </c>
      <c r="U517" s="131">
        <f t="shared" si="146"/>
        <v>0</v>
      </c>
      <c r="V517" s="131">
        <f t="shared" si="146"/>
        <v>397.56062338257436</v>
      </c>
      <c r="W517" s="131">
        <f t="shared" si="146"/>
        <v>0</v>
      </c>
      <c r="X517" s="131">
        <f t="shared" si="146"/>
        <v>20979.429173597407</v>
      </c>
      <c r="Y517" s="131">
        <f t="shared" si="146"/>
        <v>0</v>
      </c>
      <c r="AQ517" s="3"/>
    </row>
    <row r="518" spans="3:43" x14ac:dyDescent="0.3">
      <c r="E518" s="352"/>
      <c r="F518" s="353" t="s">
        <v>986</v>
      </c>
      <c r="G518" t="s">
        <v>256</v>
      </c>
      <c r="J518" s="364">
        <f t="shared" ref="J518:Y518" si="147">J388</f>
        <v>0</v>
      </c>
      <c r="K518" s="364">
        <f t="shared" si="147"/>
        <v>0</v>
      </c>
      <c r="L518" s="364">
        <f t="shared" si="147"/>
        <v>0</v>
      </c>
      <c r="M518" s="364">
        <f t="shared" si="147"/>
        <v>0</v>
      </c>
      <c r="N518" s="364">
        <f t="shared" si="147"/>
        <v>58856.102933003822</v>
      </c>
      <c r="O518" s="364">
        <f t="shared" si="147"/>
        <v>521.04088989497586</v>
      </c>
      <c r="P518" s="364">
        <f t="shared" si="147"/>
        <v>54883.129181703705</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987</v>
      </c>
      <c r="G519" t="s">
        <v>256</v>
      </c>
      <c r="J519" s="364">
        <f t="shared" ref="J519:Y519" si="148">J417</f>
        <v>0</v>
      </c>
      <c r="K519" s="364">
        <f t="shared" si="148"/>
        <v>0</v>
      </c>
      <c r="L519" s="364">
        <f t="shared" si="148"/>
        <v>0</v>
      </c>
      <c r="M519" s="364">
        <f t="shared" si="148"/>
        <v>0</v>
      </c>
      <c r="N519" s="364">
        <f t="shared" si="148"/>
        <v>106675.81625138328</v>
      </c>
      <c r="O519" s="364">
        <f t="shared" si="148"/>
        <v>1029.7417550719497</v>
      </c>
      <c r="P519" s="364">
        <f t="shared" si="148"/>
        <v>134243.83502637761</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989</v>
      </c>
      <c r="G520" t="s">
        <v>256</v>
      </c>
      <c r="J520" s="101">
        <f t="shared" ref="J520:Y520" si="149">J446</f>
        <v>0</v>
      </c>
      <c r="K520" s="101">
        <f t="shared" si="149"/>
        <v>0</v>
      </c>
      <c r="L520" s="101">
        <f t="shared" si="149"/>
        <v>0</v>
      </c>
      <c r="M520" s="101">
        <f t="shared" si="149"/>
        <v>0</v>
      </c>
      <c r="N520" s="101">
        <f t="shared" si="149"/>
        <v>67901.784396110103</v>
      </c>
      <c r="O520" s="101">
        <f t="shared" si="149"/>
        <v>2179.6918131398984</v>
      </c>
      <c r="P520" s="101">
        <f t="shared" si="149"/>
        <v>95044.221343964367</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988</v>
      </c>
      <c r="G521" s="37" t="s">
        <v>256</v>
      </c>
      <c r="H521" s="37"/>
      <c r="I521" s="37"/>
      <c r="J521" s="364">
        <f t="shared" ref="J521:Y521" si="150">J475</f>
        <v>0</v>
      </c>
      <c r="K521" s="364">
        <f t="shared" si="150"/>
        <v>0</v>
      </c>
      <c r="L521" s="364">
        <f t="shared" si="150"/>
        <v>0</v>
      </c>
      <c r="M521" s="364">
        <f t="shared" si="150"/>
        <v>0</v>
      </c>
      <c r="N521" s="364">
        <f t="shared" si="150"/>
        <v>118446.90764174778</v>
      </c>
      <c r="O521" s="364">
        <f t="shared" si="150"/>
        <v>31326.387840092</v>
      </c>
      <c r="P521" s="364">
        <f t="shared" si="150"/>
        <v>286743.38490842277</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1137</v>
      </c>
      <c r="AQ525" s="3"/>
    </row>
    <row r="526" spans="3:43" x14ac:dyDescent="0.3">
      <c r="E526" s="78" t="s">
        <v>249</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985</v>
      </c>
      <c r="G527" t="s">
        <v>209</v>
      </c>
      <c r="J527" s="131">
        <f>J58</f>
        <v>0</v>
      </c>
      <c r="K527" s="131">
        <f t="shared" ref="K527:Y527" si="151">K58</f>
        <v>907.55296879515561</v>
      </c>
      <c r="L527" s="131">
        <f t="shared" si="151"/>
        <v>0</v>
      </c>
      <c r="M527" s="131">
        <f t="shared" si="151"/>
        <v>38.5327591755619</v>
      </c>
      <c r="N527" s="131">
        <f t="shared" si="151"/>
        <v>0</v>
      </c>
      <c r="O527" s="131">
        <f t="shared" si="151"/>
        <v>0</v>
      </c>
      <c r="P527" s="131">
        <f t="shared" si="151"/>
        <v>0</v>
      </c>
      <c r="Q527" s="131">
        <f t="shared" si="151"/>
        <v>0</v>
      </c>
      <c r="R527" s="131">
        <f t="shared" si="151"/>
        <v>68.229870901863052</v>
      </c>
      <c r="S527" s="131">
        <f t="shared" si="151"/>
        <v>0</v>
      </c>
      <c r="T527" s="131">
        <f t="shared" si="151"/>
        <v>4775.2942813887903</v>
      </c>
      <c r="U527" s="131">
        <f t="shared" si="151"/>
        <v>0</v>
      </c>
      <c r="V527" s="131">
        <f t="shared" si="151"/>
        <v>643.59278860763663</v>
      </c>
      <c r="W527" s="131">
        <f t="shared" si="151"/>
        <v>0</v>
      </c>
      <c r="X527" s="131">
        <f t="shared" si="151"/>
        <v>278149.15352828434</v>
      </c>
      <c r="Y527" s="131">
        <f t="shared" si="151"/>
        <v>0</v>
      </c>
      <c r="AQ527" s="3"/>
    </row>
    <row r="528" spans="3:43" x14ac:dyDescent="0.3">
      <c r="E528" s="352"/>
      <c r="F528" s="2" t="s">
        <v>986</v>
      </c>
      <c r="G528" t="s">
        <v>209</v>
      </c>
      <c r="J528" s="364">
        <f>J67</f>
        <v>963611.57957705879</v>
      </c>
      <c r="K528" s="364">
        <f t="shared" ref="K528:Y528" si="152">K67</f>
        <v>0</v>
      </c>
      <c r="L528" s="364">
        <f t="shared" si="152"/>
        <v>10077.067617770306</v>
      </c>
      <c r="M528" s="364">
        <f t="shared" si="152"/>
        <v>0</v>
      </c>
      <c r="N528" s="364">
        <f t="shared" si="152"/>
        <v>54447.012806749743</v>
      </c>
      <c r="O528" s="364">
        <f t="shared" si="152"/>
        <v>376.99845725371262</v>
      </c>
      <c r="P528" s="364">
        <f t="shared" si="152"/>
        <v>63516.588073736195</v>
      </c>
      <c r="Q528" s="364">
        <f t="shared" si="152"/>
        <v>8811.3898575429248</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987</v>
      </c>
      <c r="G529" t="s">
        <v>209</v>
      </c>
      <c r="J529" s="364">
        <f>J76</f>
        <v>0</v>
      </c>
      <c r="K529" s="364">
        <f t="shared" ref="K529:Y529" si="153">K76</f>
        <v>0</v>
      </c>
      <c r="L529" s="364">
        <f t="shared" si="153"/>
        <v>46380.797342607533</v>
      </c>
      <c r="M529" s="364">
        <f t="shared" si="153"/>
        <v>0</v>
      </c>
      <c r="N529" s="364">
        <f t="shared" si="153"/>
        <v>98684.405595474527</v>
      </c>
      <c r="O529" s="364">
        <f t="shared" si="153"/>
        <v>745.06830569498231</v>
      </c>
      <c r="P529" s="364">
        <f t="shared" si="153"/>
        <v>155361.22844926195</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989</v>
      </c>
      <c r="G530" t="s">
        <v>209</v>
      </c>
      <c r="J530" s="101">
        <f>J85</f>
        <v>0</v>
      </c>
      <c r="K530" s="101">
        <f t="shared" ref="K530:Y530" si="154">K85</f>
        <v>0</v>
      </c>
      <c r="L530" s="101">
        <f t="shared" si="154"/>
        <v>57407.439884495587</v>
      </c>
      <c r="M530" s="101">
        <f t="shared" si="154"/>
        <v>0</v>
      </c>
      <c r="N530" s="101">
        <f t="shared" si="154"/>
        <v>62815.054690667086</v>
      </c>
      <c r="O530" s="101">
        <f t="shared" si="154"/>
        <v>1577.1131724573945</v>
      </c>
      <c r="P530" s="101">
        <f t="shared" si="154"/>
        <v>109995.27078543647</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988</v>
      </c>
      <c r="G531" t="s">
        <v>209</v>
      </c>
      <c r="J531" s="101">
        <f>J94</f>
        <v>0</v>
      </c>
      <c r="K531" s="101">
        <f t="shared" ref="K531:Y531" si="155">K94</f>
        <v>0</v>
      </c>
      <c r="L531" s="101">
        <f t="shared" si="155"/>
        <v>203593.86779338852</v>
      </c>
      <c r="M531" s="101">
        <f t="shared" si="155"/>
        <v>0</v>
      </c>
      <c r="N531" s="101">
        <f t="shared" si="155"/>
        <v>109573.68863907221</v>
      </c>
      <c r="O531" s="101">
        <f t="shared" si="155"/>
        <v>22666.167120639308</v>
      </c>
      <c r="P531" s="101">
        <f t="shared" si="155"/>
        <v>331849.9096835152</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250</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985</v>
      </c>
      <c r="G533" t="s">
        <v>209</v>
      </c>
      <c r="J533" s="131">
        <f>J59</f>
        <v>0</v>
      </c>
      <c r="K533" s="131">
        <f t="shared" ref="K533:Y533" si="156">K59</f>
        <v>5824.4312721126043</v>
      </c>
      <c r="L533" s="131">
        <f t="shared" si="156"/>
        <v>0</v>
      </c>
      <c r="M533" s="131">
        <f t="shared" si="156"/>
        <v>502.36485110192183</v>
      </c>
      <c r="N533" s="131">
        <f t="shared" si="156"/>
        <v>0</v>
      </c>
      <c r="O533" s="131">
        <f t="shared" si="156"/>
        <v>0</v>
      </c>
      <c r="P533" s="131">
        <f t="shared" si="156"/>
        <v>0</v>
      </c>
      <c r="Q533" s="131">
        <f t="shared" si="156"/>
        <v>0</v>
      </c>
      <c r="R533" s="131">
        <f t="shared" si="156"/>
        <v>449.63349348982825</v>
      </c>
      <c r="S533" s="131">
        <f t="shared" si="156"/>
        <v>0</v>
      </c>
      <c r="T533" s="131">
        <f t="shared" si="156"/>
        <v>23780.951178135838</v>
      </c>
      <c r="U533" s="131">
        <f t="shared" si="156"/>
        <v>0</v>
      </c>
      <c r="V533" s="131">
        <f t="shared" si="156"/>
        <v>2524.6060767726581</v>
      </c>
      <c r="W533" s="131">
        <f t="shared" si="156"/>
        <v>0</v>
      </c>
      <c r="X533" s="131">
        <f t="shared" si="156"/>
        <v>600091.23989919515</v>
      </c>
      <c r="Y533" s="131">
        <f t="shared" si="156"/>
        <v>0</v>
      </c>
      <c r="AQ533" s="3"/>
    </row>
    <row r="534" spans="5:43" x14ac:dyDescent="0.3">
      <c r="E534" s="352"/>
      <c r="F534" s="2" t="s">
        <v>986</v>
      </c>
      <c r="G534" t="s">
        <v>209</v>
      </c>
      <c r="J534" s="364">
        <f>J68</f>
        <v>2859384.3281420832</v>
      </c>
      <c r="K534" s="364">
        <f t="shared" ref="K534:Y534" si="157">K68</f>
        <v>0</v>
      </c>
      <c r="L534" s="364">
        <f t="shared" si="157"/>
        <v>41491.897751145232</v>
      </c>
      <c r="M534" s="364">
        <f t="shared" si="157"/>
        <v>0</v>
      </c>
      <c r="N534" s="364">
        <f t="shared" si="157"/>
        <v>230531.15914503945</v>
      </c>
      <c r="O534" s="364">
        <f t="shared" si="157"/>
        <v>1467.1113163535954</v>
      </c>
      <c r="P534" s="364">
        <f t="shared" si="157"/>
        <v>243028.09309919522</v>
      </c>
      <c r="Q534" s="364">
        <f t="shared" si="157"/>
        <v>49189.058441586792</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987</v>
      </c>
      <c r="G535" t="s">
        <v>209</v>
      </c>
      <c r="J535" s="364">
        <f>J77</f>
        <v>0</v>
      </c>
      <c r="K535" s="364">
        <f t="shared" ref="K535:Y535" si="158">K77</f>
        <v>0</v>
      </c>
      <c r="L535" s="364">
        <f t="shared" si="158"/>
        <v>190970.96238219619</v>
      </c>
      <c r="M535" s="364">
        <f t="shared" si="158"/>
        <v>0</v>
      </c>
      <c r="N535" s="364">
        <f t="shared" si="158"/>
        <v>417834.31704895449</v>
      </c>
      <c r="O535" s="364">
        <f t="shared" si="158"/>
        <v>2899.4764347427417</v>
      </c>
      <c r="P535" s="364">
        <f t="shared" si="158"/>
        <v>594445.39193037932</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989</v>
      </c>
      <c r="G536" t="s">
        <v>209</v>
      </c>
      <c r="J536" s="101">
        <f>J86</f>
        <v>0</v>
      </c>
      <c r="K536" s="101">
        <f t="shared" ref="K536:Y536" si="159">K86</f>
        <v>0</v>
      </c>
      <c r="L536" s="101">
        <f t="shared" si="159"/>
        <v>236372.69453686033</v>
      </c>
      <c r="M536" s="101">
        <f t="shared" si="159"/>
        <v>0</v>
      </c>
      <c r="N536" s="101">
        <f t="shared" si="159"/>
        <v>265961.83377397986</v>
      </c>
      <c r="O536" s="101">
        <f t="shared" si="159"/>
        <v>6137.4271909166473</v>
      </c>
      <c r="P536" s="101">
        <f t="shared" si="159"/>
        <v>420865.50489584269</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988</v>
      </c>
      <c r="G537" t="s">
        <v>209</v>
      </c>
      <c r="J537" s="101">
        <f>J95</f>
        <v>0</v>
      </c>
      <c r="K537" s="101">
        <f t="shared" ref="K537:Y537" si="160">K95</f>
        <v>0</v>
      </c>
      <c r="L537" s="101">
        <f t="shared" si="160"/>
        <v>838289.10012936732</v>
      </c>
      <c r="M537" s="101">
        <f t="shared" si="160"/>
        <v>0</v>
      </c>
      <c r="N537" s="101">
        <f t="shared" si="160"/>
        <v>463940.0428342963</v>
      </c>
      <c r="O537" s="101">
        <f t="shared" si="160"/>
        <v>88206.701224436474</v>
      </c>
      <c r="P537" s="101">
        <f t="shared" si="160"/>
        <v>1269728.9509930837</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251</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985</v>
      </c>
      <c r="G539" t="s">
        <v>209</v>
      </c>
      <c r="J539" s="131">
        <f>J60</f>
        <v>0</v>
      </c>
      <c r="K539" s="131">
        <f t="shared" ref="K539:Y539" si="161">K60</f>
        <v>10388.832210240402</v>
      </c>
      <c r="L539" s="131">
        <f t="shared" si="161"/>
        <v>0</v>
      </c>
      <c r="M539" s="131">
        <f t="shared" si="161"/>
        <v>1825.2777420810467</v>
      </c>
      <c r="N539" s="131">
        <f t="shared" si="161"/>
        <v>0</v>
      </c>
      <c r="O539" s="131">
        <f t="shared" si="161"/>
        <v>0</v>
      </c>
      <c r="P539" s="131">
        <f t="shared" si="161"/>
        <v>0</v>
      </c>
      <c r="Q539" s="131">
        <f t="shared" si="161"/>
        <v>0</v>
      </c>
      <c r="R539" s="131">
        <f t="shared" si="161"/>
        <v>251.99826680064848</v>
      </c>
      <c r="S539" s="131">
        <f t="shared" si="161"/>
        <v>0</v>
      </c>
      <c r="T539" s="131">
        <f t="shared" si="161"/>
        <v>24197.561642861572</v>
      </c>
      <c r="U539" s="131">
        <f t="shared" si="161"/>
        <v>0</v>
      </c>
      <c r="V539" s="131">
        <f t="shared" si="161"/>
        <v>4216.2054199370059</v>
      </c>
      <c r="W539" s="131">
        <f t="shared" si="161"/>
        <v>0</v>
      </c>
      <c r="X539" s="131">
        <f t="shared" si="161"/>
        <v>673152.99157943716</v>
      </c>
      <c r="Y539" s="131">
        <f t="shared" si="161"/>
        <v>0</v>
      </c>
      <c r="AQ539" s="3"/>
    </row>
    <row r="540" spans="5:43" x14ac:dyDescent="0.3">
      <c r="E540" s="352"/>
      <c r="F540" s="2" t="s">
        <v>986</v>
      </c>
      <c r="G540" t="s">
        <v>209</v>
      </c>
      <c r="J540" s="364">
        <f>J69</f>
        <v>4737373.0104243234</v>
      </c>
      <c r="K540" s="364">
        <f t="shared" ref="K540:Y540" si="162">K69</f>
        <v>0</v>
      </c>
      <c r="L540" s="364">
        <f t="shared" si="162"/>
        <v>45575.712249303608</v>
      </c>
      <c r="M540" s="364">
        <f t="shared" si="162"/>
        <v>0</v>
      </c>
      <c r="N540" s="364">
        <f t="shared" si="162"/>
        <v>251242.6131015287</v>
      </c>
      <c r="O540" s="364">
        <f t="shared" si="162"/>
        <v>1640.7478089642348</v>
      </c>
      <c r="P540" s="364">
        <f t="shared" si="162"/>
        <v>346376.39665689884</v>
      </c>
      <c r="Q540" s="364">
        <f t="shared" si="162"/>
        <v>159418.28502479228</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987</v>
      </c>
      <c r="G541" t="s">
        <v>209</v>
      </c>
      <c r="J541" s="364">
        <f>J78</f>
        <v>0</v>
      </c>
      <c r="K541" s="364">
        <f t="shared" ref="K541:Y541" si="163">K78</f>
        <v>0</v>
      </c>
      <c r="L541" s="364">
        <f t="shared" si="163"/>
        <v>209767.16181325607</v>
      </c>
      <c r="M541" s="364">
        <f t="shared" si="163"/>
        <v>0</v>
      </c>
      <c r="N541" s="364">
        <f t="shared" si="163"/>
        <v>455373.52108148136</v>
      </c>
      <c r="O541" s="364">
        <f t="shared" si="163"/>
        <v>3242.6371158199172</v>
      </c>
      <c r="P541" s="364">
        <f t="shared" si="163"/>
        <v>847234.77948741138</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989</v>
      </c>
      <c r="G542" t="s">
        <v>209</v>
      </c>
      <c r="J542" s="101">
        <f>J87</f>
        <v>0</v>
      </c>
      <c r="K542" s="101">
        <f t="shared" ref="K542:Y542" si="164">K87</f>
        <v>0</v>
      </c>
      <c r="L542" s="101">
        <f t="shared" si="164"/>
        <v>259637.53151076686</v>
      </c>
      <c r="M542" s="101">
        <f t="shared" si="164"/>
        <v>0</v>
      </c>
      <c r="N542" s="101">
        <f t="shared" si="164"/>
        <v>289856.46170550201</v>
      </c>
      <c r="O542" s="101">
        <f t="shared" si="164"/>
        <v>6863.8078814648015</v>
      </c>
      <c r="P542" s="101">
        <f t="shared" si="164"/>
        <v>599839.6119723788</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988</v>
      </c>
      <c r="G543" t="s">
        <v>209</v>
      </c>
      <c r="J543" s="101">
        <f>J96</f>
        <v>0</v>
      </c>
      <c r="K543" s="101">
        <f t="shared" ref="K543:Y543" si="165">K96</f>
        <v>0</v>
      </c>
      <c r="L543" s="101">
        <f t="shared" si="165"/>
        <v>920797.18884801259</v>
      </c>
      <c r="M543" s="101">
        <f t="shared" si="165"/>
        <v>0</v>
      </c>
      <c r="N543" s="101">
        <f t="shared" si="165"/>
        <v>505621.49219398445</v>
      </c>
      <c r="O543" s="101">
        <f t="shared" si="165"/>
        <v>98646.196888223174</v>
      </c>
      <c r="P543" s="101">
        <f t="shared" si="165"/>
        <v>1809684.3585750242</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214</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985</v>
      </c>
      <c r="G545" t="s">
        <v>214</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734.26186025829247</v>
      </c>
      <c r="U545" s="131">
        <f t="shared" si="166"/>
        <v>0</v>
      </c>
      <c r="V545" s="131">
        <f t="shared" si="166"/>
        <v>50.04201140862741</v>
      </c>
      <c r="W545" s="131">
        <f t="shared" si="166"/>
        <v>0</v>
      </c>
      <c r="X545" s="131">
        <f t="shared" si="166"/>
        <v>449.38337701268659</v>
      </c>
      <c r="Y545" s="131">
        <f t="shared" si="166"/>
        <v>0</v>
      </c>
      <c r="AQ545" s="3"/>
    </row>
    <row r="546" spans="5:43" x14ac:dyDescent="0.3">
      <c r="E546" s="352"/>
      <c r="F546" s="2" t="s">
        <v>986</v>
      </c>
      <c r="G546" t="s">
        <v>214</v>
      </c>
      <c r="J546" s="364">
        <f>J70</f>
        <v>2477396.9025159678</v>
      </c>
      <c r="K546" s="364">
        <f t="shared" ref="K546:Y546" si="167">K70</f>
        <v>0</v>
      </c>
      <c r="L546" s="364">
        <f t="shared" si="167"/>
        <v>66707.473785459209</v>
      </c>
      <c r="M546" s="364">
        <f t="shared" si="167"/>
        <v>0</v>
      </c>
      <c r="N546" s="364">
        <f t="shared" si="167"/>
        <v>5372.1278746213347</v>
      </c>
      <c r="O546" s="364">
        <f t="shared" si="167"/>
        <v>13.688496567162147</v>
      </c>
      <c r="P546" s="364">
        <f t="shared" si="167"/>
        <v>1527.8223765518344</v>
      </c>
      <c r="Q546" s="364">
        <f t="shared" si="167"/>
        <v>37.113907471596569</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987</v>
      </c>
      <c r="G547" t="s">
        <v>214</v>
      </c>
      <c r="J547" s="364">
        <f>J79</f>
        <v>0</v>
      </c>
      <c r="K547" s="364">
        <f t="shared" ref="K547:Y547" si="168">K79</f>
        <v>0</v>
      </c>
      <c r="L547" s="364">
        <f t="shared" si="168"/>
        <v>58008.136695282345</v>
      </c>
      <c r="M547" s="364">
        <f t="shared" si="168"/>
        <v>0</v>
      </c>
      <c r="N547" s="364">
        <f t="shared" si="168"/>
        <v>5652.2294775029186</v>
      </c>
      <c r="O547" s="364">
        <f t="shared" si="168"/>
        <v>36.958940731337798</v>
      </c>
      <c r="P547" s="364">
        <f t="shared" si="168"/>
        <v>1064.0737565844663</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989</v>
      </c>
      <c r="G548" t="s">
        <v>214</v>
      </c>
      <c r="J548" s="101">
        <f>J88</f>
        <v>0</v>
      </c>
      <c r="K548" s="101">
        <f t="shared" ref="K548:Y548" si="169">K88</f>
        <v>0</v>
      </c>
      <c r="L548" s="101">
        <f t="shared" si="169"/>
        <v>28801.983103357954</v>
      </c>
      <c r="M548" s="101">
        <f t="shared" si="169"/>
        <v>0</v>
      </c>
      <c r="N548" s="101">
        <f t="shared" si="169"/>
        <v>2296.0299849110434</v>
      </c>
      <c r="O548" s="101">
        <f t="shared" si="169"/>
        <v>47.909737985067515</v>
      </c>
      <c r="P548" s="101">
        <f t="shared" si="169"/>
        <v>340.42206388813389</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988</v>
      </c>
      <c r="G549" t="s">
        <v>214</v>
      </c>
      <c r="J549" s="101">
        <f>J97</f>
        <v>0</v>
      </c>
      <c r="K549" s="101">
        <f t="shared" ref="K549:Y549" si="170">K97</f>
        <v>0</v>
      </c>
      <c r="L549" s="101">
        <f t="shared" si="170"/>
        <v>32773.441732823128</v>
      </c>
      <c r="M549" s="101">
        <f t="shared" si="170"/>
        <v>0</v>
      </c>
      <c r="N549" s="101">
        <f t="shared" si="170"/>
        <v>2193.6272483736902</v>
      </c>
      <c r="O549" s="101">
        <f t="shared" si="170"/>
        <v>402.44179907456714</v>
      </c>
      <c r="P549" s="101">
        <f t="shared" si="170"/>
        <v>394.44113390631082</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252</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985</v>
      </c>
      <c r="G551" t="s">
        <v>253</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986</v>
      </c>
      <c r="G552" t="s">
        <v>253</v>
      </c>
      <c r="J552" s="364">
        <f>J71</f>
        <v>0</v>
      </c>
      <c r="K552" s="364">
        <f t="shared" ref="K552:Y552" si="172">K71</f>
        <v>0</v>
      </c>
      <c r="L552" s="364">
        <f t="shared" si="172"/>
        <v>0</v>
      </c>
      <c r="M552" s="364">
        <f t="shared" si="172"/>
        <v>0</v>
      </c>
      <c r="N552" s="364">
        <f t="shared" si="172"/>
        <v>255460.28358215367</v>
      </c>
      <c r="O552" s="364">
        <f t="shared" si="172"/>
        <v>109.35326295178152</v>
      </c>
      <c r="P552" s="364">
        <f t="shared" si="172"/>
        <v>309930.28523199819</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987</v>
      </c>
      <c r="G553" t="s">
        <v>253</v>
      </c>
      <c r="J553" s="364">
        <f>J80</f>
        <v>0</v>
      </c>
      <c r="K553" s="364">
        <f t="shared" ref="K553:Y553" si="173">K80</f>
        <v>0</v>
      </c>
      <c r="L553" s="364">
        <f t="shared" si="173"/>
        <v>0</v>
      </c>
      <c r="M553" s="364">
        <f t="shared" si="173"/>
        <v>0</v>
      </c>
      <c r="N553" s="364">
        <f t="shared" si="173"/>
        <v>662575.12256898556</v>
      </c>
      <c r="O553" s="364">
        <f t="shared" si="173"/>
        <v>4932.5751714703129</v>
      </c>
      <c r="P553" s="364">
        <f t="shared" si="173"/>
        <v>692359.02086749545</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989</v>
      </c>
      <c r="G554" t="s">
        <v>253</v>
      </c>
      <c r="J554" s="101">
        <f>J89</f>
        <v>0</v>
      </c>
      <c r="K554" s="101">
        <f t="shared" ref="K554:Y554" si="174">K89</f>
        <v>0</v>
      </c>
      <c r="L554" s="101">
        <f t="shared" si="174"/>
        <v>0</v>
      </c>
      <c r="M554" s="101">
        <f t="shared" si="174"/>
        <v>0</v>
      </c>
      <c r="N554" s="101">
        <f t="shared" si="174"/>
        <v>417880.79807264765</v>
      </c>
      <c r="O554" s="101">
        <f t="shared" si="174"/>
        <v>9375.6306287699972</v>
      </c>
      <c r="P554" s="101">
        <f t="shared" si="174"/>
        <v>463240.66916449316</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988</v>
      </c>
      <c r="G555" t="s">
        <v>253</v>
      </c>
      <c r="J555" s="101">
        <f>J98</f>
        <v>0</v>
      </c>
      <c r="K555" s="101">
        <f t="shared" ref="K555:Y555" si="175">K98</f>
        <v>0</v>
      </c>
      <c r="L555" s="101">
        <f t="shared" si="175"/>
        <v>0</v>
      </c>
      <c r="M555" s="101">
        <f t="shared" si="175"/>
        <v>0</v>
      </c>
      <c r="N555" s="101">
        <f t="shared" si="175"/>
        <v>695650.9327625141</v>
      </c>
      <c r="O555" s="101">
        <f t="shared" si="175"/>
        <v>215017.71917869226</v>
      </c>
      <c r="P555" s="101">
        <f t="shared" si="175"/>
        <v>1290688.6557104315</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254</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985</v>
      </c>
      <c r="G557" t="s">
        <v>253</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986</v>
      </c>
      <c r="G558" t="s">
        <v>253</v>
      </c>
      <c r="J558" s="364">
        <f>J72</f>
        <v>0</v>
      </c>
      <c r="K558" s="364">
        <f t="shared" ref="K558:Y558" si="177">K72</f>
        <v>0</v>
      </c>
      <c r="L558" s="364">
        <f t="shared" si="177"/>
        <v>0</v>
      </c>
      <c r="M558" s="364">
        <f t="shared" si="177"/>
        <v>0</v>
      </c>
      <c r="N558" s="364">
        <f t="shared" si="177"/>
        <v>4359.4712095938203</v>
      </c>
      <c r="O558" s="364">
        <f t="shared" si="177"/>
        <v>0.61790524733844565</v>
      </c>
      <c r="P558" s="364">
        <f t="shared" si="177"/>
        <v>4018.3170988580564</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987</v>
      </c>
      <c r="G559" t="s">
        <v>253</v>
      </c>
      <c r="J559" s="364">
        <f>J81</f>
        <v>0</v>
      </c>
      <c r="K559" s="364">
        <f t="shared" ref="K559:Y559" si="178">K81</f>
        <v>0</v>
      </c>
      <c r="L559" s="364">
        <f t="shared" si="178"/>
        <v>0</v>
      </c>
      <c r="M559" s="364">
        <f t="shared" si="178"/>
        <v>0</v>
      </c>
      <c r="N559" s="364">
        <f t="shared" si="178"/>
        <v>11306.952026081508</v>
      </c>
      <c r="O559" s="364">
        <f t="shared" si="178"/>
        <v>27.87172507771233</v>
      </c>
      <c r="P559" s="364">
        <f t="shared" si="178"/>
        <v>8976.5932039133422</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989</v>
      </c>
      <c r="G560" t="s">
        <v>253</v>
      </c>
      <c r="J560" s="101">
        <f>J90</f>
        <v>0</v>
      </c>
      <c r="K560" s="101">
        <f t="shared" ref="K560:Y560" si="179">K90</f>
        <v>0</v>
      </c>
      <c r="L560" s="101">
        <f t="shared" si="179"/>
        <v>0</v>
      </c>
      <c r="M560" s="101">
        <f t="shared" si="179"/>
        <v>0</v>
      </c>
      <c r="N560" s="101">
        <f t="shared" si="179"/>
        <v>7131.2036559841272</v>
      </c>
      <c r="O560" s="101">
        <f t="shared" si="179"/>
        <v>52.977398261801497</v>
      </c>
      <c r="P560" s="101">
        <f t="shared" si="179"/>
        <v>6006.0213231396365</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988</v>
      </c>
      <c r="G561" t="s">
        <v>253</v>
      </c>
      <c r="J561" s="101">
        <f>J99</f>
        <v>0</v>
      </c>
      <c r="K561" s="101">
        <f t="shared" ref="K561:Y561" si="180">K99</f>
        <v>0</v>
      </c>
      <c r="L561" s="101">
        <f t="shared" si="180"/>
        <v>0</v>
      </c>
      <c r="M561" s="101">
        <f t="shared" si="180"/>
        <v>0</v>
      </c>
      <c r="N561" s="101">
        <f t="shared" si="180"/>
        <v>11871.396096411157</v>
      </c>
      <c r="O561" s="101">
        <f t="shared" si="180"/>
        <v>1214.9667359248544</v>
      </c>
      <c r="P561" s="101">
        <f t="shared" si="180"/>
        <v>16734.073892330565</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255</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985</v>
      </c>
      <c r="G563" t="s">
        <v>256</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3663.5475540790721</v>
      </c>
      <c r="U563" s="131">
        <f t="shared" si="181"/>
        <v>0</v>
      </c>
      <c r="V563" s="131">
        <f t="shared" si="181"/>
        <v>397.56062338257436</v>
      </c>
      <c r="W563" s="131">
        <f t="shared" si="181"/>
        <v>0</v>
      </c>
      <c r="X563" s="131">
        <f t="shared" si="181"/>
        <v>20979.429173597407</v>
      </c>
      <c r="Y563" s="131">
        <f t="shared" si="181"/>
        <v>0</v>
      </c>
      <c r="AQ563" s="3"/>
    </row>
    <row r="564" spans="4:43" x14ac:dyDescent="0.3">
      <c r="E564" s="352"/>
      <c r="F564" s="353" t="s">
        <v>986</v>
      </c>
      <c r="G564" t="s">
        <v>256</v>
      </c>
      <c r="J564" s="364">
        <f>J73</f>
        <v>0</v>
      </c>
      <c r="K564" s="364">
        <f t="shared" ref="K564:Y564" si="182">K73</f>
        <v>0</v>
      </c>
      <c r="L564" s="364">
        <f t="shared" si="182"/>
        <v>0</v>
      </c>
      <c r="M564" s="364">
        <f t="shared" si="182"/>
        <v>0</v>
      </c>
      <c r="N564" s="364">
        <f t="shared" si="182"/>
        <v>57440.724377999293</v>
      </c>
      <c r="O564" s="364">
        <f t="shared" si="182"/>
        <v>490.70112202356984</v>
      </c>
      <c r="P564" s="364">
        <f t="shared" si="182"/>
        <v>54589.717629115243</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987</v>
      </c>
      <c r="G565" t="s">
        <v>256</v>
      </c>
      <c r="J565" s="364">
        <f>J82</f>
        <v>0</v>
      </c>
      <c r="K565" s="364">
        <f t="shared" ref="K565:Y565" si="183">K82</f>
        <v>0</v>
      </c>
      <c r="L565" s="364">
        <f t="shared" si="183"/>
        <v>0</v>
      </c>
      <c r="M565" s="364">
        <f t="shared" si="183"/>
        <v>0</v>
      </c>
      <c r="N565" s="364">
        <f t="shared" si="183"/>
        <v>104110.46354986852</v>
      </c>
      <c r="O565" s="364">
        <f t="shared" si="183"/>
        <v>969.78076847323098</v>
      </c>
      <c r="P565" s="364">
        <f t="shared" si="183"/>
        <v>133526.15196697853</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989</v>
      </c>
      <c r="G566" t="s">
        <v>256</v>
      </c>
      <c r="J566" s="101">
        <f>J91</f>
        <v>0</v>
      </c>
      <c r="K566" s="101">
        <f t="shared" ref="K566:Y566" si="184">K91</f>
        <v>0</v>
      </c>
      <c r="L566" s="101">
        <f t="shared" si="184"/>
        <v>0</v>
      </c>
      <c r="M566" s="101">
        <f t="shared" si="184"/>
        <v>0</v>
      </c>
      <c r="N566" s="101">
        <f t="shared" si="184"/>
        <v>66268.874218720433</v>
      </c>
      <c r="O566" s="101">
        <f t="shared" si="184"/>
        <v>2052.7702126966042</v>
      </c>
      <c r="P566" s="101">
        <f t="shared" si="184"/>
        <v>94536.103950424949</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988</v>
      </c>
      <c r="G567" s="37" t="s">
        <v>256</v>
      </c>
      <c r="H567" s="37"/>
      <c r="I567" s="37"/>
      <c r="J567" s="364">
        <f>J100</f>
        <v>0</v>
      </c>
      <c r="K567" s="364">
        <f t="shared" ref="K567:Y567" si="185">K100</f>
        <v>0</v>
      </c>
      <c r="L567" s="364">
        <f t="shared" si="185"/>
        <v>0</v>
      </c>
      <c r="M567" s="364">
        <f t="shared" si="185"/>
        <v>0</v>
      </c>
      <c r="N567" s="364">
        <f t="shared" si="185"/>
        <v>115598.48233615856</v>
      </c>
      <c r="O567" s="364">
        <f t="shared" si="185"/>
        <v>29502.27891937063</v>
      </c>
      <c r="P567" s="364">
        <f t="shared" si="185"/>
        <v>285210.42162781412</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1138</v>
      </c>
      <c r="AQ569" s="3"/>
    </row>
    <row r="570" spans="4:43" x14ac:dyDescent="0.3">
      <c r="E570" s="78" t="s">
        <v>249</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985</v>
      </c>
      <c r="G571" t="s">
        <v>209</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1.8728551428838309</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986</v>
      </c>
      <c r="G572" t="s">
        <v>209</v>
      </c>
      <c r="J572" s="364">
        <f>J114</f>
        <v>16844.83009576039</v>
      </c>
      <c r="K572" s="364">
        <f t="shared" ref="K572:Y572" si="187">K114</f>
        <v>0</v>
      </c>
      <c r="L572" s="364">
        <f t="shared" si="187"/>
        <v>18.942393434249407</v>
      </c>
      <c r="M572" s="364">
        <f t="shared" si="187"/>
        <v>0</v>
      </c>
      <c r="N572" s="364">
        <f t="shared" si="187"/>
        <v>378.65762425467994</v>
      </c>
      <c r="O572" s="364">
        <f t="shared" si="187"/>
        <v>0</v>
      </c>
      <c r="P572" s="364">
        <f t="shared" si="187"/>
        <v>0</v>
      </c>
      <c r="Q572" s="364">
        <f t="shared" si="187"/>
        <v>2.3648233621398798</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987</v>
      </c>
      <c r="G573" t="s">
        <v>209</v>
      </c>
      <c r="J573" s="364">
        <f>J123</f>
        <v>0</v>
      </c>
      <c r="K573" s="364">
        <f t="shared" ref="K573:Y573" si="188">K123</f>
        <v>0</v>
      </c>
      <c r="L573" s="364">
        <f t="shared" si="188"/>
        <v>87.18442153832207</v>
      </c>
      <c r="M573" s="364">
        <f t="shared" si="188"/>
        <v>0</v>
      </c>
      <c r="N573" s="364">
        <f t="shared" si="188"/>
        <v>686.31134469024903</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989</v>
      </c>
      <c r="G574" t="s">
        <v>209</v>
      </c>
      <c r="J574" s="101">
        <f>J132</f>
        <v>0</v>
      </c>
      <c r="K574" s="101">
        <f t="shared" ref="K574:Y574" si="189">K132</f>
        <v>0</v>
      </c>
      <c r="L574" s="101">
        <f t="shared" si="189"/>
        <v>107.91178084659383</v>
      </c>
      <c r="M574" s="101">
        <f t="shared" si="189"/>
        <v>0</v>
      </c>
      <c r="N574" s="101">
        <f t="shared" si="189"/>
        <v>436.85407427250323</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988</v>
      </c>
      <c r="G575" t="s">
        <v>209</v>
      </c>
      <c r="J575" s="101">
        <f>J141</f>
        <v>0</v>
      </c>
      <c r="K575" s="101">
        <f t="shared" ref="K575:Y575" si="190">K141</f>
        <v>0</v>
      </c>
      <c r="L575" s="101">
        <f t="shared" si="190"/>
        <v>382.70608978966459</v>
      </c>
      <c r="M575" s="101">
        <f t="shared" si="190"/>
        <v>0</v>
      </c>
      <c r="N575" s="101">
        <f t="shared" si="190"/>
        <v>762.0420383420834</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250</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985</v>
      </c>
      <c r="G577" t="s">
        <v>209</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9.0445144810384299</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986</v>
      </c>
      <c r="G578" t="s">
        <v>209</v>
      </c>
      <c r="J578" s="364">
        <f>J115</f>
        <v>47801.051720658063</v>
      </c>
      <c r="K578" s="364">
        <f t="shared" ref="K578:Y578" si="192">K115</f>
        <v>0</v>
      </c>
      <c r="L578" s="364">
        <f t="shared" si="192"/>
        <v>82.02939552550454</v>
      </c>
      <c r="M578" s="364">
        <f t="shared" si="192"/>
        <v>0</v>
      </c>
      <c r="N578" s="364">
        <f t="shared" si="192"/>
        <v>1428.4247490910273</v>
      </c>
      <c r="O578" s="364">
        <f t="shared" si="192"/>
        <v>0</v>
      </c>
      <c r="P578" s="364">
        <f t="shared" si="192"/>
        <v>0</v>
      </c>
      <c r="Q578" s="364">
        <f t="shared" si="192"/>
        <v>205.77520278102358</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987</v>
      </c>
      <c r="G579" t="s">
        <v>209</v>
      </c>
      <c r="J579" s="364">
        <f>J124</f>
        <v>0</v>
      </c>
      <c r="K579" s="364">
        <f t="shared" ref="K579:Y579" si="193">K124</f>
        <v>0</v>
      </c>
      <c r="L579" s="364">
        <f t="shared" si="193"/>
        <v>377.54919529326753</v>
      </c>
      <c r="M579" s="364">
        <f t="shared" si="193"/>
        <v>0</v>
      </c>
      <c r="N579" s="364">
        <f t="shared" si="193"/>
        <v>2588.9987353803508</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989</v>
      </c>
      <c r="G580" t="s">
        <v>209</v>
      </c>
      <c r="J580" s="101">
        <f>J133</f>
        <v>0</v>
      </c>
      <c r="K580" s="101">
        <f t="shared" ref="K580:Y580" si="194">K133</f>
        <v>0</v>
      </c>
      <c r="L580" s="101">
        <f t="shared" si="194"/>
        <v>467.30832529968347</v>
      </c>
      <c r="M580" s="101">
        <f t="shared" si="194"/>
        <v>0</v>
      </c>
      <c r="N580" s="101">
        <f t="shared" si="194"/>
        <v>1647.9614603306934</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988</v>
      </c>
      <c r="G581" t="s">
        <v>209</v>
      </c>
      <c r="J581" s="101">
        <f>J142</f>
        <v>0</v>
      </c>
      <c r="K581" s="101">
        <f t="shared" ref="K581:Y581" si="195">K142</f>
        <v>0</v>
      </c>
      <c r="L581" s="101">
        <f t="shared" si="195"/>
        <v>1657.2958068020198</v>
      </c>
      <c r="M581" s="101">
        <f t="shared" si="195"/>
        <v>0</v>
      </c>
      <c r="N581" s="101">
        <f t="shared" si="195"/>
        <v>2874.6805496341517</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251</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985</v>
      </c>
      <c r="G583" t="s">
        <v>209</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5.2527047793455779</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986</v>
      </c>
      <c r="G584" t="s">
        <v>209</v>
      </c>
      <c r="J584" s="364">
        <f>J116</f>
        <v>72046.381216640846</v>
      </c>
      <c r="K584" s="364">
        <f t="shared" ref="K584:Y584" si="197">K116</f>
        <v>0</v>
      </c>
      <c r="L584" s="364">
        <f t="shared" si="197"/>
        <v>77.114110048596388</v>
      </c>
      <c r="M584" s="364">
        <f t="shared" si="197"/>
        <v>0</v>
      </c>
      <c r="N584" s="364">
        <f t="shared" si="197"/>
        <v>1804.2374556761986</v>
      </c>
      <c r="O584" s="364">
        <f t="shared" si="197"/>
        <v>0</v>
      </c>
      <c r="P584" s="364">
        <f t="shared" si="197"/>
        <v>0</v>
      </c>
      <c r="Q584" s="364">
        <f t="shared" si="197"/>
        <v>349.2474447454577</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987</v>
      </c>
      <c r="G585" t="s">
        <v>209</v>
      </c>
      <c r="J585" s="364">
        <f>J125</f>
        <v>0</v>
      </c>
      <c r="K585" s="364">
        <f t="shared" ref="K585:Y585" si="198">K125</f>
        <v>0</v>
      </c>
      <c r="L585" s="364">
        <f t="shared" si="198"/>
        <v>354.92606044563399</v>
      </c>
      <c r="M585" s="364">
        <f t="shared" si="198"/>
        <v>0</v>
      </c>
      <c r="N585" s="364">
        <f t="shared" si="198"/>
        <v>3270.1537088628725</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989</v>
      </c>
      <c r="G586" t="s">
        <v>209</v>
      </c>
      <c r="J586" s="101">
        <f>J134</f>
        <v>0</v>
      </c>
      <c r="K586" s="101">
        <f t="shared" ref="K586:Y586" si="199">K134</f>
        <v>0</v>
      </c>
      <c r="L586" s="101">
        <f t="shared" si="199"/>
        <v>439.30673136047625</v>
      </c>
      <c r="M586" s="101">
        <f t="shared" si="199"/>
        <v>0</v>
      </c>
      <c r="N586" s="101">
        <f t="shared" si="199"/>
        <v>2081.5333773315956</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988</v>
      </c>
      <c r="G587" t="s">
        <v>209</v>
      </c>
      <c r="J587" s="101">
        <f>J143</f>
        <v>0</v>
      </c>
      <c r="K587" s="101">
        <f t="shared" ref="K587:Y587" si="200">K143</f>
        <v>0</v>
      </c>
      <c r="L587" s="101">
        <f t="shared" si="200"/>
        <v>1557.9889429890106</v>
      </c>
      <c r="M587" s="101">
        <f t="shared" si="200"/>
        <v>0</v>
      </c>
      <c r="N587" s="101">
        <f t="shared" si="200"/>
        <v>3630.9972394795427</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214</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985</v>
      </c>
      <c r="G589" t="s">
        <v>214</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986</v>
      </c>
      <c r="G590" t="s">
        <v>214</v>
      </c>
      <c r="J590" s="364">
        <f>J117</f>
        <v>40851.844073726381</v>
      </c>
      <c r="K590" s="364">
        <f t="shared" ref="K590:Y590" si="202">K117</f>
        <v>0</v>
      </c>
      <c r="L590" s="364">
        <f t="shared" si="202"/>
        <v>259.04965163873868</v>
      </c>
      <c r="M590" s="364">
        <f t="shared" si="202"/>
        <v>0</v>
      </c>
      <c r="N590" s="364">
        <f t="shared" si="202"/>
        <v>27.369364813722179</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987</v>
      </c>
      <c r="G591" t="s">
        <v>214</v>
      </c>
      <c r="J591" s="364">
        <f>J126</f>
        <v>0</v>
      </c>
      <c r="K591" s="364">
        <f t="shared" ref="K591:Y591" si="203">K126</f>
        <v>0</v>
      </c>
      <c r="L591" s="364">
        <f t="shared" si="203"/>
        <v>225.26692663335101</v>
      </c>
      <c r="M591" s="364">
        <f t="shared" si="203"/>
        <v>0</v>
      </c>
      <c r="N591" s="364">
        <f t="shared" si="203"/>
        <v>28.796397664222738</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989</v>
      </c>
      <c r="G592" t="s">
        <v>214</v>
      </c>
      <c r="J592" s="101">
        <f>J135</f>
        <v>0</v>
      </c>
      <c r="K592" s="101">
        <f t="shared" ref="K592:Y592" si="204">K135</f>
        <v>0</v>
      </c>
      <c r="L592" s="101">
        <f t="shared" si="204"/>
        <v>111.8486919985281</v>
      </c>
      <c r="M592" s="101">
        <f t="shared" si="204"/>
        <v>0</v>
      </c>
      <c r="N592" s="101">
        <f t="shared" si="204"/>
        <v>11.697577523637193</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988</v>
      </c>
      <c r="G593" t="s">
        <v>214</v>
      </c>
      <c r="J593" s="101">
        <f>J144</f>
        <v>0</v>
      </c>
      <c r="K593" s="101">
        <f t="shared" ref="K593:Y593" si="205">K144</f>
        <v>0</v>
      </c>
      <c r="L593" s="101">
        <f t="shared" si="205"/>
        <v>127.27132631637681</v>
      </c>
      <c r="M593" s="101">
        <f t="shared" si="205"/>
        <v>0</v>
      </c>
      <c r="N593" s="101">
        <f t="shared" si="205"/>
        <v>11.175866589045592</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252</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985</v>
      </c>
      <c r="G595" t="s">
        <v>253</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986</v>
      </c>
      <c r="G596" t="s">
        <v>253</v>
      </c>
      <c r="J596" s="364">
        <f>J118</f>
        <v>0</v>
      </c>
      <c r="K596" s="364">
        <f t="shared" ref="K596:Y596" si="207">K118</f>
        <v>0</v>
      </c>
      <c r="L596" s="364">
        <f t="shared" si="207"/>
        <v>0</v>
      </c>
      <c r="M596" s="364">
        <f t="shared" si="207"/>
        <v>0</v>
      </c>
      <c r="N596" s="364">
        <f t="shared" si="207"/>
        <v>1766.2552623260717</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987</v>
      </c>
      <c r="G597" t="s">
        <v>253</v>
      </c>
      <c r="J597" s="364">
        <f>J127</f>
        <v>0</v>
      </c>
      <c r="K597" s="364">
        <f t="shared" ref="K597:Y597" si="208">K127</f>
        <v>0</v>
      </c>
      <c r="L597" s="364">
        <f t="shared" si="208"/>
        <v>0</v>
      </c>
      <c r="M597" s="364">
        <f t="shared" si="208"/>
        <v>0</v>
      </c>
      <c r="N597" s="364">
        <f t="shared" si="208"/>
        <v>4581.0518195383684</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989</v>
      </c>
      <c r="G598" t="s">
        <v>253</v>
      </c>
      <c r="J598" s="101">
        <f>J136</f>
        <v>0</v>
      </c>
      <c r="K598" s="101">
        <f t="shared" ref="K598:Y598" si="209">K136</f>
        <v>0</v>
      </c>
      <c r="L598" s="101">
        <f t="shared" si="209"/>
        <v>0</v>
      </c>
      <c r="M598" s="101">
        <f t="shared" si="209"/>
        <v>0</v>
      </c>
      <c r="N598" s="101">
        <f t="shared" si="209"/>
        <v>2889.2325189307612</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988</v>
      </c>
      <c r="G599" t="s">
        <v>253</v>
      </c>
      <c r="J599" s="101">
        <f>J145</f>
        <v>0</v>
      </c>
      <c r="K599" s="101">
        <f t="shared" ref="K599:Y599" si="210">K145</f>
        <v>0</v>
      </c>
      <c r="L599" s="101">
        <f t="shared" si="210"/>
        <v>0</v>
      </c>
      <c r="M599" s="101">
        <f t="shared" si="210"/>
        <v>0</v>
      </c>
      <c r="N599" s="101">
        <f t="shared" si="210"/>
        <v>4809.7383417281499</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254</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985</v>
      </c>
      <c r="G601" t="s">
        <v>253</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986</v>
      </c>
      <c r="G602" t="s">
        <v>253</v>
      </c>
      <c r="J602" s="364">
        <f>J119</f>
        <v>0</v>
      </c>
      <c r="K602" s="364">
        <f t="shared" ref="K602:Y602" si="212">K119</f>
        <v>0</v>
      </c>
      <c r="L602" s="364">
        <f t="shared" si="212"/>
        <v>0</v>
      </c>
      <c r="M602" s="364">
        <f t="shared" si="212"/>
        <v>0</v>
      </c>
      <c r="N602" s="364">
        <f t="shared" si="212"/>
        <v>3.5313618344123192</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987</v>
      </c>
      <c r="G603" t="s">
        <v>253</v>
      </c>
      <c r="J603" s="364">
        <f>J128</f>
        <v>0</v>
      </c>
      <c r="K603" s="364">
        <f t="shared" ref="K603:Y603" si="213">K128</f>
        <v>0</v>
      </c>
      <c r="L603" s="364">
        <f t="shared" si="213"/>
        <v>0</v>
      </c>
      <c r="M603" s="364">
        <f t="shared" si="213"/>
        <v>0</v>
      </c>
      <c r="N603" s="364">
        <f t="shared" si="213"/>
        <v>9.1591243361268884</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989</v>
      </c>
      <c r="G604" t="s">
        <v>253</v>
      </c>
      <c r="J604" s="101">
        <f>J137</f>
        <v>0</v>
      </c>
      <c r="K604" s="101">
        <f t="shared" ref="K604:Y604" si="214">K137</f>
        <v>0</v>
      </c>
      <c r="L604" s="101">
        <f t="shared" si="214"/>
        <v>0</v>
      </c>
      <c r="M604" s="101">
        <f t="shared" si="214"/>
        <v>0</v>
      </c>
      <c r="N604" s="101">
        <f t="shared" si="214"/>
        <v>5.7765860154654582</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988</v>
      </c>
      <c r="G605" t="s">
        <v>253</v>
      </c>
      <c r="J605" s="101">
        <f>J146</f>
        <v>0</v>
      </c>
      <c r="K605" s="101">
        <f t="shared" ref="K605:Y605" si="215">K146</f>
        <v>0</v>
      </c>
      <c r="L605" s="101">
        <f t="shared" si="215"/>
        <v>0</v>
      </c>
      <c r="M605" s="101">
        <f t="shared" si="215"/>
        <v>0</v>
      </c>
      <c r="N605" s="101">
        <f t="shared" si="215"/>
        <v>9.6163486534330662</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255</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985</v>
      </c>
      <c r="G607" t="s">
        <v>256</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986</v>
      </c>
      <c r="G608" t="s">
        <v>256</v>
      </c>
      <c r="J608" s="364">
        <f>J120</f>
        <v>0</v>
      </c>
      <c r="K608" s="364">
        <f t="shared" ref="K608:Y608" si="217">K120</f>
        <v>0</v>
      </c>
      <c r="L608" s="364">
        <f t="shared" si="217"/>
        <v>0</v>
      </c>
      <c r="M608" s="364">
        <f t="shared" si="217"/>
        <v>0</v>
      </c>
      <c r="N608" s="364">
        <f t="shared" si="217"/>
        <v>236.04857804815131</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987</v>
      </c>
      <c r="G609" t="s">
        <v>256</v>
      </c>
      <c r="J609" s="364">
        <f>J129</f>
        <v>0</v>
      </c>
      <c r="K609" s="364">
        <f t="shared" ref="K609:Y609" si="218">K129</f>
        <v>0</v>
      </c>
      <c r="L609" s="364">
        <f t="shared" si="218"/>
        <v>0</v>
      </c>
      <c r="M609" s="364">
        <f t="shared" si="218"/>
        <v>0</v>
      </c>
      <c r="N609" s="364">
        <f t="shared" si="218"/>
        <v>427.83455722388163</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989</v>
      </c>
      <c r="G610" t="s">
        <v>256</v>
      </c>
      <c r="J610" s="101">
        <f>J138</f>
        <v>0</v>
      </c>
      <c r="K610" s="101">
        <f t="shared" ref="K610:Y610" si="219">K138</f>
        <v>0</v>
      </c>
      <c r="L610" s="101">
        <f t="shared" si="219"/>
        <v>0</v>
      </c>
      <c r="M610" s="101">
        <f t="shared" si="219"/>
        <v>0</v>
      </c>
      <c r="N610" s="101">
        <f t="shared" si="219"/>
        <v>272.32723294436977</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988</v>
      </c>
      <c r="G611" s="37" t="s">
        <v>256</v>
      </c>
      <c r="H611" s="37"/>
      <c r="I611" s="37"/>
      <c r="J611" s="364">
        <f>J147</f>
        <v>0</v>
      </c>
      <c r="K611" s="364">
        <f t="shared" ref="K611:Y611" si="220">K147</f>
        <v>0</v>
      </c>
      <c r="L611" s="364">
        <f t="shared" si="220"/>
        <v>0</v>
      </c>
      <c r="M611" s="364">
        <f t="shared" si="220"/>
        <v>0</v>
      </c>
      <c r="N611" s="364">
        <f t="shared" si="220"/>
        <v>475.04375467844665</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1139</v>
      </c>
      <c r="AQ613" s="3"/>
    </row>
    <row r="614" spans="4:43" x14ac:dyDescent="0.3">
      <c r="E614" s="78" t="s">
        <v>249</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985</v>
      </c>
      <c r="G615" t="s">
        <v>209</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0.10207970836668105</v>
      </c>
      <c r="S615" s="131">
        <f t="shared" si="221"/>
        <v>0</v>
      </c>
      <c r="T615" s="131">
        <f t="shared" si="221"/>
        <v>9.3150819735035242</v>
      </c>
      <c r="U615" s="131">
        <f t="shared" si="221"/>
        <v>0</v>
      </c>
      <c r="V615" s="131">
        <f t="shared" si="221"/>
        <v>0</v>
      </c>
      <c r="W615" s="131">
        <f t="shared" si="221"/>
        <v>0</v>
      </c>
      <c r="X615" s="131">
        <f t="shared" si="221"/>
        <v>0</v>
      </c>
      <c r="Y615" s="131">
        <f t="shared" si="221"/>
        <v>0</v>
      </c>
      <c r="AQ615" s="3"/>
    </row>
    <row r="616" spans="4:43" x14ac:dyDescent="0.3">
      <c r="E616" s="352"/>
      <c r="F616" s="2" t="s">
        <v>986</v>
      </c>
      <c r="G616" t="s">
        <v>209</v>
      </c>
      <c r="J616" s="364">
        <f>J161</f>
        <v>38108.591813126724</v>
      </c>
      <c r="K616" s="364">
        <f t="shared" ref="K616:Y616" si="222">K161</f>
        <v>0</v>
      </c>
      <c r="L616" s="364">
        <f t="shared" si="222"/>
        <v>91.021235078130502</v>
      </c>
      <c r="M616" s="364">
        <f t="shared" si="222"/>
        <v>0</v>
      </c>
      <c r="N616" s="364">
        <f t="shared" si="222"/>
        <v>3459.0095420465991</v>
      </c>
      <c r="O616" s="364">
        <f t="shared" si="222"/>
        <v>50.972586942372644</v>
      </c>
      <c r="P616" s="364">
        <f t="shared" si="222"/>
        <v>1187.0464416040249</v>
      </c>
      <c r="Q616" s="364">
        <f t="shared" si="222"/>
        <v>5.6935103681417845</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987</v>
      </c>
      <c r="G617" t="s">
        <v>209</v>
      </c>
      <c r="J617" s="364">
        <f>J170</f>
        <v>0</v>
      </c>
      <c r="K617" s="364">
        <f t="shared" ref="K617:Y617" si="223">K170</f>
        <v>0</v>
      </c>
      <c r="L617" s="364">
        <f t="shared" si="223"/>
        <v>418.93511268972793</v>
      </c>
      <c r="M617" s="364">
        <f t="shared" si="223"/>
        <v>0</v>
      </c>
      <c r="N617" s="364">
        <f t="shared" si="223"/>
        <v>6269.4036460275065</v>
      </c>
      <c r="O617" s="364">
        <f t="shared" si="223"/>
        <v>100.73796923918252</v>
      </c>
      <c r="P617" s="364">
        <f t="shared" si="223"/>
        <v>2903.5091302422084</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989</v>
      </c>
      <c r="G618" t="s">
        <v>209</v>
      </c>
      <c r="J618" s="101">
        <f>J179</f>
        <v>0</v>
      </c>
      <c r="K618" s="101">
        <f t="shared" ref="K618:Y618" si="224">K179</f>
        <v>0</v>
      </c>
      <c r="L618" s="101">
        <f t="shared" si="224"/>
        <v>518.53339474926418</v>
      </c>
      <c r="M618" s="101">
        <f t="shared" si="224"/>
        <v>0</v>
      </c>
      <c r="N618" s="101">
        <f t="shared" si="224"/>
        <v>3990.6298318033841</v>
      </c>
      <c r="O618" s="101">
        <f t="shared" si="224"/>
        <v>213.23572220070147</v>
      </c>
      <c r="P618" s="101">
        <f t="shared" si="224"/>
        <v>2055.6755131044797</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988</v>
      </c>
      <c r="G619" t="s">
        <v>209</v>
      </c>
      <c r="J619" s="101">
        <f>J188</f>
        <v>0</v>
      </c>
      <c r="K619" s="101">
        <f t="shared" ref="K619:Y619" si="225">K188</f>
        <v>0</v>
      </c>
      <c r="L619" s="101">
        <f t="shared" si="225"/>
        <v>1838.9640720688315</v>
      </c>
      <c r="M619" s="101">
        <f t="shared" si="225"/>
        <v>0</v>
      </c>
      <c r="N619" s="101">
        <f t="shared" si="225"/>
        <v>6961.1979614941793</v>
      </c>
      <c r="O619" s="101">
        <f t="shared" si="225"/>
        <v>3064.6098199537332</v>
      </c>
      <c r="P619" s="101">
        <f t="shared" si="225"/>
        <v>6201.8642118989756</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250</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985</v>
      </c>
      <c r="G621" t="s">
        <v>209</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0.70602788921055704</v>
      </c>
      <c r="S621" s="131">
        <f t="shared" si="226"/>
        <v>0</v>
      </c>
      <c r="T621" s="131">
        <f t="shared" si="226"/>
        <v>50.757499276286254</v>
      </c>
      <c r="U621" s="131">
        <f t="shared" si="226"/>
        <v>0</v>
      </c>
      <c r="V621" s="131">
        <f t="shared" si="226"/>
        <v>0</v>
      </c>
      <c r="W621" s="131">
        <f t="shared" si="226"/>
        <v>0</v>
      </c>
      <c r="X621" s="131">
        <f t="shared" si="226"/>
        <v>0</v>
      </c>
      <c r="Y621" s="131">
        <f t="shared" si="226"/>
        <v>0</v>
      </c>
      <c r="AQ621" s="3"/>
    </row>
    <row r="622" spans="4:43" x14ac:dyDescent="0.3">
      <c r="E622" s="352"/>
      <c r="F622" s="2" t="s">
        <v>986</v>
      </c>
      <c r="G622" t="s">
        <v>209</v>
      </c>
      <c r="J622" s="364">
        <f>J162</f>
        <v>107950.2222213502</v>
      </c>
      <c r="K622" s="364">
        <f t="shared" ref="K622:Y622" si="227">K162</f>
        <v>0</v>
      </c>
      <c r="L622" s="364">
        <f t="shared" si="227"/>
        <v>391.20064627938979</v>
      </c>
      <c r="M622" s="364">
        <f t="shared" si="227"/>
        <v>0</v>
      </c>
      <c r="N622" s="364">
        <f t="shared" si="227"/>
        <v>12792.967584846705</v>
      </c>
      <c r="O622" s="364">
        <f t="shared" si="227"/>
        <v>193.86605341280736</v>
      </c>
      <c r="P622" s="364">
        <f t="shared" si="227"/>
        <v>4196.4664762891389</v>
      </c>
      <c r="Q622" s="364">
        <f t="shared" si="227"/>
        <v>484.30703219565856</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987</v>
      </c>
      <c r="G623" t="s">
        <v>209</v>
      </c>
      <c r="J623" s="364">
        <f>J171</f>
        <v>0</v>
      </c>
      <c r="K623" s="364">
        <f t="shared" ref="K623:Y623" si="228">K171</f>
        <v>0</v>
      </c>
      <c r="L623" s="364">
        <f t="shared" si="228"/>
        <v>1800.5434302519977</v>
      </c>
      <c r="M623" s="364">
        <f t="shared" si="228"/>
        <v>0</v>
      </c>
      <c r="N623" s="364">
        <f t="shared" si="228"/>
        <v>23187.064575859775</v>
      </c>
      <c r="O623" s="364">
        <f t="shared" si="228"/>
        <v>383.14069771072224</v>
      </c>
      <c r="P623" s="364">
        <f t="shared" si="228"/>
        <v>10264.534142570103</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989</v>
      </c>
      <c r="G624" t="s">
        <v>209</v>
      </c>
      <c r="J624" s="101">
        <f>J180</f>
        <v>0</v>
      </c>
      <c r="K624" s="101">
        <f t="shared" ref="K624:Y624" si="229">K180</f>
        <v>0</v>
      </c>
      <c r="L624" s="101">
        <f t="shared" si="229"/>
        <v>2228.6074119872787</v>
      </c>
      <c r="M624" s="101">
        <f t="shared" si="229"/>
        <v>0</v>
      </c>
      <c r="N624" s="101">
        <f t="shared" si="229"/>
        <v>14759.137684013705</v>
      </c>
      <c r="O624" s="101">
        <f t="shared" si="229"/>
        <v>811.007845381989</v>
      </c>
      <c r="P624" s="101">
        <f t="shared" si="229"/>
        <v>7267.2585288361252</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988</v>
      </c>
      <c r="G625" t="s">
        <v>209</v>
      </c>
      <c r="J625" s="101">
        <f>J189</f>
        <v>0</v>
      </c>
      <c r="K625" s="101">
        <f t="shared" ref="K625:Y625" si="230">K189</f>
        <v>0</v>
      </c>
      <c r="L625" s="101">
        <f t="shared" si="230"/>
        <v>7903.6933838613113</v>
      </c>
      <c r="M625" s="101">
        <f t="shared" si="230"/>
        <v>0</v>
      </c>
      <c r="N625" s="101">
        <f t="shared" si="230"/>
        <v>25745.630010724115</v>
      </c>
      <c r="O625" s="101">
        <f t="shared" si="230"/>
        <v>11655.751584989292</v>
      </c>
      <c r="P625" s="101">
        <f t="shared" si="230"/>
        <v>21924.934310542449</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251</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985</v>
      </c>
      <c r="G627" t="s">
        <v>209</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0.53785825991290714</v>
      </c>
      <c r="S627" s="131">
        <f t="shared" si="231"/>
        <v>0</v>
      </c>
      <c r="T627" s="131">
        <f t="shared" si="231"/>
        <v>102.22566092765663</v>
      </c>
      <c r="U627" s="131">
        <f t="shared" si="231"/>
        <v>0</v>
      </c>
      <c r="V627" s="131">
        <f t="shared" si="231"/>
        <v>0</v>
      </c>
      <c r="W627" s="131">
        <f t="shared" si="231"/>
        <v>0</v>
      </c>
      <c r="X627" s="131">
        <f t="shared" si="231"/>
        <v>0</v>
      </c>
      <c r="Y627" s="131">
        <f t="shared" si="231"/>
        <v>0</v>
      </c>
      <c r="AQ627" s="3"/>
    </row>
    <row r="628" spans="5:43" x14ac:dyDescent="0.3">
      <c r="E628" s="352"/>
      <c r="F628" s="2" t="s">
        <v>986</v>
      </c>
      <c r="G628" t="s">
        <v>209</v>
      </c>
      <c r="J628" s="364">
        <f>J163</f>
        <v>162892.31444569505</v>
      </c>
      <c r="K628" s="364">
        <f t="shared" ref="K628:Y628" si="232">K163</f>
        <v>0</v>
      </c>
      <c r="L628" s="364">
        <f t="shared" si="232"/>
        <v>353.66662900835792</v>
      </c>
      <c r="M628" s="364">
        <f t="shared" si="232"/>
        <v>0</v>
      </c>
      <c r="N628" s="364">
        <f t="shared" si="232"/>
        <v>16155.857858706488</v>
      </c>
      <c r="O628" s="364">
        <f t="shared" si="232"/>
        <v>278.76658312353277</v>
      </c>
      <c r="P628" s="364">
        <f t="shared" si="232"/>
        <v>6513.6984871214654</v>
      </c>
      <c r="Q628" s="364">
        <f t="shared" si="232"/>
        <v>798.66787986561553</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987</v>
      </c>
      <c r="G629" t="s">
        <v>209</v>
      </c>
      <c r="J629" s="364">
        <f>J172</f>
        <v>0</v>
      </c>
      <c r="K629" s="364">
        <f t="shared" ref="K629:Y629" si="233">K172</f>
        <v>0</v>
      </c>
      <c r="L629" s="364">
        <f t="shared" si="233"/>
        <v>1627.7890423155943</v>
      </c>
      <c r="M629" s="364">
        <f t="shared" si="233"/>
        <v>0</v>
      </c>
      <c r="N629" s="364">
        <f t="shared" si="233"/>
        <v>29282.253469629795</v>
      </c>
      <c r="O629" s="364">
        <f t="shared" si="233"/>
        <v>550.93102312737551</v>
      </c>
      <c r="P629" s="364">
        <f t="shared" si="233"/>
        <v>15932.471018948469</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989</v>
      </c>
      <c r="G630" t="s">
        <v>209</v>
      </c>
      <c r="J630" s="101">
        <f>J181</f>
        <v>0</v>
      </c>
      <c r="K630" s="101">
        <f t="shared" ref="K630:Y630" si="234">K181</f>
        <v>0</v>
      </c>
      <c r="L630" s="101">
        <f t="shared" si="234"/>
        <v>2014.7821284979984</v>
      </c>
      <c r="M630" s="101">
        <f t="shared" si="234"/>
        <v>0</v>
      </c>
      <c r="N630" s="101">
        <f t="shared" si="234"/>
        <v>18638.875535215477</v>
      </c>
      <c r="O630" s="101">
        <f t="shared" si="234"/>
        <v>1166.1757278470486</v>
      </c>
      <c r="P630" s="101">
        <f t="shared" si="234"/>
        <v>11280.140363866189</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988</v>
      </c>
      <c r="G631" t="s">
        <v>209</v>
      </c>
      <c r="J631" s="101">
        <f>J190</f>
        <v>0</v>
      </c>
      <c r="K631" s="101">
        <f t="shared" ref="K631:Y631" si="235">K190</f>
        <v>0</v>
      </c>
      <c r="L631" s="101">
        <f t="shared" si="235"/>
        <v>7145.3680416201278</v>
      </c>
      <c r="M631" s="101">
        <f t="shared" si="235"/>
        <v>0</v>
      </c>
      <c r="N631" s="101">
        <f t="shared" si="235"/>
        <v>32513.389577316819</v>
      </c>
      <c r="O631" s="101">
        <f t="shared" si="235"/>
        <v>16760.201107335855</v>
      </c>
      <c r="P631" s="101">
        <f t="shared" si="235"/>
        <v>34031.586396730694</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214</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985</v>
      </c>
      <c r="G633" t="s">
        <v>214</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7.5227924811313303</v>
      </c>
      <c r="U633" s="131">
        <f t="shared" si="236"/>
        <v>0</v>
      </c>
      <c r="V633" s="131">
        <f t="shared" si="236"/>
        <v>0</v>
      </c>
      <c r="W633" s="131">
        <f t="shared" si="236"/>
        <v>0</v>
      </c>
      <c r="X633" s="131">
        <f t="shared" si="236"/>
        <v>0</v>
      </c>
      <c r="Y633" s="131">
        <f t="shared" si="236"/>
        <v>0</v>
      </c>
      <c r="AQ633" s="3"/>
    </row>
    <row r="634" spans="5:43" x14ac:dyDescent="0.3">
      <c r="E634" s="352"/>
      <c r="F634" s="2" t="s">
        <v>986</v>
      </c>
      <c r="G634" t="s">
        <v>214</v>
      </c>
      <c r="J634" s="364">
        <f>J164</f>
        <v>95331.946746646136</v>
      </c>
      <c r="K634" s="364">
        <f t="shared" ref="K634:Y634" si="237">K164</f>
        <v>0</v>
      </c>
      <c r="L634" s="364">
        <f t="shared" si="237"/>
        <v>776.5322375992281</v>
      </c>
      <c r="M634" s="364">
        <f t="shared" si="237"/>
        <v>0</v>
      </c>
      <c r="N634" s="364">
        <f t="shared" si="237"/>
        <v>177.5611654517908</v>
      </c>
      <c r="O634" s="364">
        <f t="shared" si="237"/>
        <v>1.0308197941793038</v>
      </c>
      <c r="P634" s="364">
        <f t="shared" si="237"/>
        <v>22.500027373401814</v>
      </c>
      <c r="Q634" s="364">
        <f t="shared" si="237"/>
        <v>0</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987</v>
      </c>
      <c r="G635" t="s">
        <v>214</v>
      </c>
      <c r="J635" s="364">
        <f>J173</f>
        <v>0</v>
      </c>
      <c r="K635" s="364">
        <f t="shared" ref="K635:Y635" si="238">K173</f>
        <v>0</v>
      </c>
      <c r="L635" s="364">
        <f t="shared" si="238"/>
        <v>675.2644888310607</v>
      </c>
      <c r="M635" s="364">
        <f t="shared" si="238"/>
        <v>0</v>
      </c>
      <c r="N635" s="364">
        <f t="shared" si="238"/>
        <v>186.81916679005462</v>
      </c>
      <c r="O635" s="364">
        <f t="shared" si="238"/>
        <v>2.7832134442841201</v>
      </c>
      <c r="P635" s="364">
        <f t="shared" si="238"/>
        <v>15.670466029240488</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989</v>
      </c>
      <c r="G636" t="s">
        <v>214</v>
      </c>
      <c r="J636" s="101">
        <f>J182</f>
        <v>0</v>
      </c>
      <c r="K636" s="101">
        <f t="shared" ref="K636:Y636" si="239">K182</f>
        <v>0</v>
      </c>
      <c r="L636" s="101">
        <f t="shared" si="239"/>
        <v>335.27979875953486</v>
      </c>
      <c r="M636" s="101">
        <f t="shared" si="239"/>
        <v>0</v>
      </c>
      <c r="N636" s="101">
        <f t="shared" si="239"/>
        <v>75.889064733366766</v>
      </c>
      <c r="O636" s="101">
        <f t="shared" si="239"/>
        <v>3.6078692796275629</v>
      </c>
      <c r="P636" s="101">
        <f t="shared" si="239"/>
        <v>5.0133483273623787</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988</v>
      </c>
      <c r="G637" t="s">
        <v>214</v>
      </c>
      <c r="J637" s="101">
        <f>J191</f>
        <v>0</v>
      </c>
      <c r="K637" s="101">
        <f t="shared" ref="K637:Y637" si="240">K191</f>
        <v>0</v>
      </c>
      <c r="L637" s="101">
        <f t="shared" si="240"/>
        <v>381.51098517786386</v>
      </c>
      <c r="M637" s="101">
        <f t="shared" si="240"/>
        <v>0</v>
      </c>
      <c r="N637" s="101">
        <f t="shared" si="240"/>
        <v>72.504419082818714</v>
      </c>
      <c r="O637" s="101">
        <f t="shared" si="240"/>
        <v>30.306101948871529</v>
      </c>
      <c r="P637" s="101">
        <f t="shared" si="240"/>
        <v>5.8088796487701817</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252</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985</v>
      </c>
      <c r="G639" t="s">
        <v>253</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986</v>
      </c>
      <c r="G640" t="s">
        <v>253</v>
      </c>
      <c r="J640" s="364">
        <f>J165</f>
        <v>0</v>
      </c>
      <c r="K640" s="364">
        <f t="shared" ref="K640:Y640" si="242">K165</f>
        <v>0</v>
      </c>
      <c r="L640" s="364">
        <f t="shared" si="242"/>
        <v>0</v>
      </c>
      <c r="M640" s="364">
        <f t="shared" si="242"/>
        <v>0</v>
      </c>
      <c r="N640" s="364">
        <f t="shared" si="242"/>
        <v>18032.380369857019</v>
      </c>
      <c r="O640" s="364">
        <f t="shared" si="242"/>
        <v>12.063291022714548</v>
      </c>
      <c r="P640" s="364">
        <f t="shared" si="242"/>
        <v>8209.6062574963653</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987</v>
      </c>
      <c r="G641" t="s">
        <v>253</v>
      </c>
      <c r="J641" s="364">
        <f>J174</f>
        <v>0</v>
      </c>
      <c r="K641" s="364">
        <f t="shared" ref="K641:Y641" si="243">K174</f>
        <v>0</v>
      </c>
      <c r="L641" s="364">
        <f t="shared" si="243"/>
        <v>0</v>
      </c>
      <c r="M641" s="364">
        <f t="shared" si="243"/>
        <v>0</v>
      </c>
      <c r="N641" s="364">
        <f t="shared" si="243"/>
        <v>46769.722738236451</v>
      </c>
      <c r="O641" s="364">
        <f t="shared" si="243"/>
        <v>544.1363904349148</v>
      </c>
      <c r="P641" s="364">
        <f t="shared" si="243"/>
        <v>18339.591904976616</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989</v>
      </c>
      <c r="G642" t="s">
        <v>253</v>
      </c>
      <c r="J642" s="101">
        <f>J183</f>
        <v>0</v>
      </c>
      <c r="K642" s="101">
        <f t="shared" ref="K642:Y642" si="244">K183</f>
        <v>0</v>
      </c>
      <c r="L642" s="101">
        <f t="shared" si="244"/>
        <v>0</v>
      </c>
      <c r="M642" s="101">
        <f t="shared" si="244"/>
        <v>0</v>
      </c>
      <c r="N642" s="101">
        <f t="shared" si="244"/>
        <v>29497.287775780951</v>
      </c>
      <c r="O642" s="101">
        <f t="shared" si="244"/>
        <v>1034.2714770770001</v>
      </c>
      <c r="P642" s="101">
        <f t="shared" si="244"/>
        <v>12270.577215301419</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988</v>
      </c>
      <c r="G643" t="s">
        <v>253</v>
      </c>
      <c r="J643" s="101">
        <f>J192</f>
        <v>0</v>
      </c>
      <c r="K643" s="101">
        <f t="shared" ref="K643:Y643" si="245">K192</f>
        <v>0</v>
      </c>
      <c r="L643" s="101">
        <f t="shared" si="245"/>
        <v>0</v>
      </c>
      <c r="M643" s="101">
        <f t="shared" si="245"/>
        <v>0</v>
      </c>
      <c r="N643" s="101">
        <f t="shared" si="245"/>
        <v>49104.471537883393</v>
      </c>
      <c r="O643" s="101">
        <f t="shared" si="245"/>
        <v>23719.651809901654</v>
      </c>
      <c r="P643" s="101">
        <f t="shared" si="245"/>
        <v>34188.480988452822</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254</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985</v>
      </c>
      <c r="G645" t="s">
        <v>253</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986</v>
      </c>
      <c r="G646" t="s">
        <v>253</v>
      </c>
      <c r="J646" s="364">
        <f>J166</f>
        <v>0</v>
      </c>
      <c r="K646" s="364">
        <f t="shared" ref="K646:Y646" si="247">K166</f>
        <v>0</v>
      </c>
      <c r="L646" s="364">
        <f t="shared" si="247"/>
        <v>0</v>
      </c>
      <c r="M646" s="364">
        <f t="shared" si="247"/>
        <v>0</v>
      </c>
      <c r="N646" s="364">
        <f t="shared" si="247"/>
        <v>43.85799562311626</v>
      </c>
      <c r="O646" s="364">
        <f t="shared" si="247"/>
        <v>4.1748762263639147E-2</v>
      </c>
      <c r="P646" s="364">
        <f t="shared" si="247"/>
        <v>3.7547087400521213</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987</v>
      </c>
      <c r="G647" t="s">
        <v>253</v>
      </c>
      <c r="J647" s="364">
        <f>J175</f>
        <v>0</v>
      </c>
      <c r="K647" s="364">
        <f t="shared" ref="K647:Y647" si="248">K175</f>
        <v>0</v>
      </c>
      <c r="L647" s="364">
        <f t="shared" si="248"/>
        <v>0</v>
      </c>
      <c r="M647" s="364">
        <f t="shared" si="248"/>
        <v>0</v>
      </c>
      <c r="N647" s="364">
        <f t="shared" si="248"/>
        <v>113.75238615622656</v>
      </c>
      <c r="O647" s="364">
        <f t="shared" si="248"/>
        <v>1.8831528444838994</v>
      </c>
      <c r="P647" s="364">
        <f t="shared" si="248"/>
        <v>8.3877135948788606</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989</v>
      </c>
      <c r="G648" t="s">
        <v>253</v>
      </c>
      <c r="J648" s="101">
        <f>J184</f>
        <v>0</v>
      </c>
      <c r="K648" s="101">
        <f t="shared" ref="K648:Y648" si="249">K184</f>
        <v>0</v>
      </c>
      <c r="L648" s="101">
        <f t="shared" si="249"/>
        <v>0</v>
      </c>
      <c r="M648" s="101">
        <f t="shared" si="249"/>
        <v>0</v>
      </c>
      <c r="N648" s="101">
        <f t="shared" si="249"/>
        <v>71.742714585066153</v>
      </c>
      <c r="O648" s="101">
        <f t="shared" si="249"/>
        <v>3.5794174186170036</v>
      </c>
      <c r="P648" s="101">
        <f t="shared" si="249"/>
        <v>5.612016224737566</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988</v>
      </c>
      <c r="G649" t="s">
        <v>253</v>
      </c>
      <c r="J649" s="101">
        <f>J193</f>
        <v>0</v>
      </c>
      <c r="K649" s="101">
        <f t="shared" ref="K649:Y649" si="250">K193</f>
        <v>0</v>
      </c>
      <c r="L649" s="101">
        <f t="shared" si="250"/>
        <v>0</v>
      </c>
      <c r="M649" s="101">
        <f t="shared" si="250"/>
        <v>0</v>
      </c>
      <c r="N649" s="101">
        <f t="shared" si="250"/>
        <v>119.43091558693662</v>
      </c>
      <c r="O649" s="101">
        <f t="shared" si="250"/>
        <v>82.089216161929841</v>
      </c>
      <c r="P649" s="101">
        <f t="shared" si="250"/>
        <v>15.63629050531312</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255</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985</v>
      </c>
      <c r="G651" t="s">
        <v>256</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83.119264278831736</v>
      </c>
      <c r="U651" s="131">
        <f t="shared" si="251"/>
        <v>0</v>
      </c>
      <c r="V651" s="131">
        <f t="shared" si="251"/>
        <v>0</v>
      </c>
      <c r="W651" s="131">
        <f t="shared" si="251"/>
        <v>0</v>
      </c>
      <c r="X651" s="131">
        <f t="shared" si="251"/>
        <v>0</v>
      </c>
      <c r="Y651" s="131">
        <f t="shared" si="251"/>
        <v>0</v>
      </c>
      <c r="AQ651" s="3"/>
    </row>
    <row r="652" spans="5:43" x14ac:dyDescent="0.3">
      <c r="E652" s="352"/>
      <c r="F652" s="353" t="s">
        <v>986</v>
      </c>
      <c r="G652" t="s">
        <v>256</v>
      </c>
      <c r="J652" s="364">
        <f>J167</f>
        <v>0</v>
      </c>
      <c r="K652" s="364">
        <f t="shared" ref="K652:Y652" si="252">K167</f>
        <v>0</v>
      </c>
      <c r="L652" s="364">
        <f t="shared" si="252"/>
        <v>0</v>
      </c>
      <c r="M652" s="364">
        <f t="shared" si="252"/>
        <v>0</v>
      </c>
      <c r="N652" s="364">
        <f t="shared" si="252"/>
        <v>2234.8537686899667</v>
      </c>
      <c r="O652" s="364">
        <f t="shared" si="252"/>
        <v>37.114812110610465</v>
      </c>
      <c r="P652" s="364">
        <f t="shared" si="252"/>
        <v>316.68356062222227</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987</v>
      </c>
      <c r="G653" t="s">
        <v>256</v>
      </c>
      <c r="J653" s="364">
        <f>J176</f>
        <v>0</v>
      </c>
      <c r="K653" s="364">
        <f t="shared" ref="K653:Y653" si="253">K176</f>
        <v>0</v>
      </c>
      <c r="L653" s="364">
        <f t="shared" si="253"/>
        <v>0</v>
      </c>
      <c r="M653" s="364">
        <f t="shared" si="253"/>
        <v>0</v>
      </c>
      <c r="N653" s="364">
        <f t="shared" si="253"/>
        <v>4050.6394086074583</v>
      </c>
      <c r="O653" s="364">
        <f t="shared" si="253"/>
        <v>73.350618930597307</v>
      </c>
      <c r="P653" s="364">
        <f t="shared" si="253"/>
        <v>774.60626428545322</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989</v>
      </c>
      <c r="G654" t="s">
        <v>256</v>
      </c>
      <c r="J654" s="101">
        <f>J185</f>
        <v>0</v>
      </c>
      <c r="K654" s="101">
        <f t="shared" ref="K654:Y654" si="254">K185</f>
        <v>0</v>
      </c>
      <c r="L654" s="101">
        <f t="shared" si="254"/>
        <v>0</v>
      </c>
      <c r="M654" s="101">
        <f t="shared" si="254"/>
        <v>0</v>
      </c>
      <c r="N654" s="101">
        <f t="shared" si="254"/>
        <v>2578.3317480458841</v>
      </c>
      <c r="O654" s="101">
        <f t="shared" si="254"/>
        <v>155.263922031205</v>
      </c>
      <c r="P654" s="101">
        <f t="shared" si="254"/>
        <v>548.41884711280795</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988</v>
      </c>
      <c r="G655" s="37" t="s">
        <v>256</v>
      </c>
      <c r="H655" s="37"/>
      <c r="I655" s="37"/>
      <c r="J655" s="364">
        <f>J194</f>
        <v>0</v>
      </c>
      <c r="K655" s="364">
        <f t="shared" ref="K655:Y655" si="255">K194</f>
        <v>0</v>
      </c>
      <c r="L655" s="364">
        <f t="shared" si="255"/>
        <v>0</v>
      </c>
      <c r="M655" s="364">
        <f t="shared" si="255"/>
        <v>0</v>
      </c>
      <c r="N655" s="364">
        <f t="shared" si="255"/>
        <v>4497.6052565721993</v>
      </c>
      <c r="O655" s="364">
        <f t="shared" si="255"/>
        <v>2231.4429084893559</v>
      </c>
      <c r="P655" s="364">
        <f t="shared" si="255"/>
        <v>1654.5506328006506</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1116</v>
      </c>
      <c r="I659" t="s">
        <v>156</v>
      </c>
      <c r="AA659" t="s">
        <v>1147</v>
      </c>
      <c r="AQ659" s="3"/>
    </row>
    <row r="660" spans="3:43" x14ac:dyDescent="0.3">
      <c r="D660" s="29" t="s">
        <v>1117</v>
      </c>
      <c r="AQ660" s="3"/>
    </row>
    <row r="661" spans="3:43" x14ac:dyDescent="0.3">
      <c r="D661" s="29" t="s">
        <v>1118</v>
      </c>
      <c r="AQ661" s="3"/>
    </row>
    <row r="662" spans="3:43" x14ac:dyDescent="0.3">
      <c r="D662" s="29" t="s">
        <v>1119</v>
      </c>
      <c r="AQ662" s="3"/>
    </row>
    <row r="663" spans="3:43" x14ac:dyDescent="0.3">
      <c r="AQ663" s="3"/>
    </row>
    <row r="664" spans="3:43" x14ac:dyDescent="0.3">
      <c r="E664" s="32" t="s">
        <v>994</v>
      </c>
      <c r="J664" s="386" t="s">
        <v>985</v>
      </c>
      <c r="K664" s="386" t="s">
        <v>990</v>
      </c>
      <c r="L664" s="386" t="s">
        <v>991</v>
      </c>
      <c r="M664" s="386" t="s">
        <v>992</v>
      </c>
      <c r="N664" s="386" t="s">
        <v>993</v>
      </c>
      <c r="AQ664" s="3"/>
    </row>
    <row r="665" spans="3:43" x14ac:dyDescent="0.3">
      <c r="E665" s="32"/>
      <c r="F665" s="23" t="s">
        <v>249</v>
      </c>
      <c r="G665" s="23" t="s">
        <v>169</v>
      </c>
      <c r="H665" s="23"/>
      <c r="I665" s="23"/>
      <c r="J665" s="343">
        <f>'Inputs by customer type'!J169</f>
        <v>0</v>
      </c>
      <c r="K665" s="343">
        <f>'Inputs by customer type'!K169</f>
        <v>3.1742877466807089E-2</v>
      </c>
      <c r="L665" s="343">
        <f>'Inputs by customer type'!L169</f>
        <v>0.14610003849363484</v>
      </c>
      <c r="M665" s="343">
        <f>'Inputs by customer type'!M169</f>
        <v>0.18083408775814508</v>
      </c>
      <c r="N665" s="343">
        <f>'Inputs by customer type'!N169</f>
        <v>0.64132299628141309</v>
      </c>
      <c r="AQ665" s="3"/>
    </row>
    <row r="666" spans="3:43" x14ac:dyDescent="0.3">
      <c r="E666" s="32"/>
      <c r="F666" s="311" t="s">
        <v>250</v>
      </c>
      <c r="G666" s="311" t="s">
        <v>169</v>
      </c>
      <c r="H666" s="311"/>
      <c r="I666" s="311"/>
      <c r="J666" s="344">
        <f>'Inputs by customer type'!J170</f>
        <v>0</v>
      </c>
      <c r="K666" s="344">
        <f>'Inputs by customer type'!K170</f>
        <v>3.1742877466807089E-2</v>
      </c>
      <c r="L666" s="344">
        <f>'Inputs by customer type'!L170</f>
        <v>0.14610003849363484</v>
      </c>
      <c r="M666" s="344">
        <f>'Inputs by customer type'!M170</f>
        <v>0.18083408775814508</v>
      </c>
      <c r="N666" s="344">
        <f>'Inputs by customer type'!N170</f>
        <v>0.64132299628141309</v>
      </c>
      <c r="AQ666" s="3"/>
    </row>
    <row r="667" spans="3:43" x14ac:dyDescent="0.3">
      <c r="E667" s="32"/>
      <c r="F667" s="37" t="s">
        <v>251</v>
      </c>
      <c r="G667" s="37" t="s">
        <v>169</v>
      </c>
      <c r="H667" s="37"/>
      <c r="I667" s="37"/>
      <c r="J667" s="345">
        <f>'Inputs by customer type'!J171</f>
        <v>0</v>
      </c>
      <c r="K667" s="345">
        <f>'Inputs by customer type'!K171</f>
        <v>3.1742877466807089E-2</v>
      </c>
      <c r="L667" s="345">
        <f>'Inputs by customer type'!L171</f>
        <v>0.14610003849363484</v>
      </c>
      <c r="M667" s="345">
        <f>'Inputs by customer type'!M171</f>
        <v>0.18083408775814508</v>
      </c>
      <c r="N667" s="345">
        <f>'Inputs by customer type'!N171</f>
        <v>0.64132299628141309</v>
      </c>
      <c r="AQ667" s="3"/>
    </row>
    <row r="668" spans="3:43" x14ac:dyDescent="0.3">
      <c r="E668" s="32"/>
      <c r="AQ668" s="3"/>
    </row>
    <row r="669" spans="3:43" x14ac:dyDescent="0.3">
      <c r="E669" s="32" t="s">
        <v>995</v>
      </c>
      <c r="J669" s="386" t="s">
        <v>985</v>
      </c>
      <c r="K669" s="386" t="s">
        <v>990</v>
      </c>
      <c r="L669" s="386" t="s">
        <v>991</v>
      </c>
      <c r="M669" s="386" t="s">
        <v>992</v>
      </c>
      <c r="N669" s="386" t="s">
        <v>993</v>
      </c>
      <c r="AQ669" s="3"/>
    </row>
    <row r="670" spans="3:43" x14ac:dyDescent="0.3">
      <c r="E670" s="32"/>
      <c r="F670" s="23" t="s">
        <v>249</v>
      </c>
      <c r="G670" s="23" t="s">
        <v>169</v>
      </c>
      <c r="H670" s="23"/>
      <c r="I670" s="23"/>
      <c r="J670" s="343">
        <f>'Inputs by customer type'!J174</f>
        <v>0</v>
      </c>
      <c r="K670" s="343">
        <f>'Inputs by customer type'!K174</f>
        <v>3.1742877466807089E-2</v>
      </c>
      <c r="L670" s="343">
        <f>'Inputs by customer type'!L174</f>
        <v>0.14610003849363484</v>
      </c>
      <c r="M670" s="343">
        <f>'Inputs by customer type'!M174</f>
        <v>0.18083408775814508</v>
      </c>
      <c r="N670" s="343">
        <f>'Inputs by customer type'!N174</f>
        <v>0.64132299628141309</v>
      </c>
      <c r="AQ670" s="3"/>
    </row>
    <row r="671" spans="3:43" x14ac:dyDescent="0.3">
      <c r="E671" s="32"/>
      <c r="F671" s="311" t="s">
        <v>250</v>
      </c>
      <c r="G671" s="311" t="s">
        <v>169</v>
      </c>
      <c r="H671" s="311"/>
      <c r="I671" s="311"/>
      <c r="J671" s="344">
        <f>'Inputs by customer type'!J175</f>
        <v>0</v>
      </c>
      <c r="K671" s="344">
        <f>'Inputs by customer type'!K175</f>
        <v>3.1742877466807089E-2</v>
      </c>
      <c r="L671" s="344">
        <f>'Inputs by customer type'!L175</f>
        <v>0.14610003849363484</v>
      </c>
      <c r="M671" s="344">
        <f>'Inputs by customer type'!M175</f>
        <v>0.18083408775814508</v>
      </c>
      <c r="N671" s="344">
        <f>'Inputs by customer type'!N175</f>
        <v>0.64132299628141309</v>
      </c>
      <c r="AQ671" s="3"/>
    </row>
    <row r="672" spans="3:43" x14ac:dyDescent="0.3">
      <c r="E672" s="32"/>
      <c r="F672" s="37" t="s">
        <v>251</v>
      </c>
      <c r="G672" s="37" t="s">
        <v>169</v>
      </c>
      <c r="H672" s="37"/>
      <c r="I672" s="37"/>
      <c r="J672" s="345">
        <f>'Inputs by customer type'!J176</f>
        <v>0</v>
      </c>
      <c r="K672" s="345">
        <f>'Inputs by customer type'!K176</f>
        <v>3.1742877466807089E-2</v>
      </c>
      <c r="L672" s="345">
        <f>'Inputs by customer type'!L176</f>
        <v>0.14610003849363484</v>
      </c>
      <c r="M672" s="345">
        <f>'Inputs by customer type'!M176</f>
        <v>0.18083408775814508</v>
      </c>
      <c r="N672" s="345">
        <f>'Inputs by customer type'!N176</f>
        <v>0.64132299628141309</v>
      </c>
      <c r="AQ672" s="3"/>
    </row>
    <row r="673" spans="5:43" x14ac:dyDescent="0.3">
      <c r="E673" s="32"/>
      <c r="AQ673" s="3"/>
    </row>
    <row r="674" spans="5:43" x14ac:dyDescent="0.3">
      <c r="E674" s="32" t="s">
        <v>996</v>
      </c>
      <c r="J674" s="386" t="s">
        <v>985</v>
      </c>
      <c r="K674" s="386" t="s">
        <v>990</v>
      </c>
      <c r="L674" s="386" t="s">
        <v>991</v>
      </c>
      <c r="M674" s="386" t="s">
        <v>992</v>
      </c>
      <c r="N674" s="386" t="s">
        <v>993</v>
      </c>
      <c r="AQ674" s="3"/>
    </row>
    <row r="675" spans="5:43" x14ac:dyDescent="0.3">
      <c r="F675" s="23" t="s">
        <v>249</v>
      </c>
      <c r="G675" s="23" t="s">
        <v>169</v>
      </c>
      <c r="H675" s="23"/>
      <c r="I675" s="23"/>
      <c r="J675" s="343">
        <f>'Inputs by customer type'!J179</f>
        <v>0</v>
      </c>
      <c r="K675" s="343">
        <f>'Inputs by customer type'!K179</f>
        <v>3.1742877466807089E-2</v>
      </c>
      <c r="L675" s="343">
        <f>'Inputs by customer type'!L179</f>
        <v>0.14610003849363484</v>
      </c>
      <c r="M675" s="343">
        <f>'Inputs by customer type'!M179</f>
        <v>0.18083408775814508</v>
      </c>
      <c r="N675" s="343">
        <f>'Inputs by customer type'!N179</f>
        <v>0.64132299628141309</v>
      </c>
      <c r="AQ675" s="3"/>
    </row>
    <row r="676" spans="5:43" x14ac:dyDescent="0.3">
      <c r="F676" s="311" t="s">
        <v>250</v>
      </c>
      <c r="G676" s="311" t="s">
        <v>169</v>
      </c>
      <c r="H676" s="311"/>
      <c r="I676" s="311"/>
      <c r="J676" s="344">
        <f>'Inputs by customer type'!J180</f>
        <v>0</v>
      </c>
      <c r="K676" s="344">
        <f>'Inputs by customer type'!K180</f>
        <v>3.1742877466807089E-2</v>
      </c>
      <c r="L676" s="344">
        <f>'Inputs by customer type'!L180</f>
        <v>0.14610003849363484</v>
      </c>
      <c r="M676" s="344">
        <f>'Inputs by customer type'!M180</f>
        <v>0.18083408775814508</v>
      </c>
      <c r="N676" s="344">
        <f>'Inputs by customer type'!N180</f>
        <v>0.64132299628141309</v>
      </c>
      <c r="AQ676" s="3"/>
    </row>
    <row r="677" spans="5:43" x14ac:dyDescent="0.3">
      <c r="F677" s="37" t="s">
        <v>251</v>
      </c>
      <c r="G677" s="37" t="s">
        <v>169</v>
      </c>
      <c r="H677" s="37"/>
      <c r="I677" s="37"/>
      <c r="J677" s="345">
        <f>'Inputs by customer type'!J181</f>
        <v>0</v>
      </c>
      <c r="K677" s="345">
        <f>'Inputs by customer type'!K181</f>
        <v>3.1742877466807089E-2</v>
      </c>
      <c r="L677" s="345">
        <f>'Inputs by customer type'!L181</f>
        <v>0.14610003849363484</v>
      </c>
      <c r="M677" s="345">
        <f>'Inputs by customer type'!M181</f>
        <v>0.18083408775814508</v>
      </c>
      <c r="N677" s="345">
        <f>'Inputs by customer type'!N181</f>
        <v>0.64132299628141309</v>
      </c>
      <c r="AQ677" s="3"/>
    </row>
    <row r="678" spans="5:43" x14ac:dyDescent="0.3">
      <c r="AQ678" s="3"/>
    </row>
    <row r="679" spans="5:43" x14ac:dyDescent="0.3">
      <c r="E679" s="32" t="s">
        <v>998</v>
      </c>
      <c r="J679" s="386" t="s">
        <v>985</v>
      </c>
      <c r="K679" s="386" t="s">
        <v>990</v>
      </c>
      <c r="L679" s="386" t="s">
        <v>991</v>
      </c>
      <c r="M679" s="386" t="s">
        <v>992</v>
      </c>
      <c r="N679" s="386" t="s">
        <v>993</v>
      </c>
      <c r="AQ679" s="3"/>
    </row>
    <row r="680" spans="5:43" x14ac:dyDescent="0.3">
      <c r="F680" s="23" t="s">
        <v>249</v>
      </c>
      <c r="G680" s="23" t="s">
        <v>209</v>
      </c>
      <c r="H680" s="23"/>
      <c r="I680" s="23"/>
      <c r="J680" s="367">
        <f t="shared" ref="J680:N682" si="256" xml:space="preserve"> $M58 * J665  + $M105 * J670 + $M152 * J675</f>
        <v>0</v>
      </c>
      <c r="K680" s="367">
        <f t="shared" si="256"/>
        <v>1.2231406529678479</v>
      </c>
      <c r="L680" s="367">
        <f t="shared" si="256"/>
        <v>5.6296375988155551</v>
      </c>
      <c r="M680" s="367">
        <f t="shared" si="256"/>
        <v>6.9680363543170305</v>
      </c>
      <c r="N680" s="367">
        <f t="shared" si="256"/>
        <v>24.711944569461469</v>
      </c>
      <c r="AQ680" s="3"/>
    </row>
    <row r="681" spans="5:43" x14ac:dyDescent="0.3">
      <c r="F681" s="311" t="s">
        <v>250</v>
      </c>
      <c r="G681" s="311" t="s">
        <v>209</v>
      </c>
      <c r="H681" s="311"/>
      <c r="I681" s="311"/>
      <c r="J681" s="366">
        <f t="shared" si="256"/>
        <v>0</v>
      </c>
      <c r="K681" s="366">
        <f t="shared" si="256"/>
        <v>15.946505912159093</v>
      </c>
      <c r="L681" s="366">
        <f t="shared" si="256"/>
        <v>73.395524083839916</v>
      </c>
      <c r="M681" s="366">
        <f t="shared" si="256"/>
        <v>90.844689570772417</v>
      </c>
      <c r="N681" s="366">
        <f t="shared" si="256"/>
        <v>322.17813153515044</v>
      </c>
      <c r="AQ681" s="3"/>
    </row>
    <row r="682" spans="5:43" x14ac:dyDescent="0.3">
      <c r="F682" s="37" t="s">
        <v>251</v>
      </c>
      <c r="G682" s="37" t="s">
        <v>209</v>
      </c>
      <c r="H682" s="37"/>
      <c r="I682" s="37"/>
      <c r="J682" s="368">
        <f t="shared" si="256"/>
        <v>0</v>
      </c>
      <c r="K682" s="368">
        <f t="shared" si="256"/>
        <v>57.93956770976898</v>
      </c>
      <c r="L682" s="368">
        <f t="shared" si="256"/>
        <v>266.67314837961578</v>
      </c>
      <c r="M682" s="368">
        <f t="shared" si="256"/>
        <v>330.0724353944729</v>
      </c>
      <c r="N682" s="368">
        <f t="shared" si="256"/>
        <v>1170.5925905971892</v>
      </c>
      <c r="AQ682" s="3"/>
    </row>
    <row r="683" spans="5:43" x14ac:dyDescent="0.3">
      <c r="J683" s="89"/>
      <c r="K683" s="89"/>
      <c r="L683" s="89"/>
      <c r="M683" s="89"/>
      <c r="N683" s="89"/>
      <c r="AQ683" s="3"/>
    </row>
    <row r="684" spans="5:43" x14ac:dyDescent="0.3">
      <c r="J684" s="387" t="s">
        <v>985</v>
      </c>
      <c r="K684" s="387" t="s">
        <v>990</v>
      </c>
      <c r="L684" s="387" t="s">
        <v>991</v>
      </c>
      <c r="M684" s="387" t="s">
        <v>992</v>
      </c>
      <c r="N684" s="387" t="s">
        <v>993</v>
      </c>
      <c r="AQ684" s="3"/>
    </row>
    <row r="685" spans="5:43" x14ac:dyDescent="0.3">
      <c r="E685" s="24" t="s">
        <v>999</v>
      </c>
      <c r="G685" t="s">
        <v>209</v>
      </c>
      <c r="J685" s="89">
        <f>SUM(J680:J682)</f>
        <v>0</v>
      </c>
      <c r="K685" s="89">
        <f>SUM(K680:K682)</f>
        <v>75.109214274895919</v>
      </c>
      <c r="L685" s="89">
        <f t="shared" ref="L685:N685" si="257">SUM(L680:L682)</f>
        <v>345.69831006227128</v>
      </c>
      <c r="M685" s="89">
        <f t="shared" si="257"/>
        <v>427.88516131956237</v>
      </c>
      <c r="N685" s="89">
        <f t="shared" si="257"/>
        <v>1517.482666701801</v>
      </c>
      <c r="AQ685" s="3"/>
    </row>
    <row r="686" spans="5:43" x14ac:dyDescent="0.3">
      <c r="J686" s="89"/>
      <c r="K686" s="89"/>
      <c r="L686" s="89"/>
      <c r="M686" s="89"/>
      <c r="N686" s="89"/>
      <c r="AQ686" s="3"/>
    </row>
    <row r="687" spans="5:43" x14ac:dyDescent="0.3">
      <c r="E687" t="s">
        <v>1043</v>
      </c>
      <c r="G687" t="s">
        <v>209</v>
      </c>
      <c r="H687" s="89">
        <f>SUM(J685:N685)</f>
        <v>2366.1753523585303</v>
      </c>
      <c r="AQ687" s="3"/>
    </row>
    <row r="688" spans="5:43" x14ac:dyDescent="0.3">
      <c r="J688" s="387" t="s">
        <v>985</v>
      </c>
      <c r="K688" s="387" t="s">
        <v>990</v>
      </c>
      <c r="L688" s="387" t="s">
        <v>991</v>
      </c>
      <c r="M688" s="387" t="s">
        <v>992</v>
      </c>
      <c r="N688" s="387" t="s">
        <v>993</v>
      </c>
      <c r="AQ688" s="3"/>
    </row>
    <row r="689" spans="2:43" x14ac:dyDescent="0.3">
      <c r="E689" s="24" t="s">
        <v>998</v>
      </c>
      <c r="G689" t="s">
        <v>169</v>
      </c>
      <c r="J689" s="111">
        <f>IF($H687 &lt;&gt; 0, J685/$H687, 0)</f>
        <v>0</v>
      </c>
      <c r="K689" s="111">
        <f>IF($H687 &lt;&gt; 0, K685/$H687, 0)</f>
        <v>3.1742877466807089E-2</v>
      </c>
      <c r="L689" s="111">
        <f>IF($H687 &lt;&gt; 0, L685/$H687, 0)</f>
        <v>0.14610003849363484</v>
      </c>
      <c r="M689" s="111">
        <f>IF($H687 &lt;&gt; 0, M685/$H687, 0)</f>
        <v>0.18083408775814511</v>
      </c>
      <c r="N689" s="111">
        <f>IF($H687 &lt;&gt; 0, N685/$H687, 0)</f>
        <v>0.64132299628141309</v>
      </c>
      <c r="AQ689" s="3"/>
    </row>
    <row r="690" spans="2:43" x14ac:dyDescent="0.3">
      <c r="AQ690" s="3"/>
    </row>
    <row r="691" spans="2:43" x14ac:dyDescent="0.3">
      <c r="B691" s="30" t="s">
        <v>233</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234</v>
      </c>
      <c r="G693" s="6" t="s">
        <v>57</v>
      </c>
      <c r="H693" s="103">
        <f t="array" ref="H693">SUM(IF(ISERROR(H22:Y309), 1))</f>
        <v>0</v>
      </c>
    </row>
    <row r="695" spans="2:43" x14ac:dyDescent="0.3">
      <c r="B695" s="30" t="s">
        <v>108</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0" t="s">
        <v>145</v>
      </c>
      <c r="H5" s="114" t="s">
        <v>146</v>
      </c>
      <c r="I5" s="14"/>
      <c r="J5" s="114" t="s">
        <v>831</v>
      </c>
      <c r="K5" s="114" t="s">
        <v>833</v>
      </c>
      <c r="L5" s="114" t="s">
        <v>832</v>
      </c>
      <c r="M5" s="114" t="s">
        <v>834</v>
      </c>
      <c r="N5" s="114" t="s">
        <v>840</v>
      </c>
      <c r="O5" s="114" t="s">
        <v>841</v>
      </c>
      <c r="P5" s="114" t="s">
        <v>842</v>
      </c>
      <c r="Q5" s="114" t="s">
        <v>843</v>
      </c>
      <c r="R5" s="114" t="s">
        <v>835</v>
      </c>
      <c r="S5" s="114" t="s">
        <v>836</v>
      </c>
      <c r="T5" s="114" t="s">
        <v>837</v>
      </c>
      <c r="U5" s="114" t="s">
        <v>846</v>
      </c>
      <c r="V5" s="114" t="s">
        <v>838</v>
      </c>
      <c r="W5" s="114" t="s">
        <v>845</v>
      </c>
      <c r="X5" s="114" t="s">
        <v>839</v>
      </c>
      <c r="Y5" s="114" t="s">
        <v>844</v>
      </c>
      <c r="AA5" s="60" t="s">
        <v>147</v>
      </c>
    </row>
    <row r="7" spans="1:27" x14ac:dyDescent="0.3">
      <c r="B7" s="30" t="s">
        <v>12</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866</v>
      </c>
    </row>
    <row r="10" spans="1:27" x14ac:dyDescent="0.3">
      <c r="C10" s="29" t="s">
        <v>458</v>
      </c>
    </row>
    <row r="11" spans="1:27" x14ac:dyDescent="0.3">
      <c r="C11" s="29" t="s">
        <v>459</v>
      </c>
    </row>
    <row r="13" spans="1:27" x14ac:dyDescent="0.3">
      <c r="B13" s="30" t="s">
        <v>460</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863</v>
      </c>
      <c r="I15" t="s">
        <v>156</v>
      </c>
      <c r="AA15" t="s">
        <v>864</v>
      </c>
    </row>
    <row r="16" spans="1:27" x14ac:dyDescent="0.3">
      <c r="C16" s="29" t="s">
        <v>461</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462</v>
      </c>
      <c r="F20" s="313"/>
      <c r="G20" s="313" t="s">
        <v>463</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464</v>
      </c>
      <c r="I22" t="s">
        <v>156</v>
      </c>
      <c r="AA22" t="s">
        <v>465</v>
      </c>
    </row>
    <row r="23" spans="3:27" x14ac:dyDescent="0.3">
      <c r="E23" s="29" t="s">
        <v>466</v>
      </c>
      <c r="F23" s="29"/>
    </row>
    <row r="24" spans="3:27" x14ac:dyDescent="0.3">
      <c r="F24" s="64" t="s">
        <v>467</v>
      </c>
      <c r="G24" s="64" t="s">
        <v>149</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3">
      <c r="F25" s="28" t="s">
        <v>468</v>
      </c>
      <c r="G25" t="s">
        <v>149</v>
      </c>
      <c r="H25" s="150"/>
      <c r="I25" s="150"/>
      <c r="J25" s="120">
        <f>IF(J$20, 'General inputs'!$H17, 'General inputs'!$H22)</f>
        <v>2740.5</v>
      </c>
      <c r="K25" s="120">
        <f>IF(K$20, 'General inputs'!$H17, 'General inputs'!$H22)</f>
        <v>2740.5</v>
      </c>
      <c r="L25" s="120">
        <f>IF(L$20, 'General inputs'!$H17, 'General inputs'!$H22)</f>
        <v>2740.5</v>
      </c>
      <c r="M25" s="120">
        <f>IF(M$20, 'General inputs'!$H17, 'General inputs'!$H22)</f>
        <v>2740.5</v>
      </c>
      <c r="N25" s="120">
        <f>IF(N$20, 'General inputs'!$H17, 'General inputs'!$H22)</f>
        <v>2740.5</v>
      </c>
      <c r="O25" s="120">
        <f>IF(O$20, 'General inputs'!$H17, 'General inputs'!$H22)</f>
        <v>2740.5</v>
      </c>
      <c r="P25" s="120">
        <f>IF(P$20, 'General inputs'!$H17, 'General inputs'!$H22)</f>
        <v>2740.5</v>
      </c>
      <c r="Q25" s="120">
        <f>IF(Q$20, 'General inputs'!$H17, 'General inputs'!$H22)</f>
        <v>3265.5</v>
      </c>
      <c r="R25" s="120">
        <f>IF(R$20, 'General inputs'!$H17, 'General inputs'!$H22)</f>
        <v>2740.5</v>
      </c>
      <c r="S25" s="120">
        <f>IF(S$20, 'General inputs'!$H17, 'General inputs'!$H22)</f>
        <v>2740.5</v>
      </c>
      <c r="T25" s="120">
        <f>IF(T$20, 'General inputs'!$H17, 'General inputs'!$H22)</f>
        <v>2740.5</v>
      </c>
      <c r="U25" s="120">
        <f>IF(U$20, 'General inputs'!$H17, 'General inputs'!$H22)</f>
        <v>2740.5</v>
      </c>
      <c r="V25" s="120">
        <f>IF(V$20, 'General inputs'!$H17, 'General inputs'!$H22)</f>
        <v>2740.5</v>
      </c>
      <c r="W25" s="120">
        <f>IF(W$20, 'General inputs'!$H17, 'General inputs'!$H22)</f>
        <v>2740.5</v>
      </c>
      <c r="X25" s="120">
        <f>IF(X$20, 'General inputs'!$H17, 'General inputs'!$H22)</f>
        <v>2740.5</v>
      </c>
      <c r="Y25" s="120">
        <f>IF(Y$20, 'General inputs'!$H17, 'General inputs'!$H22)</f>
        <v>2740.5</v>
      </c>
    </row>
    <row r="26" spans="3:27" x14ac:dyDescent="0.3">
      <c r="F26" s="67" t="s">
        <v>259</v>
      </c>
      <c r="G26" s="37" t="s">
        <v>149</v>
      </c>
      <c r="H26" s="151"/>
      <c r="I26" s="151"/>
      <c r="J26" s="125">
        <f>IF(J$20, 'General inputs'!$H18, 'General inputs'!$H23)</f>
        <v>5236.5</v>
      </c>
      <c r="K26" s="125">
        <f>IF(K$20, 'General inputs'!$H18, 'General inputs'!$H23)</f>
        <v>5236.5</v>
      </c>
      <c r="L26" s="125">
        <f>IF(L$20, 'General inputs'!$H18, 'General inputs'!$H23)</f>
        <v>5236.5</v>
      </c>
      <c r="M26" s="125">
        <f>IF(M$20, 'General inputs'!$H18, 'General inputs'!$H23)</f>
        <v>5236.5</v>
      </c>
      <c r="N26" s="125">
        <f>IF(N$20, 'General inputs'!$H18, 'General inputs'!$H23)</f>
        <v>5236.5</v>
      </c>
      <c r="O26" s="125">
        <f>IF(O$20, 'General inputs'!$H18, 'General inputs'!$H23)</f>
        <v>5236.5</v>
      </c>
      <c r="P26" s="125">
        <f>IF(P$20, 'General inputs'!$H18, 'General inputs'!$H23)</f>
        <v>5236.5</v>
      </c>
      <c r="Q26" s="125">
        <f>IF(Q$20, 'General inputs'!$H18, 'General inputs'!$H23)</f>
        <v>5236.5</v>
      </c>
      <c r="R26" s="125">
        <f>IF(R$20, 'General inputs'!$H18, 'General inputs'!$H23)</f>
        <v>5236.5</v>
      </c>
      <c r="S26" s="125">
        <f>IF(S$20, 'General inputs'!$H18, 'General inputs'!$H23)</f>
        <v>5236.5</v>
      </c>
      <c r="T26" s="125">
        <f>IF(T$20, 'General inputs'!$H18, 'General inputs'!$H23)</f>
        <v>5236.5</v>
      </c>
      <c r="U26" s="125">
        <f>IF(U$20, 'General inputs'!$H18, 'General inputs'!$H23)</f>
        <v>5236.5</v>
      </c>
      <c r="V26" s="125">
        <f>IF(V$20, 'General inputs'!$H18, 'General inputs'!$H23)</f>
        <v>5236.5</v>
      </c>
      <c r="W26" s="125">
        <f>IF(W$20, 'General inputs'!$H18, 'General inputs'!$H23)</f>
        <v>5236.5</v>
      </c>
      <c r="X26" s="125">
        <f>IF(X$20, 'General inputs'!$H18, 'General inputs'!$H23)</f>
        <v>5236.5</v>
      </c>
      <c r="Y26" s="125">
        <f>IF(Y$20, 'General inputs'!$H18, 'General inputs'!$H23)</f>
        <v>5236.5</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469</v>
      </c>
      <c r="J30" s="89"/>
      <c r="K30" s="89"/>
      <c r="L30" s="89"/>
      <c r="M30" s="89"/>
      <c r="N30" s="89"/>
      <c r="O30" s="89"/>
      <c r="P30" s="89"/>
      <c r="Q30" s="89"/>
      <c r="R30" s="89"/>
      <c r="S30" s="89"/>
      <c r="T30" s="89"/>
      <c r="U30" s="89"/>
      <c r="V30" s="89"/>
      <c r="W30" s="89"/>
      <c r="X30" s="89"/>
      <c r="Y30" s="89"/>
    </row>
    <row r="31" spans="3:27" x14ac:dyDescent="0.3">
      <c r="F31" s="64" t="s">
        <v>158</v>
      </c>
      <c r="G31" s="64" t="s">
        <v>209</v>
      </c>
      <c r="H31" s="23"/>
      <c r="I31" s="23"/>
      <c r="J31" s="124">
        <f>'Volume adjustments'!J238</f>
        <v>996682.69564175408</v>
      </c>
      <c r="K31" s="124">
        <f>'Volume adjustments'!K238</f>
        <v>907.55296879515561</v>
      </c>
      <c r="L31" s="124">
        <f>'Volume adjustments'!L238</f>
        <v>319480.04249950446</v>
      </c>
      <c r="M31" s="124">
        <f>'Volume adjustments'!M238</f>
        <v>38.5327591755619</v>
      </c>
      <c r="N31" s="124">
        <f>'Volume adjustments'!N238</f>
        <v>338672.85822073149</v>
      </c>
      <c r="O31" s="124">
        <f>'Volume adjustments'!O238</f>
        <v>28168.862149032549</v>
      </c>
      <c r="P31" s="124">
        <f>'Volume adjustments'!P238</f>
        <v>672163.67236341641</v>
      </c>
      <c r="Q31" s="124">
        <f>'Volume adjustments'!Q238</f>
        <v>8816.224920714214</v>
      </c>
      <c r="R31" s="124">
        <f>'Volume adjustments'!R238</f>
        <v>70.204805753113575</v>
      </c>
      <c r="S31" s="124">
        <f>'Volume adjustments'!S238</f>
        <v>0</v>
      </c>
      <c r="T31" s="124">
        <f>'Volume adjustments'!T238</f>
        <v>4784.6093633622941</v>
      </c>
      <c r="U31" s="124">
        <f>'Volume adjustments'!U238</f>
        <v>0</v>
      </c>
      <c r="V31" s="124">
        <f>'Volume adjustments'!V238</f>
        <v>643.59278860763663</v>
      </c>
      <c r="W31" s="124">
        <f>'Volume adjustments'!W238</f>
        <v>0</v>
      </c>
      <c r="X31" s="124">
        <f>'Volume adjustments'!X238</f>
        <v>278149.15352828434</v>
      </c>
      <c r="Y31" s="124">
        <f>'Volume adjustments'!Y238</f>
        <v>0</v>
      </c>
    </row>
    <row r="32" spans="3:27" x14ac:dyDescent="0.3">
      <c r="F32" s="28" t="s">
        <v>159</v>
      </c>
      <c r="G32" s="28" t="s">
        <v>209</v>
      </c>
      <c r="J32" s="120">
        <f>'Volume adjustments'!J249</f>
        <v>2953123.9288298711</v>
      </c>
      <c r="K32" s="120">
        <f>'Volume adjustments'!K249</f>
        <v>5824.4312721126043</v>
      </c>
      <c r="L32" s="120">
        <f>'Volume adjustments'!L249</f>
        <v>1315823.7063759596</v>
      </c>
      <c r="M32" s="120">
        <f>'Volume adjustments'!M249</f>
        <v>502.36485110192183</v>
      </c>
      <c r="N32" s="120">
        <f>'Volume adjustments'!N249</f>
        <v>1427028.5224543314</v>
      </c>
      <c r="O32" s="120">
        <f>'Volume adjustments'!O249</f>
        <v>109373.43586272706</v>
      </c>
      <c r="P32" s="120">
        <f>'Volume adjustments'!P249</f>
        <v>2568513.2082473766</v>
      </c>
      <c r="Q32" s="120">
        <f>'Volume adjustments'!Q249</f>
        <v>49603.561201843237</v>
      </c>
      <c r="R32" s="120">
        <f>'Volume adjustments'!R249</f>
        <v>459.38403586007723</v>
      </c>
      <c r="S32" s="120">
        <f>'Volume adjustments'!S249</f>
        <v>0</v>
      </c>
      <c r="T32" s="120">
        <f>'Volume adjustments'!T249</f>
        <v>23831.708677412124</v>
      </c>
      <c r="U32" s="120">
        <f>'Volume adjustments'!U249</f>
        <v>0</v>
      </c>
      <c r="V32" s="120">
        <f>'Volume adjustments'!V249</f>
        <v>2524.6060767726581</v>
      </c>
      <c r="W32" s="120">
        <f>'Volume adjustments'!W249</f>
        <v>0</v>
      </c>
      <c r="X32" s="120">
        <f>'Volume adjustments'!X249</f>
        <v>600091.23989919515</v>
      </c>
      <c r="Y32" s="120">
        <f>'Volume adjustments'!Y249</f>
        <v>0</v>
      </c>
    </row>
    <row r="33" spans="3:27" x14ac:dyDescent="0.3">
      <c r="F33" s="28" t="s">
        <v>160</v>
      </c>
      <c r="G33" s="28" t="s">
        <v>209</v>
      </c>
      <c r="J33" s="120">
        <f>'Volume adjustments'!J260</f>
        <v>4878763.9763329094</v>
      </c>
      <c r="K33" s="120">
        <f>'Volume adjustments'!K260</f>
        <v>10388.832210240402</v>
      </c>
      <c r="L33" s="120">
        <f>'Volume adjustments'!L260</f>
        <v>1443706.9020502518</v>
      </c>
      <c r="M33" s="120">
        <f>'Volume adjustments'!M260</f>
        <v>1825.2777420810467</v>
      </c>
      <c r="N33" s="120">
        <f>'Volume adjustments'!N260</f>
        <v>1563674.4608768637</v>
      </c>
      <c r="O33" s="120">
        <f>'Volume adjustments'!O260</f>
        <v>125725.67651936569</v>
      </c>
      <c r="P33" s="120">
        <f>'Volume adjustments'!P260</f>
        <v>3665913.7434230014</v>
      </c>
      <c r="Q33" s="120">
        <f>'Volume adjustments'!Q260</f>
        <v>160108.74333476496</v>
      </c>
      <c r="R33" s="120">
        <f>'Volume adjustments'!R260</f>
        <v>257.78882983990695</v>
      </c>
      <c r="S33" s="120">
        <f>'Volume adjustments'!S260</f>
        <v>0</v>
      </c>
      <c r="T33" s="120">
        <f>'Volume adjustments'!T260</f>
        <v>24299.787303789228</v>
      </c>
      <c r="U33" s="120">
        <f>'Volume adjustments'!U260</f>
        <v>0</v>
      </c>
      <c r="V33" s="120">
        <f>'Volume adjustments'!V260</f>
        <v>4216.2054199370059</v>
      </c>
      <c r="W33" s="120">
        <f>'Volume adjustments'!W260</f>
        <v>0</v>
      </c>
      <c r="X33" s="120">
        <f>'Volume adjustments'!X260</f>
        <v>673152.99157943716</v>
      </c>
      <c r="Y33" s="120">
        <f>'Volume adjustments'!Y260</f>
        <v>0</v>
      </c>
    </row>
    <row r="34" spans="3:27" x14ac:dyDescent="0.3">
      <c r="F34" s="152" t="s">
        <v>457</v>
      </c>
      <c r="G34" s="152" t="s">
        <v>209</v>
      </c>
      <c r="H34" s="108"/>
      <c r="I34" s="108"/>
      <c r="J34" s="153">
        <f t="shared" ref="J34:Y34" si="0">SUM(J31:J33)</f>
        <v>8828570.6008045338</v>
      </c>
      <c r="K34" s="153">
        <f t="shared" si="0"/>
        <v>17120.816451148163</v>
      </c>
      <c r="L34" s="153">
        <f t="shared" si="0"/>
        <v>3079010.6509257159</v>
      </c>
      <c r="M34" s="153">
        <f t="shared" si="0"/>
        <v>2366.1753523585303</v>
      </c>
      <c r="N34" s="153">
        <f t="shared" si="0"/>
        <v>3329375.8415519269</v>
      </c>
      <c r="O34" s="153">
        <f t="shared" si="0"/>
        <v>263267.97453112528</v>
      </c>
      <c r="P34" s="153">
        <f t="shared" si="0"/>
        <v>6906590.6240337938</v>
      </c>
      <c r="Q34" s="153">
        <f t="shared" si="0"/>
        <v>218528.52945732241</v>
      </c>
      <c r="R34" s="153">
        <f t="shared" si="0"/>
        <v>787.37767145309772</v>
      </c>
      <c r="S34" s="153">
        <f t="shared" si="0"/>
        <v>0</v>
      </c>
      <c r="T34" s="153">
        <f t="shared" si="0"/>
        <v>52916.10534456365</v>
      </c>
      <c r="U34" s="153">
        <f t="shared" si="0"/>
        <v>0</v>
      </c>
      <c r="V34" s="153">
        <f t="shared" si="0"/>
        <v>7384.4042853173005</v>
      </c>
      <c r="W34" s="153">
        <f t="shared" si="0"/>
        <v>0</v>
      </c>
      <c r="X34" s="153">
        <f t="shared" si="0"/>
        <v>1551393.3850069167</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850</v>
      </c>
      <c r="F38" s="28"/>
      <c r="G38" s="28" t="s">
        <v>151</v>
      </c>
      <c r="I38" s="320" t="s">
        <v>156</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862</v>
      </c>
    </row>
    <row r="39" spans="3:27" x14ac:dyDescent="0.3">
      <c r="J39" s="89"/>
      <c r="K39" s="89"/>
      <c r="L39" s="89"/>
      <c r="M39" s="89"/>
      <c r="N39" s="89"/>
      <c r="O39" s="89"/>
      <c r="P39" s="89"/>
      <c r="Q39" s="89"/>
      <c r="R39" s="89"/>
      <c r="S39" s="89"/>
      <c r="T39" s="89"/>
      <c r="U39" s="89"/>
      <c r="V39" s="89"/>
      <c r="W39" s="89"/>
      <c r="X39" s="89"/>
      <c r="Y39" s="89"/>
    </row>
    <row r="40" spans="3:27" x14ac:dyDescent="0.3">
      <c r="E40" s="32" t="s">
        <v>851</v>
      </c>
      <c r="J40" s="89"/>
      <c r="K40" s="89"/>
      <c r="L40" s="89"/>
      <c r="M40" s="89"/>
      <c r="N40" s="89"/>
      <c r="O40" s="89"/>
      <c r="P40" s="89"/>
      <c r="Q40" s="89"/>
      <c r="R40" s="89"/>
      <c r="S40" s="89"/>
      <c r="T40" s="89"/>
      <c r="U40" s="89"/>
      <c r="V40" s="89"/>
      <c r="W40" s="89"/>
      <c r="X40" s="89"/>
      <c r="Y40" s="89"/>
    </row>
    <row r="41" spans="3:27" x14ac:dyDescent="0.3">
      <c r="E41" s="29" t="s">
        <v>466</v>
      </c>
    </row>
    <row r="42" spans="3:27" x14ac:dyDescent="0.3">
      <c r="F42" s="64" t="s">
        <v>467</v>
      </c>
      <c r="G42" s="64" t="s">
        <v>169</v>
      </c>
      <c r="H42" s="23"/>
      <c r="I42" s="23"/>
      <c r="J42" s="154">
        <f t="shared" ref="J42:P44" si="1">SUMIF($J$38:$Y$38, J$38, $J31:$Y31) / SUMIF($J$38:$Y$38, J$38, $J$34:$Y$34)</f>
        <v>0.11277696694963897</v>
      </c>
      <c r="K42" s="154">
        <f t="shared" si="1"/>
        <v>0.11277696694963897</v>
      </c>
      <c r="L42" s="154">
        <f t="shared" si="1"/>
        <v>0.10369344396109427</v>
      </c>
      <c r="M42" s="154">
        <f t="shared" si="1"/>
        <v>0.10369344396109427</v>
      </c>
      <c r="N42" s="154">
        <f t="shared" si="1"/>
        <v>0.10172262740480072</v>
      </c>
      <c r="O42" s="154">
        <f t="shared" si="1"/>
        <v>0.10699691901075586</v>
      </c>
      <c r="P42" s="154">
        <f t="shared" si="1"/>
        <v>9.7322066552547354E-2</v>
      </c>
      <c r="Q42" s="317"/>
      <c r="R42" s="317"/>
      <c r="S42" s="317"/>
      <c r="T42" s="317"/>
      <c r="U42" s="317"/>
      <c r="V42" s="317"/>
      <c r="W42" s="317"/>
      <c r="X42" s="317"/>
      <c r="Y42" s="317"/>
    </row>
    <row r="43" spans="3:27" x14ac:dyDescent="0.3">
      <c r="F43" s="28" t="s">
        <v>468</v>
      </c>
      <c r="G43" s="28" t="s">
        <v>169</v>
      </c>
      <c r="J43" s="145">
        <f t="shared" si="1"/>
        <v>0.33450730084590469</v>
      </c>
      <c r="K43" s="145">
        <f t="shared" si="1"/>
        <v>0.33450730084590469</v>
      </c>
      <c r="L43" s="145">
        <f t="shared" si="1"/>
        <v>0.42718763248992886</v>
      </c>
      <c r="M43" s="145">
        <f t="shared" si="1"/>
        <v>0.42718763248992886</v>
      </c>
      <c r="N43" s="145">
        <f t="shared" si="1"/>
        <v>0.42861743172532557</v>
      </c>
      <c r="O43" s="145">
        <f t="shared" si="1"/>
        <v>0.41544527418315441</v>
      </c>
      <c r="P43" s="145">
        <f t="shared" si="1"/>
        <v>0.37189307258336335</v>
      </c>
      <c r="Q43" s="70"/>
      <c r="R43" s="70"/>
      <c r="S43" s="70"/>
      <c r="T43" s="70"/>
      <c r="U43" s="70"/>
      <c r="V43" s="70"/>
      <c r="W43" s="70"/>
      <c r="X43" s="70"/>
      <c r="Y43" s="70"/>
    </row>
    <row r="44" spans="3:27" x14ac:dyDescent="0.3">
      <c r="F44" s="67" t="s">
        <v>259</v>
      </c>
      <c r="G44" s="67" t="s">
        <v>169</v>
      </c>
      <c r="H44" s="37"/>
      <c r="I44" s="37"/>
      <c r="J44" s="155">
        <f t="shared" si="1"/>
        <v>0.55271573220445624</v>
      </c>
      <c r="K44" s="155">
        <f t="shared" si="1"/>
        <v>0.55271573220445624</v>
      </c>
      <c r="L44" s="155">
        <f t="shared" si="1"/>
        <v>0.46911892354897683</v>
      </c>
      <c r="M44" s="155">
        <f t="shared" si="1"/>
        <v>0.46911892354897683</v>
      </c>
      <c r="N44" s="155">
        <f t="shared" si="1"/>
        <v>0.46965994086987362</v>
      </c>
      <c r="O44" s="155">
        <f t="shared" si="1"/>
        <v>0.47755780680608978</v>
      </c>
      <c r="P44" s="155">
        <f t="shared" si="1"/>
        <v>0.53078486086408938</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852</v>
      </c>
      <c r="F46" s="28"/>
      <c r="G46" s="28"/>
    </row>
    <row r="47" spans="3:27" x14ac:dyDescent="0.3">
      <c r="E47" s="29" t="s">
        <v>466</v>
      </c>
    </row>
    <row r="48" spans="3:27" x14ac:dyDescent="0.3">
      <c r="F48" s="64" t="s">
        <v>467</v>
      </c>
      <c r="G48" s="64" t="s">
        <v>169</v>
      </c>
      <c r="H48" s="23"/>
      <c r="I48" s="23"/>
      <c r="J48" s="154">
        <f>IF(ISNUMBER(J$38), J42, IF(J$34 = 0, 0, J31 / J$34))</f>
        <v>0.11277696694963897</v>
      </c>
      <c r="K48" s="154">
        <f t="shared" ref="K48:Y48" si="2">IF(ISNUMBER(K$38), K42, IF(K$34 = 0, 0, K31 / K$34))</f>
        <v>0.11277696694963897</v>
      </c>
      <c r="L48" s="154">
        <f t="shared" si="2"/>
        <v>0.10369344396109427</v>
      </c>
      <c r="M48" s="154">
        <f t="shared" si="2"/>
        <v>0.10369344396109427</v>
      </c>
      <c r="N48" s="154">
        <f t="shared" si="2"/>
        <v>0.10172262740480072</v>
      </c>
      <c r="O48" s="154">
        <f t="shared" si="2"/>
        <v>0.10699691901075586</v>
      </c>
      <c r="P48" s="154">
        <f t="shared" si="2"/>
        <v>9.7322066552547354E-2</v>
      </c>
      <c r="Q48" s="154">
        <f t="shared" si="2"/>
        <v>4.0343587826302471E-2</v>
      </c>
      <c r="R48" s="154">
        <f t="shared" si="2"/>
        <v>8.9162810044576574E-2</v>
      </c>
      <c r="S48" s="154">
        <f t="shared" si="2"/>
        <v>0</v>
      </c>
      <c r="T48" s="154">
        <f t="shared" si="2"/>
        <v>9.0418773872477418E-2</v>
      </c>
      <c r="U48" s="154">
        <f t="shared" si="2"/>
        <v>0</v>
      </c>
      <c r="V48" s="154">
        <f t="shared" si="2"/>
        <v>8.7155681587926775E-2</v>
      </c>
      <c r="W48" s="154">
        <f t="shared" si="2"/>
        <v>0</v>
      </c>
      <c r="X48" s="154">
        <f t="shared" si="2"/>
        <v>0.1792898926967155</v>
      </c>
      <c r="Y48" s="154">
        <f t="shared" si="2"/>
        <v>0</v>
      </c>
    </row>
    <row r="49" spans="2:27" x14ac:dyDescent="0.3">
      <c r="F49" s="28" t="s">
        <v>468</v>
      </c>
      <c r="G49" s="28" t="s">
        <v>169</v>
      </c>
      <c r="J49" s="145">
        <f t="shared" ref="J49:Y49" si="3">IF(ISNUMBER(J$38), J43, IF(J$34 = 0, 0, J32 / J$34))</f>
        <v>0.33450730084590469</v>
      </c>
      <c r="K49" s="145">
        <f t="shared" si="3"/>
        <v>0.33450730084590469</v>
      </c>
      <c r="L49" s="145">
        <f t="shared" si="3"/>
        <v>0.42718763248992886</v>
      </c>
      <c r="M49" s="145">
        <f t="shared" si="3"/>
        <v>0.42718763248992886</v>
      </c>
      <c r="N49" s="145">
        <f t="shared" si="3"/>
        <v>0.42861743172532557</v>
      </c>
      <c r="O49" s="145">
        <f t="shared" si="3"/>
        <v>0.41544527418315441</v>
      </c>
      <c r="P49" s="145">
        <f t="shared" si="3"/>
        <v>0.37189307258336335</v>
      </c>
      <c r="Q49" s="145">
        <f t="shared" si="3"/>
        <v>0.22698894888015334</v>
      </c>
      <c r="R49" s="145">
        <f t="shared" si="3"/>
        <v>0.58343543704038303</v>
      </c>
      <c r="S49" s="145">
        <f t="shared" si="3"/>
        <v>0</v>
      </c>
      <c r="T49" s="145">
        <f t="shared" si="3"/>
        <v>0.45036777597730898</v>
      </c>
      <c r="U49" s="145">
        <f t="shared" si="3"/>
        <v>0</v>
      </c>
      <c r="V49" s="145">
        <f t="shared" si="3"/>
        <v>0.34188351276926032</v>
      </c>
      <c r="W49" s="145">
        <f t="shared" si="3"/>
        <v>0</v>
      </c>
      <c r="X49" s="145">
        <f t="shared" si="3"/>
        <v>0.38680791454871372</v>
      </c>
      <c r="Y49" s="145">
        <f t="shared" si="3"/>
        <v>0</v>
      </c>
    </row>
    <row r="50" spans="2:27" x14ac:dyDescent="0.3">
      <c r="F50" s="67" t="s">
        <v>259</v>
      </c>
      <c r="G50" s="67" t="s">
        <v>169</v>
      </c>
      <c r="H50" s="37"/>
      <c r="I50" s="37"/>
      <c r="J50" s="155">
        <f t="shared" ref="J50:Y50" si="4">IF(ISNUMBER(J$38), J44, IF(J$34 = 0, 0, J33 / J$34))</f>
        <v>0.55271573220445624</v>
      </c>
      <c r="K50" s="155">
        <f t="shared" si="4"/>
        <v>0.55271573220445624</v>
      </c>
      <c r="L50" s="155">
        <f t="shared" si="4"/>
        <v>0.46911892354897683</v>
      </c>
      <c r="M50" s="155">
        <f t="shared" si="4"/>
        <v>0.46911892354897683</v>
      </c>
      <c r="N50" s="155">
        <f t="shared" si="4"/>
        <v>0.46965994086987362</v>
      </c>
      <c r="O50" s="155">
        <f t="shared" si="4"/>
        <v>0.47755780680608978</v>
      </c>
      <c r="P50" s="155">
        <f t="shared" si="4"/>
        <v>0.53078486086408938</v>
      </c>
      <c r="Q50" s="155">
        <f t="shared" si="4"/>
        <v>0.73266746329354426</v>
      </c>
      <c r="R50" s="155">
        <f t="shared" si="4"/>
        <v>0.32740175291504037</v>
      </c>
      <c r="S50" s="155">
        <f t="shared" si="4"/>
        <v>0</v>
      </c>
      <c r="T50" s="155">
        <f t="shared" si="4"/>
        <v>0.45921345015021353</v>
      </c>
      <c r="U50" s="155">
        <f t="shared" si="4"/>
        <v>0</v>
      </c>
      <c r="V50" s="155">
        <f t="shared" si="4"/>
        <v>0.57096080564281293</v>
      </c>
      <c r="W50" s="155">
        <f t="shared" si="4"/>
        <v>0</v>
      </c>
      <c r="X50" s="155">
        <f t="shared" si="4"/>
        <v>0.43390219275457076</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470</v>
      </c>
      <c r="G54" t="s">
        <v>285</v>
      </c>
      <c r="H54" s="89"/>
      <c r="I54" s="89"/>
      <c r="J54" s="89">
        <f t="shared" ref="J54:Y54" si="5">J48 * hours_in_year / J24</f>
        <v>1.2617193237277617</v>
      </c>
      <c r="K54" s="89">
        <f t="shared" si="5"/>
        <v>1.2617193237277617</v>
      </c>
      <c r="L54" s="89">
        <f t="shared" si="5"/>
        <v>1.1600952351202884</v>
      </c>
      <c r="M54" s="89">
        <f t="shared" si="5"/>
        <v>1.1600952351202884</v>
      </c>
      <c r="N54" s="89">
        <f t="shared" si="5"/>
        <v>1.1380462529579236</v>
      </c>
      <c r="O54" s="89">
        <f t="shared" si="5"/>
        <v>1.1970536533004104</v>
      </c>
      <c r="P54" s="89">
        <f t="shared" si="5"/>
        <v>1.0888139246491888</v>
      </c>
      <c r="Q54" s="89">
        <f t="shared" si="5"/>
        <v>1.3698055401488745</v>
      </c>
      <c r="R54" s="89">
        <f t="shared" si="5"/>
        <v>0.99753028862131654</v>
      </c>
      <c r="S54" s="89">
        <f t="shared" si="5"/>
        <v>0</v>
      </c>
      <c r="T54" s="89">
        <f t="shared" si="5"/>
        <v>1.0115816847035788</v>
      </c>
      <c r="U54" s="89">
        <f t="shared" si="5"/>
        <v>0</v>
      </c>
      <c r="V54" s="89">
        <f t="shared" si="5"/>
        <v>0.97507505837833786</v>
      </c>
      <c r="W54" s="89">
        <f t="shared" si="5"/>
        <v>0</v>
      </c>
      <c r="X54" s="89">
        <f t="shared" si="5"/>
        <v>2.0058486079479283</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471</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472</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243</v>
      </c>
      <c r="G62" s="28" t="s">
        <v>169</v>
      </c>
      <c r="J62" s="25">
        <f>'Inputs by customer type'!J15</f>
        <v>0.44796837710480569</v>
      </c>
      <c r="K62" s="25">
        <f>'Inputs by customer type'!K15</f>
        <v>0.12678758597226766</v>
      </c>
      <c r="L62" s="25">
        <f>'Inputs by customer type'!L15</f>
        <v>0.43768798874811282</v>
      </c>
      <c r="M62" s="25">
        <f>'Inputs by customer type'!M15</f>
        <v>0.23185795849877822</v>
      </c>
      <c r="N62" s="25">
        <f>'Inputs by customer type'!N15</f>
        <v>0.54123214231902228</v>
      </c>
      <c r="O62" s="25">
        <f>'Inputs by customer type'!O15</f>
        <v>0.58771536453392137</v>
      </c>
      <c r="P62" s="25">
        <f>'Inputs by customer type'!P15</f>
        <v>0.7285680308107656</v>
      </c>
      <c r="Q62" s="25">
        <f>'Inputs by customer type'!Q15</f>
        <v>0.4904377895334277</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245</v>
      </c>
      <c r="G63" s="28" t="s">
        <v>169</v>
      </c>
      <c r="J63" s="25">
        <f>'Inputs by customer type'!J16</f>
        <v>0.92728776504797317</v>
      </c>
      <c r="K63" s="25">
        <f>'Inputs by customer type'!K16</f>
        <v>0</v>
      </c>
      <c r="L63" s="25">
        <f>'Inputs by customer type'!L16</f>
        <v>0.727736083732617</v>
      </c>
      <c r="M63" s="25">
        <f>'Inputs by customer type'!M16</f>
        <v>0</v>
      </c>
      <c r="N63" s="25">
        <f>'Inputs by customer type'!N16</f>
        <v>0.74966003876595877</v>
      </c>
      <c r="O63" s="25">
        <f>'Inputs by customer type'!O16</f>
        <v>0.80604166755551976</v>
      </c>
      <c r="P63" s="25">
        <f>'Inputs by customer type'!P16</f>
        <v>0.80938528774502716</v>
      </c>
      <c r="Q63" s="25">
        <f>'Inputs by customer type'!Q16</f>
        <v>0.95060113521235012</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853</v>
      </c>
      <c r="E67" s="28"/>
      <c r="F67" s="28"/>
      <c r="G67" s="28"/>
    </row>
    <row r="68" spans="3:27" x14ac:dyDescent="0.3">
      <c r="D68" s="32"/>
      <c r="E68" s="28"/>
      <c r="F68" s="28"/>
      <c r="G68" s="28"/>
    </row>
    <row r="69" spans="3:27" x14ac:dyDescent="0.3">
      <c r="D69" s="32"/>
      <c r="E69" s="28" t="s">
        <v>854</v>
      </c>
      <c r="F69" s="28"/>
      <c r="G69" s="28" t="s">
        <v>174</v>
      </c>
      <c r="J69" s="89">
        <f t="shared" ref="J69:P69" si="6">J34 / hours_in_year</f>
        <v>1007.8276941557687</v>
      </c>
      <c r="K69" s="89">
        <f t="shared" si="6"/>
        <v>1.9544311017292424</v>
      </c>
      <c r="L69" s="89">
        <f t="shared" si="6"/>
        <v>351.48523412394019</v>
      </c>
      <c r="M69" s="89">
        <f t="shared" si="6"/>
        <v>0.27011134159343952</v>
      </c>
      <c r="N69" s="89">
        <f t="shared" si="6"/>
        <v>380.06573533697798</v>
      </c>
      <c r="O69" s="89">
        <f t="shared" si="6"/>
        <v>30.053421750128457</v>
      </c>
      <c r="P69" s="89">
        <f t="shared" si="6"/>
        <v>788.42358721846961</v>
      </c>
      <c r="Q69" s="316"/>
      <c r="R69" s="316"/>
      <c r="S69" s="316"/>
      <c r="T69" s="316"/>
      <c r="U69" s="316"/>
      <c r="V69" s="316"/>
      <c r="W69" s="316"/>
      <c r="X69" s="316"/>
      <c r="Y69" s="316"/>
    </row>
    <row r="70" spans="3:27" x14ac:dyDescent="0.3">
      <c r="D70" s="32"/>
      <c r="E70" s="28"/>
      <c r="F70" s="28"/>
      <c r="G70" s="28"/>
    </row>
    <row r="71" spans="3:27" x14ac:dyDescent="0.3">
      <c r="D71" s="32"/>
      <c r="E71" s="28" t="s">
        <v>473</v>
      </c>
      <c r="F71" s="28"/>
      <c r="G71" s="28" t="s">
        <v>174</v>
      </c>
      <c r="J71" s="89">
        <f t="shared" ref="J71:P71" si="7">IF(J62 = 0, 0, J34 / (J62 * hours_in_year))</f>
        <v>2249.7741931457354</v>
      </c>
      <c r="K71" s="89">
        <f t="shared" si="7"/>
        <v>15.415003659401926</v>
      </c>
      <c r="L71" s="89">
        <f t="shared" si="7"/>
        <v>803.04975955421548</v>
      </c>
      <c r="M71" s="89">
        <f t="shared" si="7"/>
        <v>1.1649862844577012</v>
      </c>
      <c r="N71" s="89">
        <f t="shared" si="7"/>
        <v>702.22314164215527</v>
      </c>
      <c r="O71" s="89">
        <f t="shared" si="7"/>
        <v>51.136015091185953</v>
      </c>
      <c r="P71" s="89">
        <f t="shared" si="7"/>
        <v>1082.1550684032836</v>
      </c>
      <c r="Q71" s="316"/>
      <c r="R71" s="316"/>
      <c r="S71" s="316"/>
      <c r="T71" s="316"/>
      <c r="U71" s="316"/>
      <c r="V71" s="316"/>
      <c r="W71" s="316"/>
      <c r="X71" s="316"/>
      <c r="Y71" s="316"/>
    </row>
    <row r="72" spans="3:27" x14ac:dyDescent="0.3">
      <c r="D72" s="32"/>
      <c r="E72" s="28"/>
      <c r="F72" s="28"/>
      <c r="G72" s="28"/>
    </row>
    <row r="73" spans="3:27" x14ac:dyDescent="0.3">
      <c r="D73" s="32"/>
      <c r="E73" s="28" t="s">
        <v>855</v>
      </c>
      <c r="F73" s="28"/>
      <c r="G73" s="28" t="s">
        <v>174</v>
      </c>
      <c r="J73" s="89">
        <f>J71 * J63</f>
        <v>2086.1880834247158</v>
      </c>
      <c r="K73" s="89">
        <f t="shared" ref="K73:M73" si="8">K71 * K63</f>
        <v>0</v>
      </c>
      <c r="L73" s="89">
        <f t="shared" si="8"/>
        <v>584.40828706040452</v>
      </c>
      <c r="M73" s="89">
        <f t="shared" si="8"/>
        <v>0</v>
      </c>
      <c r="N73" s="89">
        <f t="shared" ref="N73:P73" si="9">N71 * N63</f>
        <v>526.42862758581145</v>
      </c>
      <c r="O73" s="89">
        <f t="shared" si="9"/>
        <v>41.217758876243749</v>
      </c>
      <c r="P73" s="89">
        <f t="shared" si="9"/>
        <v>875.88039142433126</v>
      </c>
      <c r="Q73" s="316"/>
      <c r="R73" s="316"/>
      <c r="S73" s="316"/>
      <c r="T73" s="316"/>
      <c r="U73" s="316"/>
      <c r="V73" s="316"/>
      <c r="W73" s="316"/>
      <c r="X73" s="316"/>
      <c r="Y73" s="316"/>
    </row>
    <row r="74" spans="3:27" x14ac:dyDescent="0.3">
      <c r="D74" s="32"/>
      <c r="E74" s="28"/>
      <c r="F74" s="28"/>
      <c r="G74" s="28"/>
    </row>
    <row r="75" spans="3:27" x14ac:dyDescent="0.3">
      <c r="D75" s="32" t="s">
        <v>856</v>
      </c>
      <c r="E75" s="28"/>
      <c r="F75" s="28"/>
      <c r="G75" s="28"/>
    </row>
    <row r="76" spans="3:27" x14ac:dyDescent="0.3">
      <c r="D76" s="32"/>
      <c r="E76" s="28"/>
      <c r="F76" s="28"/>
      <c r="G76" s="28"/>
    </row>
    <row r="77" spans="3:27" x14ac:dyDescent="0.3">
      <c r="D77" s="32"/>
      <c r="E77" s="28" t="s">
        <v>243</v>
      </c>
      <c r="F77" s="28"/>
      <c r="G77" s="28" t="s">
        <v>169</v>
      </c>
      <c r="J77" s="145">
        <f t="shared" ref="J77:P77" si="10">SUMIF($J$38:$Y$38, J$38, $J$69:$Y$69) / SUMIF($J$38:$Y$38, J$38, $J$71:$Y$71)</f>
        <v>0.44578268635649171</v>
      </c>
      <c r="K77" s="145">
        <f t="shared" si="10"/>
        <v>0.44578268635649171</v>
      </c>
      <c r="L77" s="145">
        <f t="shared" si="10"/>
        <v>0.43738982316061187</v>
      </c>
      <c r="M77" s="145">
        <f t="shared" si="10"/>
        <v>0.43738982316061187</v>
      </c>
      <c r="N77" s="145">
        <f t="shared" si="10"/>
        <v>0.54123214231902239</v>
      </c>
      <c r="O77" s="145">
        <f t="shared" si="10"/>
        <v>0.58771536453392137</v>
      </c>
      <c r="P77" s="145">
        <f t="shared" si="10"/>
        <v>0.72856803081076549</v>
      </c>
      <c r="Q77" s="316"/>
      <c r="R77" s="316"/>
      <c r="S77" s="316"/>
      <c r="T77" s="316"/>
      <c r="U77" s="316"/>
      <c r="V77" s="316"/>
      <c r="W77" s="316"/>
      <c r="X77" s="316"/>
      <c r="Y77" s="316"/>
    </row>
    <row r="78" spans="3:27" x14ac:dyDescent="0.3">
      <c r="D78" s="32"/>
      <c r="E78" s="28"/>
      <c r="F78" s="28"/>
      <c r="G78" s="28"/>
    </row>
    <row r="79" spans="3:27" x14ac:dyDescent="0.3">
      <c r="D79" s="32"/>
      <c r="E79" s="28" t="s">
        <v>245</v>
      </c>
      <c r="F79" s="28"/>
      <c r="G79" s="28" t="s">
        <v>169</v>
      </c>
      <c r="J79" s="145">
        <f t="shared" ref="J79:P79" si="11">SUMIF($J$38:$Y$38, J$38, $J$73:$Y$73) / SUMIF($J$38:$Y$38, J$38, $J$71:$Y$71)</f>
        <v>0.92097741167365277</v>
      </c>
      <c r="K79" s="145">
        <f t="shared" si="11"/>
        <v>0.92097741167365277</v>
      </c>
      <c r="L79" s="145">
        <f t="shared" si="11"/>
        <v>0.72668188451450977</v>
      </c>
      <c r="M79" s="145">
        <f t="shared" si="11"/>
        <v>0.72668188451450977</v>
      </c>
      <c r="N79" s="145">
        <f t="shared" si="11"/>
        <v>0.74966003876595877</v>
      </c>
      <c r="O79" s="145">
        <f t="shared" si="11"/>
        <v>0.80604166755551976</v>
      </c>
      <c r="P79" s="145">
        <f t="shared" si="11"/>
        <v>0.80938528774502716</v>
      </c>
      <c r="Q79" s="316"/>
      <c r="R79" s="316"/>
      <c r="S79" s="316"/>
      <c r="T79" s="316"/>
      <c r="U79" s="316"/>
      <c r="V79" s="316"/>
      <c r="W79" s="316"/>
      <c r="X79" s="316"/>
      <c r="Y79" s="316"/>
    </row>
    <row r="80" spans="3:27" x14ac:dyDescent="0.3">
      <c r="D80" s="32"/>
      <c r="E80" s="28"/>
      <c r="F80" s="28"/>
      <c r="G80" s="28"/>
    </row>
    <row r="81" spans="2:27" x14ac:dyDescent="0.3">
      <c r="D81" s="32" t="s">
        <v>857</v>
      </c>
      <c r="E81" s="28"/>
      <c r="F81" s="28"/>
      <c r="G81" s="28"/>
    </row>
    <row r="82" spans="2:27" x14ac:dyDescent="0.3">
      <c r="D82" s="28"/>
      <c r="E82" s="28"/>
      <c r="F82" s="28"/>
      <c r="G82" s="28"/>
    </row>
    <row r="83" spans="2:27" x14ac:dyDescent="0.3">
      <c r="D83" s="28"/>
      <c r="E83" s="28" t="s">
        <v>243</v>
      </c>
      <c r="F83" s="28"/>
      <c r="G83" s="28" t="s">
        <v>169</v>
      </c>
      <c r="J83" s="145">
        <f>IF(J$38 = 0, J62, J77)</f>
        <v>0.44578268635649171</v>
      </c>
      <c r="K83" s="145">
        <f t="shared" ref="K83:Y83" si="12">IF(K$38 = 0, K62, K77)</f>
        <v>0.44578268635649171</v>
      </c>
      <c r="L83" s="145">
        <f t="shared" si="12"/>
        <v>0.43738982316061187</v>
      </c>
      <c r="M83" s="145">
        <f>IF(M$38 = 0, M62, M77)</f>
        <v>0.43738982316061187</v>
      </c>
      <c r="N83" s="145">
        <f t="shared" si="12"/>
        <v>0.54123214231902239</v>
      </c>
      <c r="O83" s="145">
        <f t="shared" si="12"/>
        <v>0.58771536453392137</v>
      </c>
      <c r="P83" s="145">
        <f t="shared" si="12"/>
        <v>0.72856803081076549</v>
      </c>
      <c r="Q83" s="145">
        <f t="shared" si="12"/>
        <v>0.4904377895334277</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245</v>
      </c>
      <c r="F85" s="28"/>
      <c r="G85" s="28" t="s">
        <v>169</v>
      </c>
      <c r="J85" s="145">
        <f>IF(J38 = 0, J63, J79)</f>
        <v>0.92097741167365277</v>
      </c>
      <c r="K85" s="145">
        <f t="shared" ref="K85:Y85" si="13">IF(K38 = 0, K63, K79)</f>
        <v>0.92097741167365277</v>
      </c>
      <c r="L85" s="145">
        <f t="shared" si="13"/>
        <v>0.72668188451450977</v>
      </c>
      <c r="M85" s="145">
        <f t="shared" si="13"/>
        <v>0.72668188451450977</v>
      </c>
      <c r="N85" s="145">
        <f t="shared" si="13"/>
        <v>0.74966003876595877</v>
      </c>
      <c r="O85" s="145">
        <f t="shared" si="13"/>
        <v>0.80604166755551976</v>
      </c>
      <c r="P85" s="145">
        <f t="shared" si="13"/>
        <v>0.80938528774502716</v>
      </c>
      <c r="Q85" s="145">
        <f t="shared" si="13"/>
        <v>0.95060113521235012</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474</v>
      </c>
      <c r="G89" s="28" t="s">
        <v>285</v>
      </c>
      <c r="J89" s="89">
        <f t="shared" ref="J89:Y89" si="14">IF(AND(J62 = 0, J63 = 0), 1, J63 / J62)</f>
        <v>2.0699848749168002</v>
      </c>
      <c r="K89" s="89">
        <f t="shared" si="14"/>
        <v>0</v>
      </c>
      <c r="L89" s="89">
        <f t="shared" si="14"/>
        <v>1.662682327230655</v>
      </c>
      <c r="M89" s="89">
        <f t="shared" si="14"/>
        <v>0</v>
      </c>
      <c r="N89" s="89">
        <f t="shared" si="14"/>
        <v>1.3850988885358575</v>
      </c>
      <c r="O89" s="89">
        <f t="shared" si="14"/>
        <v>1.3714830616938842</v>
      </c>
      <c r="P89" s="89">
        <f t="shared" si="14"/>
        <v>1.1109261640870056</v>
      </c>
      <c r="Q89" s="89">
        <f t="shared" si="14"/>
        <v>1.9382705727401093</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858</v>
      </c>
      <c r="G91" s="28" t="s">
        <v>285</v>
      </c>
      <c r="I91" s="320" t="s">
        <v>156</v>
      </c>
      <c r="J91" s="89">
        <f>IF(AND(J83 = 0, J85 = 0), 1, J85 / J83)</f>
        <v>2.065978423704748</v>
      </c>
      <c r="K91" s="89">
        <f t="shared" ref="K91:Y91" si="15">IF(AND(K83 = 0, K85 = 0), 1, K85 / K83)</f>
        <v>2.065978423704748</v>
      </c>
      <c r="L91" s="89">
        <f t="shared" si="15"/>
        <v>1.661405560978652</v>
      </c>
      <c r="M91" s="89">
        <f t="shared" si="15"/>
        <v>1.661405560978652</v>
      </c>
      <c r="N91" s="89">
        <f>IF(AND(N83 = 0, N85 = 0), 1, N85 / N83)</f>
        <v>1.3850988885358571</v>
      </c>
      <c r="O91" s="89">
        <f t="shared" si="15"/>
        <v>1.3714830616938842</v>
      </c>
      <c r="P91" s="89">
        <f t="shared" si="15"/>
        <v>1.1109261640870058</v>
      </c>
      <c r="Q91" s="89">
        <f t="shared" si="15"/>
        <v>1.9382705727401093</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862</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475</v>
      </c>
      <c r="G93" s="28" t="s">
        <v>285</v>
      </c>
      <c r="I93" t="s">
        <v>156</v>
      </c>
      <c r="J93" s="89">
        <f>IF(OR(J54 = 0, J85 = 0), 1, J91 / J54)</f>
        <v>1.6374310711203148</v>
      </c>
      <c r="K93" s="89">
        <f t="shared" ref="K93:Y93" si="16">IF(OR(K54 = 0, K85 = 0), 1, K91 / K54)</f>
        <v>1.6374310711203148</v>
      </c>
      <c r="L93" s="89">
        <f t="shared" si="16"/>
        <v>1.4321285965857653</v>
      </c>
      <c r="M93" s="89">
        <f t="shared" si="16"/>
        <v>1.4321285965857653</v>
      </c>
      <c r="N93" s="89">
        <f>IF(OR(N54 = 0, N85 = 0), 1, N91 / N54)</f>
        <v>1.2170848811599817</v>
      </c>
      <c r="O93" s="89">
        <f t="shared" si="16"/>
        <v>1.1457156142605243</v>
      </c>
      <c r="P93" s="89">
        <f t="shared" si="16"/>
        <v>1.0203085568040853</v>
      </c>
      <c r="Q93" s="89">
        <f t="shared" si="16"/>
        <v>1.4149968852728194</v>
      </c>
      <c r="R93" s="89">
        <f t="shared" si="16"/>
        <v>1</v>
      </c>
      <c r="S93" s="89">
        <f t="shared" si="16"/>
        <v>1</v>
      </c>
      <c r="T93" s="89">
        <f t="shared" si="16"/>
        <v>1</v>
      </c>
      <c r="U93" s="89">
        <f t="shared" si="16"/>
        <v>1</v>
      </c>
      <c r="V93" s="89">
        <f t="shared" si="16"/>
        <v>1</v>
      </c>
      <c r="W93" s="89">
        <f t="shared" si="16"/>
        <v>1</v>
      </c>
      <c r="X93" s="89">
        <f t="shared" si="16"/>
        <v>1</v>
      </c>
      <c r="Y93" s="89">
        <f t="shared" si="16"/>
        <v>1</v>
      </c>
      <c r="AA93" t="s">
        <v>476</v>
      </c>
    </row>
    <row r="94" spans="2:27" x14ac:dyDescent="0.3">
      <c r="F94" s="28"/>
      <c r="G94" s="28"/>
    </row>
    <row r="95" spans="2:27" x14ac:dyDescent="0.3">
      <c r="B95" s="30" t="s">
        <v>477</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479</v>
      </c>
      <c r="I97" t="s">
        <v>156</v>
      </c>
      <c r="AA97" t="s">
        <v>478</v>
      </c>
    </row>
    <row r="98" spans="3:27" x14ac:dyDescent="0.3">
      <c r="C98" s="29" t="s">
        <v>480</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481</v>
      </c>
      <c r="G102" s="28"/>
    </row>
    <row r="103" spans="3:27" x14ac:dyDescent="0.3">
      <c r="F103" s="78" t="s">
        <v>296</v>
      </c>
      <c r="G103" s="64" t="s">
        <v>169</v>
      </c>
      <c r="H103" s="107">
        <f>'Inputs by network level'!K40</f>
        <v>0.86380182993886667</v>
      </c>
    </row>
    <row r="104" spans="3:27" x14ac:dyDescent="0.3">
      <c r="F104" s="72" t="s">
        <v>297</v>
      </c>
      <c r="G104" s="28" t="s">
        <v>169</v>
      </c>
      <c r="H104" s="25">
        <f>'Inputs by network level'!K41</f>
        <v>0.13619817006113336</v>
      </c>
    </row>
    <row r="105" spans="3:27" x14ac:dyDescent="0.3">
      <c r="F105" s="80" t="s">
        <v>259</v>
      </c>
      <c r="G105" s="67" t="s">
        <v>169</v>
      </c>
      <c r="H105" s="141">
        <f>'Inputs by network level'!K42</f>
        <v>0</v>
      </c>
    </row>
    <row r="106" spans="3:27" x14ac:dyDescent="0.3">
      <c r="F106" s="78" t="s">
        <v>298</v>
      </c>
      <c r="G106" s="64" t="s">
        <v>169</v>
      </c>
      <c r="H106" s="107">
        <f>'Inputs by network level'!K43</f>
        <v>0.71177234230276254</v>
      </c>
    </row>
    <row r="107" spans="3:27" x14ac:dyDescent="0.3">
      <c r="F107" s="72" t="s">
        <v>307</v>
      </c>
      <c r="G107" s="28" t="s">
        <v>169</v>
      </c>
      <c r="H107" s="156">
        <f>SUM(H103:H104) - H106</f>
        <v>0.28822765769723746</v>
      </c>
    </row>
    <row r="108" spans="3:27" x14ac:dyDescent="0.3">
      <c r="F108" s="80" t="s">
        <v>259</v>
      </c>
      <c r="G108" s="67" t="s">
        <v>169</v>
      </c>
      <c r="H108" s="157">
        <f>H105</f>
        <v>0</v>
      </c>
    </row>
    <row r="109" spans="3:27" x14ac:dyDescent="0.3">
      <c r="F109" s="29"/>
      <c r="G109" s="28"/>
    </row>
    <row r="110" spans="3:27" x14ac:dyDescent="0.3">
      <c r="E110" s="32" t="s">
        <v>482</v>
      </c>
      <c r="G110" s="28"/>
    </row>
    <row r="111" spans="3:27" x14ac:dyDescent="0.3">
      <c r="F111" s="78" t="s">
        <v>467</v>
      </c>
      <c r="G111" s="64" t="s">
        <v>169</v>
      </c>
      <c r="H111" s="107">
        <f>'Inputs by network level'!L40</f>
        <v>0.64748529290899826</v>
      </c>
    </row>
    <row r="112" spans="3:27" x14ac:dyDescent="0.3">
      <c r="F112" s="72" t="s">
        <v>468</v>
      </c>
      <c r="G112" s="28" t="s">
        <v>169</v>
      </c>
      <c r="H112" s="25">
        <f>'Inputs by network level'!L41</f>
        <v>0.31019189313925527</v>
      </c>
    </row>
    <row r="113" spans="5:8" x14ac:dyDescent="0.3">
      <c r="F113" s="80" t="s">
        <v>259</v>
      </c>
      <c r="G113" s="67" t="s">
        <v>169</v>
      </c>
      <c r="H113" s="141">
        <f>'Inputs by network level'!L42</f>
        <v>4.2322813951746419E-2</v>
      </c>
    </row>
    <row r="114" spans="5:8" x14ac:dyDescent="0.3">
      <c r="F114" s="78" t="s">
        <v>298</v>
      </c>
      <c r="G114" s="64" t="s">
        <v>169</v>
      </c>
      <c r="H114" s="107">
        <f>'Inputs by network level'!L43</f>
        <v>0.58841050783159343</v>
      </c>
    </row>
    <row r="115" spans="5:8" x14ac:dyDescent="0.3">
      <c r="F115" s="72" t="s">
        <v>307</v>
      </c>
      <c r="G115" s="28" t="s">
        <v>169</v>
      </c>
      <c r="H115" s="156">
        <f>SUM(H111:H112) - H114</f>
        <v>0.36926667821666015</v>
      </c>
    </row>
    <row r="116" spans="5:8" x14ac:dyDescent="0.3">
      <c r="F116" s="80" t="s">
        <v>259</v>
      </c>
      <c r="G116" s="67" t="s">
        <v>169</v>
      </c>
      <c r="H116" s="157">
        <f>H113</f>
        <v>4.2322813951746419E-2</v>
      </c>
    </row>
    <row r="117" spans="5:8" x14ac:dyDescent="0.3">
      <c r="F117" s="29"/>
      <c r="G117" s="28"/>
    </row>
    <row r="118" spans="5:8" x14ac:dyDescent="0.3">
      <c r="E118" s="32" t="s">
        <v>483</v>
      </c>
      <c r="G118" s="28"/>
    </row>
    <row r="119" spans="5:8" x14ac:dyDescent="0.3">
      <c r="F119" s="78" t="s">
        <v>467</v>
      </c>
      <c r="G119" s="64" t="s">
        <v>169</v>
      </c>
      <c r="H119" s="107">
        <f>'Inputs by network level'!M40</f>
        <v>0.64748529290899826</v>
      </c>
    </row>
    <row r="120" spans="5:8" x14ac:dyDescent="0.3">
      <c r="F120" s="72" t="s">
        <v>468</v>
      </c>
      <c r="G120" s="28" t="s">
        <v>169</v>
      </c>
      <c r="H120" s="25">
        <f>'Inputs by network level'!M41</f>
        <v>0.31019189313925527</v>
      </c>
    </row>
    <row r="121" spans="5:8" x14ac:dyDescent="0.3">
      <c r="F121" s="80" t="s">
        <v>259</v>
      </c>
      <c r="G121" s="67" t="s">
        <v>169</v>
      </c>
      <c r="H121" s="141">
        <f>'Inputs by network level'!M42</f>
        <v>4.2322813951746419E-2</v>
      </c>
    </row>
    <row r="122" spans="5:8" x14ac:dyDescent="0.3">
      <c r="F122" s="78" t="s">
        <v>298</v>
      </c>
      <c r="G122" s="64" t="s">
        <v>169</v>
      </c>
      <c r="H122" s="107">
        <f>'Inputs by network level'!M43</f>
        <v>0.58841050783159343</v>
      </c>
    </row>
    <row r="123" spans="5:8" x14ac:dyDescent="0.3">
      <c r="F123" s="72" t="s">
        <v>307</v>
      </c>
      <c r="G123" s="28" t="s">
        <v>169</v>
      </c>
      <c r="H123" s="156">
        <f>SUM(H119:H120) - H122</f>
        <v>0.36926667821666015</v>
      </c>
    </row>
    <row r="124" spans="5:8" x14ac:dyDescent="0.3">
      <c r="F124" s="80" t="s">
        <v>259</v>
      </c>
      <c r="G124" s="67" t="s">
        <v>169</v>
      </c>
      <c r="H124" s="157">
        <f>H121</f>
        <v>4.2322813951746419E-2</v>
      </c>
    </row>
    <row r="125" spans="5:8" x14ac:dyDescent="0.3">
      <c r="F125" s="29"/>
      <c r="G125" s="28"/>
    </row>
    <row r="126" spans="5:8" x14ac:dyDescent="0.3">
      <c r="E126" s="32" t="s">
        <v>484</v>
      </c>
      <c r="G126" s="28"/>
    </row>
    <row r="127" spans="5:8" x14ac:dyDescent="0.3">
      <c r="F127" s="78" t="s">
        <v>467</v>
      </c>
      <c r="G127" s="64" t="s">
        <v>169</v>
      </c>
      <c r="H127" s="107">
        <f>'Inputs by network level'!N40</f>
        <v>0.53835640863565393</v>
      </c>
    </row>
    <row r="128" spans="5:8" x14ac:dyDescent="0.3">
      <c r="F128" s="72" t="s">
        <v>468</v>
      </c>
      <c r="G128" s="28" t="s">
        <v>169</v>
      </c>
      <c r="H128" s="25">
        <f>'Inputs by network level'!N41</f>
        <v>0.40312655170010608</v>
      </c>
    </row>
    <row r="129" spans="5:8" x14ac:dyDescent="0.3">
      <c r="F129" s="80" t="s">
        <v>259</v>
      </c>
      <c r="G129" s="67" t="s">
        <v>169</v>
      </c>
      <c r="H129" s="141">
        <f>'Inputs by network level'!N42</f>
        <v>5.8517039664240052E-2</v>
      </c>
    </row>
    <row r="130" spans="5:8" x14ac:dyDescent="0.3">
      <c r="F130" s="78" t="s">
        <v>298</v>
      </c>
      <c r="G130" s="64" t="s">
        <v>169</v>
      </c>
      <c r="H130" s="107">
        <f>'Inputs by network level'!N43</f>
        <v>0.50214917619558697</v>
      </c>
    </row>
    <row r="131" spans="5:8" x14ac:dyDescent="0.3">
      <c r="F131" s="72" t="s">
        <v>307</v>
      </c>
      <c r="G131" s="28" t="s">
        <v>169</v>
      </c>
      <c r="H131" s="156">
        <f>SUM(H127:H128) - H130</f>
        <v>0.43933378414017299</v>
      </c>
    </row>
    <row r="132" spans="5:8" x14ac:dyDescent="0.3">
      <c r="F132" s="80" t="s">
        <v>259</v>
      </c>
      <c r="G132" s="67" t="s">
        <v>169</v>
      </c>
      <c r="H132" s="157">
        <f>H129</f>
        <v>5.8517039664240052E-2</v>
      </c>
    </row>
    <row r="133" spans="5:8" x14ac:dyDescent="0.3">
      <c r="F133" s="29"/>
      <c r="G133" s="28"/>
    </row>
    <row r="134" spans="5:8" x14ac:dyDescent="0.3">
      <c r="E134" s="32" t="s">
        <v>485</v>
      </c>
      <c r="G134" s="28"/>
    </row>
    <row r="135" spans="5:8" x14ac:dyDescent="0.3">
      <c r="F135" s="78" t="s">
        <v>467</v>
      </c>
      <c r="G135" s="64" t="s">
        <v>169</v>
      </c>
      <c r="H135" s="107">
        <f>'Inputs by network level'!O40</f>
        <v>0.53835640863565393</v>
      </c>
    </row>
    <row r="136" spans="5:8" x14ac:dyDescent="0.3">
      <c r="F136" s="72" t="s">
        <v>468</v>
      </c>
      <c r="G136" s="28" t="s">
        <v>169</v>
      </c>
      <c r="H136" s="25">
        <f>'Inputs by network level'!O41</f>
        <v>0.40312655170010608</v>
      </c>
    </row>
    <row r="137" spans="5:8" x14ac:dyDescent="0.3">
      <c r="F137" s="80" t="s">
        <v>259</v>
      </c>
      <c r="G137" s="67" t="s">
        <v>169</v>
      </c>
      <c r="H137" s="141">
        <f>'Inputs by network level'!O42</f>
        <v>5.8517039664240052E-2</v>
      </c>
    </row>
    <row r="138" spans="5:8" x14ac:dyDescent="0.3">
      <c r="F138" s="78" t="s">
        <v>298</v>
      </c>
      <c r="G138" s="64" t="s">
        <v>169</v>
      </c>
      <c r="H138" s="107">
        <f>'Inputs by network level'!O43</f>
        <v>0.50214917619558697</v>
      </c>
    </row>
    <row r="139" spans="5:8" x14ac:dyDescent="0.3">
      <c r="F139" s="72" t="s">
        <v>307</v>
      </c>
      <c r="G139" s="28" t="s">
        <v>169</v>
      </c>
      <c r="H139" s="156">
        <f>SUM(H135:H136) - H138</f>
        <v>0.43933378414017299</v>
      </c>
    </row>
    <row r="140" spans="5:8" x14ac:dyDescent="0.3">
      <c r="F140" s="80" t="s">
        <v>259</v>
      </c>
      <c r="G140" s="67" t="s">
        <v>169</v>
      </c>
      <c r="H140" s="157">
        <f>H137</f>
        <v>5.8517039664240052E-2</v>
      </c>
    </row>
    <row r="141" spans="5:8" x14ac:dyDescent="0.3">
      <c r="F141" s="29"/>
      <c r="G141" s="28"/>
    </row>
    <row r="142" spans="5:8" x14ac:dyDescent="0.3">
      <c r="E142" s="32" t="s">
        <v>486</v>
      </c>
      <c r="G142" s="28"/>
    </row>
    <row r="143" spans="5:8" x14ac:dyDescent="0.3">
      <c r="F143" s="78" t="s">
        <v>467</v>
      </c>
      <c r="G143" s="64" t="s">
        <v>169</v>
      </c>
      <c r="H143" s="107">
        <f>'Inputs by network level'!P40</f>
        <v>0.64748529290899826</v>
      </c>
    </row>
    <row r="144" spans="5:8" x14ac:dyDescent="0.3">
      <c r="F144" s="72" t="s">
        <v>468</v>
      </c>
      <c r="G144" s="28" t="s">
        <v>169</v>
      </c>
      <c r="H144" s="25">
        <f>'Inputs by network level'!P41</f>
        <v>0.31019189313925527</v>
      </c>
    </row>
    <row r="145" spans="5:8" x14ac:dyDescent="0.3">
      <c r="F145" s="80" t="s">
        <v>259</v>
      </c>
      <c r="G145" s="67" t="s">
        <v>169</v>
      </c>
      <c r="H145" s="141">
        <f>'Inputs by network level'!P42</f>
        <v>4.2322813951746419E-2</v>
      </c>
    </row>
    <row r="146" spans="5:8" x14ac:dyDescent="0.3">
      <c r="F146" s="78" t="s">
        <v>298</v>
      </c>
      <c r="G146" s="64" t="s">
        <v>169</v>
      </c>
      <c r="H146" s="107">
        <f>'Inputs by network level'!P43</f>
        <v>0.58841050783159343</v>
      </c>
    </row>
    <row r="147" spans="5:8" x14ac:dyDescent="0.3">
      <c r="F147" s="72" t="s">
        <v>307</v>
      </c>
      <c r="G147" s="28" t="s">
        <v>169</v>
      </c>
      <c r="H147" s="156">
        <f>SUM(H143:H144) - H146</f>
        <v>0.36926667821666015</v>
      </c>
    </row>
    <row r="148" spans="5:8" x14ac:dyDescent="0.3">
      <c r="F148" s="80" t="s">
        <v>259</v>
      </c>
      <c r="G148" s="67" t="s">
        <v>169</v>
      </c>
      <c r="H148" s="157">
        <f>H145</f>
        <v>4.2322813951746419E-2</v>
      </c>
    </row>
    <row r="149" spans="5:8" x14ac:dyDescent="0.3">
      <c r="F149" s="29"/>
      <c r="G149" s="28"/>
    </row>
    <row r="150" spans="5:8" x14ac:dyDescent="0.3">
      <c r="E150" s="32" t="s">
        <v>487</v>
      </c>
      <c r="G150" s="28"/>
    </row>
    <row r="151" spans="5:8" x14ac:dyDescent="0.3">
      <c r="F151" s="78" t="s">
        <v>467</v>
      </c>
      <c r="G151" s="64" t="s">
        <v>169</v>
      </c>
      <c r="H151" s="107">
        <f>'Inputs by network level'!Q40</f>
        <v>0.53835640863565393</v>
      </c>
    </row>
    <row r="152" spans="5:8" x14ac:dyDescent="0.3">
      <c r="F152" s="72" t="s">
        <v>468</v>
      </c>
      <c r="G152" s="28" t="s">
        <v>169</v>
      </c>
      <c r="H152" s="25">
        <f>'Inputs by network level'!Q41</f>
        <v>0.40312655170010608</v>
      </c>
    </row>
    <row r="153" spans="5:8" x14ac:dyDescent="0.3">
      <c r="F153" s="80" t="s">
        <v>259</v>
      </c>
      <c r="G153" s="67" t="s">
        <v>169</v>
      </c>
      <c r="H153" s="141">
        <f>'Inputs by network level'!Q42</f>
        <v>5.8517039664240052E-2</v>
      </c>
    </row>
    <row r="154" spans="5:8" x14ac:dyDescent="0.3">
      <c r="F154" s="78" t="s">
        <v>298</v>
      </c>
      <c r="G154" s="64" t="s">
        <v>169</v>
      </c>
      <c r="H154" s="107">
        <f>'Inputs by network level'!Q43</f>
        <v>0.50214917619558697</v>
      </c>
    </row>
    <row r="155" spans="5:8" x14ac:dyDescent="0.3">
      <c r="F155" s="72" t="s">
        <v>307</v>
      </c>
      <c r="G155" s="28" t="s">
        <v>169</v>
      </c>
      <c r="H155" s="156">
        <f>SUM(H151:H152) - H154</f>
        <v>0.43933378414017299</v>
      </c>
    </row>
    <row r="156" spans="5:8" x14ac:dyDescent="0.3">
      <c r="F156" s="80" t="s">
        <v>259</v>
      </c>
      <c r="G156" s="67" t="s">
        <v>169</v>
      </c>
      <c r="H156" s="157">
        <f>H153</f>
        <v>5.8517039664240052E-2</v>
      </c>
    </row>
    <row r="157" spans="5:8" x14ac:dyDescent="0.3">
      <c r="F157" s="29"/>
      <c r="G157" s="28"/>
    </row>
    <row r="158" spans="5:8" x14ac:dyDescent="0.3">
      <c r="E158" s="32" t="s">
        <v>488</v>
      </c>
      <c r="G158" s="28"/>
    </row>
    <row r="159" spans="5:8" x14ac:dyDescent="0.3">
      <c r="F159" s="78" t="s">
        <v>467</v>
      </c>
      <c r="G159" s="64" t="s">
        <v>169</v>
      </c>
      <c r="H159" s="107">
        <f>'Inputs by network level'!R40</f>
        <v>0.53835640863565393</v>
      </c>
    </row>
    <row r="160" spans="5:8" x14ac:dyDescent="0.3">
      <c r="F160" s="72" t="s">
        <v>468</v>
      </c>
      <c r="G160" s="28" t="s">
        <v>169</v>
      </c>
      <c r="H160" s="25">
        <f>'Inputs by network level'!R41</f>
        <v>0.40312655170010608</v>
      </c>
    </row>
    <row r="161" spans="3:27" x14ac:dyDescent="0.3">
      <c r="F161" s="80" t="s">
        <v>259</v>
      </c>
      <c r="G161" s="67" t="s">
        <v>169</v>
      </c>
      <c r="H161" s="141">
        <f>'Inputs by network level'!R42</f>
        <v>5.8517039664240052E-2</v>
      </c>
    </row>
    <row r="162" spans="3:27" x14ac:dyDescent="0.3">
      <c r="F162" s="78" t="s">
        <v>298</v>
      </c>
      <c r="G162" s="64" t="s">
        <v>169</v>
      </c>
      <c r="H162" s="107">
        <f>'Inputs by network level'!R43</f>
        <v>0.50214917619558697</v>
      </c>
    </row>
    <row r="163" spans="3:27" x14ac:dyDescent="0.3">
      <c r="F163" s="72" t="s">
        <v>307</v>
      </c>
      <c r="G163" s="28" t="s">
        <v>169</v>
      </c>
      <c r="H163" s="156">
        <f>SUM(H159:H160) - H162</f>
        <v>0.43933378414017299</v>
      </c>
    </row>
    <row r="164" spans="3:27" x14ac:dyDescent="0.3">
      <c r="F164" s="80" t="s">
        <v>259</v>
      </c>
      <c r="G164" s="67" t="s">
        <v>169</v>
      </c>
      <c r="H164" s="157">
        <f>H161</f>
        <v>5.8517039664240052E-2</v>
      </c>
    </row>
    <row r="165" spans="3:27" x14ac:dyDescent="0.3">
      <c r="F165" s="29"/>
      <c r="G165" s="28"/>
    </row>
    <row r="166" spans="3:27" x14ac:dyDescent="0.3">
      <c r="E166" s="32" t="s">
        <v>489</v>
      </c>
      <c r="G166" s="28"/>
    </row>
    <row r="167" spans="3:27" x14ac:dyDescent="0.3">
      <c r="F167" s="78" t="s">
        <v>467</v>
      </c>
      <c r="G167" s="64" t="s">
        <v>169</v>
      </c>
      <c r="H167" s="107">
        <f>'Inputs by network level'!S40</f>
        <v>0.53835640863565393</v>
      </c>
    </row>
    <row r="168" spans="3:27" x14ac:dyDescent="0.3">
      <c r="F168" s="72" t="s">
        <v>468</v>
      </c>
      <c r="G168" s="28" t="s">
        <v>169</v>
      </c>
      <c r="H168" s="25">
        <f>'Inputs by network level'!S41</f>
        <v>0.40312655170010608</v>
      </c>
    </row>
    <row r="169" spans="3:27" x14ac:dyDescent="0.3">
      <c r="F169" s="80" t="s">
        <v>259</v>
      </c>
      <c r="G169" s="67" t="s">
        <v>169</v>
      </c>
      <c r="H169" s="141">
        <f>'Inputs by network level'!S42</f>
        <v>5.8517039664240052E-2</v>
      </c>
    </row>
    <row r="170" spans="3:27" x14ac:dyDescent="0.3">
      <c r="F170" s="78" t="s">
        <v>298</v>
      </c>
      <c r="G170" s="64" t="s">
        <v>169</v>
      </c>
      <c r="H170" s="107">
        <f>'Inputs by network level'!S43</f>
        <v>0.50214917619558697</v>
      </c>
    </row>
    <row r="171" spans="3:27" x14ac:dyDescent="0.3">
      <c r="F171" s="72" t="s">
        <v>307</v>
      </c>
      <c r="G171" s="28" t="s">
        <v>169</v>
      </c>
      <c r="H171" s="156">
        <f>SUM(H167:H168) - H170</f>
        <v>0.43933378414017299</v>
      </c>
    </row>
    <row r="172" spans="3:27" x14ac:dyDescent="0.3">
      <c r="F172" s="80" t="s">
        <v>259</v>
      </c>
      <c r="G172" s="67" t="s">
        <v>169</v>
      </c>
      <c r="H172" s="157">
        <f>H169</f>
        <v>5.8517039664240052E-2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481</v>
      </c>
      <c r="G176" s="28"/>
    </row>
    <row r="177" spans="5:25" x14ac:dyDescent="0.3">
      <c r="E177" s="29"/>
      <c r="F177" s="78" t="s">
        <v>467</v>
      </c>
      <c r="G177" s="64" t="s">
        <v>169</v>
      </c>
      <c r="H177" s="107"/>
      <c r="I177" s="23"/>
      <c r="J177" s="154">
        <f t="shared" ref="J177:K177" si="17">IF(J$20, $H106, $H103)</f>
        <v>0.86380182993886667</v>
      </c>
      <c r="K177" s="154">
        <f t="shared" si="17"/>
        <v>0.86380182993886667</v>
      </c>
      <c r="L177" s="154">
        <f t="shared" ref="L177:M177" si="18">IF(L$20, $H106, $H103)</f>
        <v>0.86380182993886667</v>
      </c>
      <c r="M177" s="154">
        <f t="shared" si="18"/>
        <v>0.86380182993886667</v>
      </c>
      <c r="N177" s="154">
        <f t="shared" ref="N177:P177" si="19">IF(N$20, $H106, $H103)</f>
        <v>0.86380182993886667</v>
      </c>
      <c r="O177" s="154">
        <f t="shared" si="19"/>
        <v>0.86380182993886667</v>
      </c>
      <c r="P177" s="154">
        <f t="shared" si="19"/>
        <v>0.86380182993886667</v>
      </c>
      <c r="Q177" s="154">
        <f t="shared" ref="Q177:S177" si="20">IF(Q$20, $H106, $H103)</f>
        <v>0.71177234230276254</v>
      </c>
      <c r="R177" s="154">
        <f t="shared" si="20"/>
        <v>0.86380182993886667</v>
      </c>
      <c r="S177" s="154">
        <f t="shared" si="20"/>
        <v>0.86380182993886667</v>
      </c>
      <c r="T177" s="154">
        <f t="shared" ref="T177:U177" si="21">IF(T$20, $H106, $H103)</f>
        <v>0.86380182993886667</v>
      </c>
      <c r="U177" s="154">
        <f t="shared" si="21"/>
        <v>0.86380182993886667</v>
      </c>
      <c r="V177" s="154">
        <f t="shared" ref="V177:W177" si="22">IF(V$20, $H106, $H103)</f>
        <v>0.86380182993886667</v>
      </c>
      <c r="W177" s="154">
        <f t="shared" si="22"/>
        <v>0.86380182993886667</v>
      </c>
      <c r="X177" s="154">
        <f t="shared" ref="X177:Y177" si="23">IF(X$20, $H106, $H103)</f>
        <v>0.86380182993886667</v>
      </c>
      <c r="Y177" s="154">
        <f t="shared" si="23"/>
        <v>0.86380182993886667</v>
      </c>
    </row>
    <row r="178" spans="5:25" x14ac:dyDescent="0.3">
      <c r="E178" s="29"/>
      <c r="F178" s="72" t="s">
        <v>468</v>
      </c>
      <c r="G178" s="28" t="s">
        <v>169</v>
      </c>
      <c r="H178" s="25"/>
      <c r="J178" s="145">
        <f t="shared" ref="J178:K178" si="24">IF(J$20, $H107, $H104)</f>
        <v>0.13619817006113336</v>
      </c>
      <c r="K178" s="145">
        <f t="shared" si="24"/>
        <v>0.13619817006113336</v>
      </c>
      <c r="L178" s="145">
        <f t="shared" ref="L178:M178" si="25">IF(L$20, $H107, $H104)</f>
        <v>0.13619817006113336</v>
      </c>
      <c r="M178" s="145">
        <f t="shared" si="25"/>
        <v>0.13619817006113336</v>
      </c>
      <c r="N178" s="145">
        <f t="shared" ref="N178:P178" si="26">IF(N$20, $H107, $H104)</f>
        <v>0.13619817006113336</v>
      </c>
      <c r="O178" s="145">
        <f t="shared" si="26"/>
        <v>0.13619817006113336</v>
      </c>
      <c r="P178" s="145">
        <f t="shared" si="26"/>
        <v>0.13619817006113336</v>
      </c>
      <c r="Q178" s="145">
        <f t="shared" ref="Q178:S178" si="27">IF(Q$20, $H107, $H104)</f>
        <v>0.28822765769723746</v>
      </c>
      <c r="R178" s="145">
        <f t="shared" si="27"/>
        <v>0.13619817006113336</v>
      </c>
      <c r="S178" s="145">
        <f t="shared" si="27"/>
        <v>0.13619817006113336</v>
      </c>
      <c r="T178" s="145">
        <f t="shared" ref="T178:U178" si="28">IF(T$20, $H107, $H104)</f>
        <v>0.13619817006113336</v>
      </c>
      <c r="U178" s="145">
        <f t="shared" si="28"/>
        <v>0.13619817006113336</v>
      </c>
      <c r="V178" s="145">
        <f t="shared" ref="V178:W178" si="29">IF(V$20, $H107, $H104)</f>
        <v>0.13619817006113336</v>
      </c>
      <c r="W178" s="145">
        <f t="shared" si="29"/>
        <v>0.13619817006113336</v>
      </c>
      <c r="X178" s="145">
        <f t="shared" ref="X178:Y178" si="30">IF(X$20, $H107, $H104)</f>
        <v>0.13619817006113336</v>
      </c>
      <c r="Y178" s="145">
        <f t="shared" si="30"/>
        <v>0.13619817006113336</v>
      </c>
    </row>
    <row r="179" spans="5:25" x14ac:dyDescent="0.3">
      <c r="E179" s="29"/>
      <c r="F179" s="80" t="s">
        <v>259</v>
      </c>
      <c r="G179" s="67" t="s">
        <v>169</v>
      </c>
      <c r="H179" s="141"/>
      <c r="I179" s="37"/>
      <c r="J179" s="155">
        <f t="shared" ref="J179:K179" si="31">IF(J$20, $H108, $H105)</f>
        <v>0</v>
      </c>
      <c r="K179" s="155">
        <f t="shared" si="31"/>
        <v>0</v>
      </c>
      <c r="L179" s="155">
        <f t="shared" ref="L179:M179" si="32">IF(L$20, $H108, $H105)</f>
        <v>0</v>
      </c>
      <c r="M179" s="155">
        <f t="shared" si="32"/>
        <v>0</v>
      </c>
      <c r="N179" s="155">
        <f t="shared" ref="N179:P179" si="33">IF(N$20, $H108, $H105)</f>
        <v>0</v>
      </c>
      <c r="O179" s="155">
        <f t="shared" si="33"/>
        <v>0</v>
      </c>
      <c r="P179" s="155">
        <f t="shared" si="33"/>
        <v>0</v>
      </c>
      <c r="Q179" s="155">
        <f t="shared" ref="Q179:S179" si="34">IF(Q$20, $H108, $H105)</f>
        <v>0</v>
      </c>
      <c r="R179" s="155">
        <f t="shared" si="34"/>
        <v>0</v>
      </c>
      <c r="S179" s="155">
        <f t="shared" si="34"/>
        <v>0</v>
      </c>
      <c r="T179" s="155">
        <f t="shared" ref="T179:U179" si="35">IF(T$20, $H108, $H105)</f>
        <v>0</v>
      </c>
      <c r="U179" s="155">
        <f t="shared" si="35"/>
        <v>0</v>
      </c>
      <c r="V179" s="155">
        <f t="shared" ref="V179:W179" si="36">IF(V$20, $H108, $H105)</f>
        <v>0</v>
      </c>
      <c r="W179" s="155">
        <f t="shared" si="36"/>
        <v>0</v>
      </c>
      <c r="X179" s="155">
        <f t="shared" ref="X179:Y179" si="37">IF(X$20, $H108, $H105)</f>
        <v>0</v>
      </c>
      <c r="Y179" s="155">
        <f t="shared" si="37"/>
        <v>0</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482</v>
      </c>
      <c r="G181" s="28"/>
    </row>
    <row r="182" spans="5:25" x14ac:dyDescent="0.3">
      <c r="E182" s="29"/>
      <c r="F182" s="78" t="s">
        <v>467</v>
      </c>
      <c r="G182" s="64" t="s">
        <v>169</v>
      </c>
      <c r="H182" s="107"/>
      <c r="I182" s="23"/>
      <c r="J182" s="154">
        <f t="shared" ref="J182:K182" si="38">IF(J$20, $H114, $H111)</f>
        <v>0.64748529290899826</v>
      </c>
      <c r="K182" s="154">
        <f t="shared" si="38"/>
        <v>0.64748529290899826</v>
      </c>
      <c r="L182" s="154">
        <f t="shared" ref="L182:M182" si="39">IF(L$20, $H114, $H111)</f>
        <v>0.64748529290899826</v>
      </c>
      <c r="M182" s="154">
        <f t="shared" si="39"/>
        <v>0.64748529290899826</v>
      </c>
      <c r="N182" s="154">
        <f t="shared" ref="N182:P182" si="40">IF(N$20, $H114, $H111)</f>
        <v>0.64748529290899826</v>
      </c>
      <c r="O182" s="154">
        <f t="shared" si="40"/>
        <v>0.64748529290899826</v>
      </c>
      <c r="P182" s="154">
        <f t="shared" si="40"/>
        <v>0.64748529290899826</v>
      </c>
      <c r="Q182" s="154">
        <f t="shared" ref="Q182:S182" si="41">IF(Q$20, $H114, $H111)</f>
        <v>0.58841050783159343</v>
      </c>
      <c r="R182" s="154">
        <f t="shared" si="41"/>
        <v>0.64748529290899826</v>
      </c>
      <c r="S182" s="154">
        <f t="shared" si="41"/>
        <v>0.64748529290899826</v>
      </c>
      <c r="T182" s="154">
        <f t="shared" ref="T182:U182" si="42">IF(T$20, $H114, $H111)</f>
        <v>0.64748529290899826</v>
      </c>
      <c r="U182" s="154">
        <f t="shared" si="42"/>
        <v>0.64748529290899826</v>
      </c>
      <c r="V182" s="154">
        <f t="shared" ref="V182:W182" si="43">IF(V$20, $H114, $H111)</f>
        <v>0.64748529290899826</v>
      </c>
      <c r="W182" s="154">
        <f t="shared" si="43"/>
        <v>0.64748529290899826</v>
      </c>
      <c r="X182" s="154">
        <f t="shared" ref="X182:Y182" si="44">IF(X$20, $H114, $H111)</f>
        <v>0.64748529290899826</v>
      </c>
      <c r="Y182" s="154">
        <f t="shared" si="44"/>
        <v>0.64748529290899826</v>
      </c>
    </row>
    <row r="183" spans="5:25" x14ac:dyDescent="0.3">
      <c r="E183" s="29"/>
      <c r="F183" s="72" t="s">
        <v>468</v>
      </c>
      <c r="G183" s="28" t="s">
        <v>169</v>
      </c>
      <c r="H183" s="25"/>
      <c r="J183" s="145">
        <f t="shared" ref="J183:K183" si="45">IF(J$20, $H115, $H112)</f>
        <v>0.31019189313925527</v>
      </c>
      <c r="K183" s="145">
        <f t="shared" si="45"/>
        <v>0.31019189313925527</v>
      </c>
      <c r="L183" s="145">
        <f t="shared" ref="L183:M183" si="46">IF(L$20, $H115, $H112)</f>
        <v>0.31019189313925527</v>
      </c>
      <c r="M183" s="145">
        <f t="shared" si="46"/>
        <v>0.31019189313925527</v>
      </c>
      <c r="N183" s="145">
        <f t="shared" ref="N183:P183" si="47">IF(N$20, $H115, $H112)</f>
        <v>0.31019189313925527</v>
      </c>
      <c r="O183" s="145">
        <f t="shared" si="47"/>
        <v>0.31019189313925527</v>
      </c>
      <c r="P183" s="145">
        <f t="shared" si="47"/>
        <v>0.31019189313925527</v>
      </c>
      <c r="Q183" s="145">
        <f t="shared" ref="Q183:S183" si="48">IF(Q$20, $H115, $H112)</f>
        <v>0.36926667821666015</v>
      </c>
      <c r="R183" s="145">
        <f t="shared" si="48"/>
        <v>0.31019189313925527</v>
      </c>
      <c r="S183" s="145">
        <f t="shared" si="48"/>
        <v>0.31019189313925527</v>
      </c>
      <c r="T183" s="145">
        <f t="shared" ref="T183:U183" si="49">IF(T$20, $H115, $H112)</f>
        <v>0.31019189313925527</v>
      </c>
      <c r="U183" s="145">
        <f t="shared" si="49"/>
        <v>0.31019189313925527</v>
      </c>
      <c r="V183" s="145">
        <f t="shared" ref="V183:W183" si="50">IF(V$20, $H115, $H112)</f>
        <v>0.31019189313925527</v>
      </c>
      <c r="W183" s="145">
        <f t="shared" si="50"/>
        <v>0.31019189313925527</v>
      </c>
      <c r="X183" s="145">
        <f t="shared" ref="X183:Y183" si="51">IF(X$20, $H115, $H112)</f>
        <v>0.31019189313925527</v>
      </c>
      <c r="Y183" s="145">
        <f t="shared" si="51"/>
        <v>0.31019189313925527</v>
      </c>
    </row>
    <row r="184" spans="5:25" x14ac:dyDescent="0.3">
      <c r="E184" s="29"/>
      <c r="F184" s="80" t="s">
        <v>259</v>
      </c>
      <c r="G184" s="67" t="s">
        <v>169</v>
      </c>
      <c r="H184" s="141"/>
      <c r="I184" s="37"/>
      <c r="J184" s="155">
        <f t="shared" ref="J184:K184" si="52">IF(J$20, $H116, $H113)</f>
        <v>4.2322813951746419E-2</v>
      </c>
      <c r="K184" s="155">
        <f t="shared" si="52"/>
        <v>4.2322813951746419E-2</v>
      </c>
      <c r="L184" s="155">
        <f t="shared" ref="L184:M184" si="53">IF(L$20, $H116, $H113)</f>
        <v>4.2322813951746419E-2</v>
      </c>
      <c r="M184" s="155">
        <f t="shared" si="53"/>
        <v>4.2322813951746419E-2</v>
      </c>
      <c r="N184" s="155">
        <f t="shared" ref="N184:P184" si="54">IF(N$20, $H116, $H113)</f>
        <v>4.2322813951746419E-2</v>
      </c>
      <c r="O184" s="155">
        <f t="shared" si="54"/>
        <v>4.2322813951746419E-2</v>
      </c>
      <c r="P184" s="155">
        <f t="shared" si="54"/>
        <v>4.2322813951746419E-2</v>
      </c>
      <c r="Q184" s="155">
        <f t="shared" ref="Q184:S184" si="55">IF(Q$20, $H116, $H113)</f>
        <v>4.2322813951746419E-2</v>
      </c>
      <c r="R184" s="155">
        <f t="shared" si="55"/>
        <v>4.2322813951746419E-2</v>
      </c>
      <c r="S184" s="155">
        <f t="shared" si="55"/>
        <v>4.2322813951746419E-2</v>
      </c>
      <c r="T184" s="155">
        <f t="shared" ref="T184:U184" si="56">IF(T$20, $H116, $H113)</f>
        <v>4.2322813951746419E-2</v>
      </c>
      <c r="U184" s="155">
        <f t="shared" si="56"/>
        <v>4.2322813951746419E-2</v>
      </c>
      <c r="V184" s="155">
        <f t="shared" ref="V184:W184" si="57">IF(V$20, $H116, $H113)</f>
        <v>4.2322813951746419E-2</v>
      </c>
      <c r="W184" s="155">
        <f t="shared" si="57"/>
        <v>4.2322813951746419E-2</v>
      </c>
      <c r="X184" s="155">
        <f t="shared" ref="X184:Y184" si="58">IF(X$20, $H116, $H113)</f>
        <v>4.2322813951746419E-2</v>
      </c>
      <c r="Y184" s="155">
        <f t="shared" si="58"/>
        <v>4.2322813951746419E-2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483</v>
      </c>
      <c r="G186" s="28"/>
    </row>
    <row r="187" spans="5:25" x14ac:dyDescent="0.3">
      <c r="E187" s="29"/>
      <c r="F187" s="78" t="s">
        <v>467</v>
      </c>
      <c r="G187" s="64" t="s">
        <v>169</v>
      </c>
      <c r="H187" s="107"/>
      <c r="I187" s="23"/>
      <c r="J187" s="154">
        <f t="shared" ref="J187:K187" si="59">IF(J$20, $H122, $H119)</f>
        <v>0.64748529290899826</v>
      </c>
      <c r="K187" s="154">
        <f t="shared" si="59"/>
        <v>0.64748529290899826</v>
      </c>
      <c r="L187" s="154">
        <f t="shared" ref="L187:M187" si="60">IF(L$20, $H122, $H119)</f>
        <v>0.64748529290899826</v>
      </c>
      <c r="M187" s="154">
        <f t="shared" si="60"/>
        <v>0.64748529290899826</v>
      </c>
      <c r="N187" s="154">
        <f t="shared" ref="N187:P187" si="61">IF(N$20, $H122, $H119)</f>
        <v>0.64748529290899826</v>
      </c>
      <c r="O187" s="154">
        <f t="shared" si="61"/>
        <v>0.64748529290899826</v>
      </c>
      <c r="P187" s="154">
        <f t="shared" si="61"/>
        <v>0.64748529290899826</v>
      </c>
      <c r="Q187" s="154">
        <f t="shared" ref="Q187:S187" si="62">IF(Q$20, $H122, $H119)</f>
        <v>0.58841050783159343</v>
      </c>
      <c r="R187" s="154">
        <f t="shared" si="62"/>
        <v>0.64748529290899826</v>
      </c>
      <c r="S187" s="154">
        <f t="shared" si="62"/>
        <v>0.64748529290899826</v>
      </c>
      <c r="T187" s="154">
        <f t="shared" ref="T187:U187" si="63">IF(T$20, $H122, $H119)</f>
        <v>0.64748529290899826</v>
      </c>
      <c r="U187" s="154">
        <f t="shared" si="63"/>
        <v>0.64748529290899826</v>
      </c>
      <c r="V187" s="154">
        <f t="shared" ref="V187:W187" si="64">IF(V$20, $H122, $H119)</f>
        <v>0.64748529290899826</v>
      </c>
      <c r="W187" s="154">
        <f t="shared" si="64"/>
        <v>0.64748529290899826</v>
      </c>
      <c r="X187" s="154">
        <f t="shared" ref="X187:Y187" si="65">IF(X$20, $H122, $H119)</f>
        <v>0.64748529290899826</v>
      </c>
      <c r="Y187" s="154">
        <f t="shared" si="65"/>
        <v>0.64748529290899826</v>
      </c>
    </row>
    <row r="188" spans="5:25" x14ac:dyDescent="0.3">
      <c r="E188" s="29"/>
      <c r="F188" s="72" t="s">
        <v>468</v>
      </c>
      <c r="G188" s="28" t="s">
        <v>169</v>
      </c>
      <c r="H188" s="25"/>
      <c r="J188" s="145">
        <f t="shared" ref="J188:K188" si="66">IF(J$20, $H123, $H120)</f>
        <v>0.31019189313925527</v>
      </c>
      <c r="K188" s="145">
        <f t="shared" si="66"/>
        <v>0.31019189313925527</v>
      </c>
      <c r="L188" s="145">
        <f t="shared" ref="L188:M188" si="67">IF(L$20, $H123, $H120)</f>
        <v>0.31019189313925527</v>
      </c>
      <c r="M188" s="145">
        <f t="shared" si="67"/>
        <v>0.31019189313925527</v>
      </c>
      <c r="N188" s="145">
        <f t="shared" ref="N188:P188" si="68">IF(N$20, $H123, $H120)</f>
        <v>0.31019189313925527</v>
      </c>
      <c r="O188" s="145">
        <f t="shared" si="68"/>
        <v>0.31019189313925527</v>
      </c>
      <c r="P188" s="145">
        <f t="shared" si="68"/>
        <v>0.31019189313925527</v>
      </c>
      <c r="Q188" s="145">
        <f t="shared" ref="Q188:S188" si="69">IF(Q$20, $H123, $H120)</f>
        <v>0.36926667821666015</v>
      </c>
      <c r="R188" s="145">
        <f t="shared" si="69"/>
        <v>0.31019189313925527</v>
      </c>
      <c r="S188" s="145">
        <f t="shared" si="69"/>
        <v>0.31019189313925527</v>
      </c>
      <c r="T188" s="145">
        <f t="shared" ref="T188:U188" si="70">IF(T$20, $H123, $H120)</f>
        <v>0.31019189313925527</v>
      </c>
      <c r="U188" s="145">
        <f t="shared" si="70"/>
        <v>0.31019189313925527</v>
      </c>
      <c r="V188" s="145">
        <f t="shared" ref="V188:W188" si="71">IF(V$20, $H123, $H120)</f>
        <v>0.31019189313925527</v>
      </c>
      <c r="W188" s="145">
        <f t="shared" si="71"/>
        <v>0.31019189313925527</v>
      </c>
      <c r="X188" s="145">
        <f t="shared" ref="X188:Y188" si="72">IF(X$20, $H123, $H120)</f>
        <v>0.31019189313925527</v>
      </c>
      <c r="Y188" s="145">
        <f t="shared" si="72"/>
        <v>0.31019189313925527</v>
      </c>
    </row>
    <row r="189" spans="5:25" x14ac:dyDescent="0.3">
      <c r="E189" s="29"/>
      <c r="F189" s="80" t="s">
        <v>259</v>
      </c>
      <c r="G189" s="67" t="s">
        <v>169</v>
      </c>
      <c r="H189" s="141"/>
      <c r="I189" s="37"/>
      <c r="J189" s="155">
        <f t="shared" ref="J189:K189" si="73">IF(J$20, $H124, $H121)</f>
        <v>4.2322813951746419E-2</v>
      </c>
      <c r="K189" s="155">
        <f t="shared" si="73"/>
        <v>4.2322813951746419E-2</v>
      </c>
      <c r="L189" s="155">
        <f t="shared" ref="L189:M189" si="74">IF(L$20, $H124, $H121)</f>
        <v>4.2322813951746419E-2</v>
      </c>
      <c r="M189" s="155">
        <f t="shared" si="74"/>
        <v>4.2322813951746419E-2</v>
      </c>
      <c r="N189" s="155">
        <f t="shared" ref="N189:P189" si="75">IF(N$20, $H124, $H121)</f>
        <v>4.2322813951746419E-2</v>
      </c>
      <c r="O189" s="155">
        <f t="shared" si="75"/>
        <v>4.2322813951746419E-2</v>
      </c>
      <c r="P189" s="155">
        <f t="shared" si="75"/>
        <v>4.2322813951746419E-2</v>
      </c>
      <c r="Q189" s="155">
        <f t="shared" ref="Q189:S189" si="76">IF(Q$20, $H124, $H121)</f>
        <v>4.2322813951746419E-2</v>
      </c>
      <c r="R189" s="155">
        <f t="shared" si="76"/>
        <v>4.2322813951746419E-2</v>
      </c>
      <c r="S189" s="155">
        <f t="shared" si="76"/>
        <v>4.2322813951746419E-2</v>
      </c>
      <c r="T189" s="155">
        <f t="shared" ref="T189:U189" si="77">IF(T$20, $H124, $H121)</f>
        <v>4.2322813951746419E-2</v>
      </c>
      <c r="U189" s="155">
        <f t="shared" si="77"/>
        <v>4.2322813951746419E-2</v>
      </c>
      <c r="V189" s="155">
        <f t="shared" ref="V189:W189" si="78">IF(V$20, $H124, $H121)</f>
        <v>4.2322813951746419E-2</v>
      </c>
      <c r="W189" s="155">
        <f t="shared" si="78"/>
        <v>4.2322813951746419E-2</v>
      </c>
      <c r="X189" s="155">
        <f t="shared" ref="X189:Y189" si="79">IF(X$20, $H124, $H121)</f>
        <v>4.2322813951746419E-2</v>
      </c>
      <c r="Y189" s="155">
        <f t="shared" si="79"/>
        <v>4.2322813951746419E-2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484</v>
      </c>
      <c r="G191" s="28"/>
    </row>
    <row r="192" spans="5:25" x14ac:dyDescent="0.3">
      <c r="E192" s="29"/>
      <c r="F192" s="78" t="s">
        <v>467</v>
      </c>
      <c r="G192" s="64" t="s">
        <v>169</v>
      </c>
      <c r="H192" s="107"/>
      <c r="I192" s="23"/>
      <c r="J192" s="154">
        <f t="shared" ref="J192:K192" si="80">IF(J$20, $H130, $H127)</f>
        <v>0.53835640863565393</v>
      </c>
      <c r="K192" s="154">
        <f t="shared" si="80"/>
        <v>0.53835640863565393</v>
      </c>
      <c r="L192" s="154">
        <f t="shared" ref="L192:M192" si="81">IF(L$20, $H130, $H127)</f>
        <v>0.53835640863565393</v>
      </c>
      <c r="M192" s="154">
        <f t="shared" si="81"/>
        <v>0.53835640863565393</v>
      </c>
      <c r="N192" s="154">
        <f t="shared" ref="N192:P192" si="82">IF(N$20, $H130, $H127)</f>
        <v>0.53835640863565393</v>
      </c>
      <c r="O192" s="154">
        <f t="shared" si="82"/>
        <v>0.53835640863565393</v>
      </c>
      <c r="P192" s="154">
        <f t="shared" si="82"/>
        <v>0.53835640863565393</v>
      </c>
      <c r="Q192" s="154">
        <f t="shared" ref="Q192:S192" si="83">IF(Q$20, $H130, $H127)</f>
        <v>0.50214917619558697</v>
      </c>
      <c r="R192" s="154">
        <f t="shared" si="83"/>
        <v>0.53835640863565393</v>
      </c>
      <c r="S192" s="154">
        <f t="shared" si="83"/>
        <v>0.53835640863565393</v>
      </c>
      <c r="T192" s="154">
        <f t="shared" ref="T192:U192" si="84">IF(T$20, $H130, $H127)</f>
        <v>0.53835640863565393</v>
      </c>
      <c r="U192" s="154">
        <f t="shared" si="84"/>
        <v>0.53835640863565393</v>
      </c>
      <c r="V192" s="154">
        <f t="shared" ref="V192:W192" si="85">IF(V$20, $H130, $H127)</f>
        <v>0.53835640863565393</v>
      </c>
      <c r="W192" s="154">
        <f t="shared" si="85"/>
        <v>0.53835640863565393</v>
      </c>
      <c r="X192" s="154">
        <f t="shared" ref="X192:Y192" si="86">IF(X$20, $H130, $H127)</f>
        <v>0.53835640863565393</v>
      </c>
      <c r="Y192" s="154">
        <f t="shared" si="86"/>
        <v>0.53835640863565393</v>
      </c>
    </row>
    <row r="193" spans="5:25" x14ac:dyDescent="0.3">
      <c r="E193" s="29"/>
      <c r="F193" s="72" t="s">
        <v>468</v>
      </c>
      <c r="G193" s="28" t="s">
        <v>169</v>
      </c>
      <c r="H193" s="25"/>
      <c r="J193" s="145">
        <f t="shared" ref="J193:K193" si="87">IF(J$20, $H131, $H128)</f>
        <v>0.40312655170010608</v>
      </c>
      <c r="K193" s="145">
        <f t="shared" si="87"/>
        <v>0.40312655170010608</v>
      </c>
      <c r="L193" s="145">
        <f t="shared" ref="L193:M193" si="88">IF(L$20, $H131, $H128)</f>
        <v>0.40312655170010608</v>
      </c>
      <c r="M193" s="145">
        <f t="shared" si="88"/>
        <v>0.40312655170010608</v>
      </c>
      <c r="N193" s="145">
        <f t="shared" ref="N193:P193" si="89">IF(N$20, $H131, $H128)</f>
        <v>0.40312655170010608</v>
      </c>
      <c r="O193" s="145">
        <f t="shared" si="89"/>
        <v>0.40312655170010608</v>
      </c>
      <c r="P193" s="145">
        <f t="shared" si="89"/>
        <v>0.40312655170010608</v>
      </c>
      <c r="Q193" s="145">
        <f t="shared" ref="Q193:S193" si="90">IF(Q$20, $H131, $H128)</f>
        <v>0.43933378414017299</v>
      </c>
      <c r="R193" s="145">
        <f t="shared" si="90"/>
        <v>0.40312655170010608</v>
      </c>
      <c r="S193" s="145">
        <f t="shared" si="90"/>
        <v>0.40312655170010608</v>
      </c>
      <c r="T193" s="145">
        <f t="shared" ref="T193:U193" si="91">IF(T$20, $H131, $H128)</f>
        <v>0.40312655170010608</v>
      </c>
      <c r="U193" s="145">
        <f t="shared" si="91"/>
        <v>0.40312655170010608</v>
      </c>
      <c r="V193" s="145">
        <f t="shared" ref="V193:W193" si="92">IF(V$20, $H131, $H128)</f>
        <v>0.40312655170010608</v>
      </c>
      <c r="W193" s="145">
        <f t="shared" si="92"/>
        <v>0.40312655170010608</v>
      </c>
      <c r="X193" s="145">
        <f t="shared" ref="X193:Y193" si="93">IF(X$20, $H131, $H128)</f>
        <v>0.40312655170010608</v>
      </c>
      <c r="Y193" s="145">
        <f t="shared" si="93"/>
        <v>0.40312655170010608</v>
      </c>
    </row>
    <row r="194" spans="5:25" x14ac:dyDescent="0.3">
      <c r="E194" s="29"/>
      <c r="F194" s="80" t="s">
        <v>259</v>
      </c>
      <c r="G194" s="67" t="s">
        <v>169</v>
      </c>
      <c r="H194" s="141"/>
      <c r="I194" s="37"/>
      <c r="J194" s="155">
        <f t="shared" ref="J194:K194" si="94">IF(J$20, $H132, $H129)</f>
        <v>5.8517039664240052E-2</v>
      </c>
      <c r="K194" s="155">
        <f t="shared" si="94"/>
        <v>5.8517039664240052E-2</v>
      </c>
      <c r="L194" s="155">
        <f t="shared" ref="L194:M194" si="95">IF(L$20, $H132, $H129)</f>
        <v>5.8517039664240052E-2</v>
      </c>
      <c r="M194" s="155">
        <f t="shared" si="95"/>
        <v>5.8517039664240052E-2</v>
      </c>
      <c r="N194" s="155">
        <f t="shared" ref="N194:P194" si="96">IF(N$20, $H132, $H129)</f>
        <v>5.8517039664240052E-2</v>
      </c>
      <c r="O194" s="155">
        <f t="shared" si="96"/>
        <v>5.8517039664240052E-2</v>
      </c>
      <c r="P194" s="155">
        <f t="shared" si="96"/>
        <v>5.8517039664240052E-2</v>
      </c>
      <c r="Q194" s="155">
        <f t="shared" ref="Q194:S194" si="97">IF(Q$20, $H132, $H129)</f>
        <v>5.8517039664240052E-2</v>
      </c>
      <c r="R194" s="155">
        <f t="shared" si="97"/>
        <v>5.8517039664240052E-2</v>
      </c>
      <c r="S194" s="155">
        <f t="shared" si="97"/>
        <v>5.8517039664240052E-2</v>
      </c>
      <c r="T194" s="155">
        <f t="shared" ref="T194:U194" si="98">IF(T$20, $H132, $H129)</f>
        <v>5.8517039664240052E-2</v>
      </c>
      <c r="U194" s="155">
        <f t="shared" si="98"/>
        <v>5.8517039664240052E-2</v>
      </c>
      <c r="V194" s="155">
        <f t="shared" ref="V194:W194" si="99">IF(V$20, $H132, $H129)</f>
        <v>5.8517039664240052E-2</v>
      </c>
      <c r="W194" s="155">
        <f t="shared" si="99"/>
        <v>5.8517039664240052E-2</v>
      </c>
      <c r="X194" s="155">
        <f t="shared" ref="X194:Y194" si="100">IF(X$20, $H132, $H129)</f>
        <v>5.8517039664240052E-2</v>
      </c>
      <c r="Y194" s="155">
        <f t="shared" si="100"/>
        <v>5.8517039664240052E-2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485</v>
      </c>
      <c r="G196" s="28"/>
    </row>
    <row r="197" spans="5:25" x14ac:dyDescent="0.3">
      <c r="E197" s="29"/>
      <c r="F197" s="78" t="s">
        <v>467</v>
      </c>
      <c r="G197" s="64" t="s">
        <v>169</v>
      </c>
      <c r="H197" s="107"/>
      <c r="I197" s="23"/>
      <c r="J197" s="154">
        <f t="shared" ref="J197:K197" si="101">IF(J$20, $H138, $H135)</f>
        <v>0.53835640863565393</v>
      </c>
      <c r="K197" s="154">
        <f t="shared" si="101"/>
        <v>0.53835640863565393</v>
      </c>
      <c r="L197" s="154">
        <f t="shared" ref="L197:M197" si="102">IF(L$20, $H138, $H135)</f>
        <v>0.53835640863565393</v>
      </c>
      <c r="M197" s="154">
        <f t="shared" si="102"/>
        <v>0.53835640863565393</v>
      </c>
      <c r="N197" s="154">
        <f t="shared" ref="N197:P197" si="103">IF(N$20, $H138, $H135)</f>
        <v>0.53835640863565393</v>
      </c>
      <c r="O197" s="154">
        <f t="shared" si="103"/>
        <v>0.53835640863565393</v>
      </c>
      <c r="P197" s="154">
        <f t="shared" si="103"/>
        <v>0.53835640863565393</v>
      </c>
      <c r="Q197" s="154">
        <f t="shared" ref="Q197:S197" si="104">IF(Q$20, $H138, $H135)</f>
        <v>0.50214917619558697</v>
      </c>
      <c r="R197" s="154">
        <f t="shared" si="104"/>
        <v>0.53835640863565393</v>
      </c>
      <c r="S197" s="154">
        <f t="shared" si="104"/>
        <v>0.53835640863565393</v>
      </c>
      <c r="T197" s="154">
        <f t="shared" ref="T197:U197" si="105">IF(T$20, $H138, $H135)</f>
        <v>0.53835640863565393</v>
      </c>
      <c r="U197" s="154">
        <f t="shared" si="105"/>
        <v>0.53835640863565393</v>
      </c>
      <c r="V197" s="154">
        <f t="shared" ref="V197:W197" si="106">IF(V$20, $H138, $H135)</f>
        <v>0.53835640863565393</v>
      </c>
      <c r="W197" s="154">
        <f t="shared" si="106"/>
        <v>0.53835640863565393</v>
      </c>
      <c r="X197" s="154">
        <f t="shared" ref="X197:Y197" si="107">IF(X$20, $H138, $H135)</f>
        <v>0.53835640863565393</v>
      </c>
      <c r="Y197" s="154">
        <f t="shared" si="107"/>
        <v>0.53835640863565393</v>
      </c>
    </row>
    <row r="198" spans="5:25" x14ac:dyDescent="0.3">
      <c r="E198" s="29"/>
      <c r="F198" s="72" t="s">
        <v>468</v>
      </c>
      <c r="G198" s="28" t="s">
        <v>169</v>
      </c>
      <c r="H198" s="25"/>
      <c r="J198" s="145">
        <f t="shared" ref="J198:K198" si="108">IF(J$20, $H139, $H136)</f>
        <v>0.40312655170010608</v>
      </c>
      <c r="K198" s="145">
        <f t="shared" si="108"/>
        <v>0.40312655170010608</v>
      </c>
      <c r="L198" s="145">
        <f t="shared" ref="L198:M198" si="109">IF(L$20, $H139, $H136)</f>
        <v>0.40312655170010608</v>
      </c>
      <c r="M198" s="145">
        <f t="shared" si="109"/>
        <v>0.40312655170010608</v>
      </c>
      <c r="N198" s="145">
        <f t="shared" ref="N198:P198" si="110">IF(N$20, $H139, $H136)</f>
        <v>0.40312655170010608</v>
      </c>
      <c r="O198" s="145">
        <f t="shared" si="110"/>
        <v>0.40312655170010608</v>
      </c>
      <c r="P198" s="145">
        <f t="shared" si="110"/>
        <v>0.40312655170010608</v>
      </c>
      <c r="Q198" s="145">
        <f t="shared" ref="Q198:S198" si="111">IF(Q$20, $H139, $H136)</f>
        <v>0.43933378414017299</v>
      </c>
      <c r="R198" s="145">
        <f t="shared" si="111"/>
        <v>0.40312655170010608</v>
      </c>
      <c r="S198" s="145">
        <f t="shared" si="111"/>
        <v>0.40312655170010608</v>
      </c>
      <c r="T198" s="145">
        <f t="shared" ref="T198:U198" si="112">IF(T$20, $H139, $H136)</f>
        <v>0.40312655170010608</v>
      </c>
      <c r="U198" s="145">
        <f t="shared" si="112"/>
        <v>0.40312655170010608</v>
      </c>
      <c r="V198" s="145">
        <f t="shared" ref="V198:W198" si="113">IF(V$20, $H139, $H136)</f>
        <v>0.40312655170010608</v>
      </c>
      <c r="W198" s="145">
        <f t="shared" si="113"/>
        <v>0.40312655170010608</v>
      </c>
      <c r="X198" s="145">
        <f t="shared" ref="X198:Y198" si="114">IF(X$20, $H139, $H136)</f>
        <v>0.40312655170010608</v>
      </c>
      <c r="Y198" s="145">
        <f t="shared" si="114"/>
        <v>0.40312655170010608</v>
      </c>
    </row>
    <row r="199" spans="5:25" x14ac:dyDescent="0.3">
      <c r="E199" s="29"/>
      <c r="F199" s="80" t="s">
        <v>259</v>
      </c>
      <c r="G199" s="67" t="s">
        <v>169</v>
      </c>
      <c r="H199" s="141"/>
      <c r="I199" s="37"/>
      <c r="J199" s="155">
        <f t="shared" ref="J199:K199" si="115">IF(J$20, $H140, $H137)</f>
        <v>5.8517039664240052E-2</v>
      </c>
      <c r="K199" s="155">
        <f t="shared" si="115"/>
        <v>5.8517039664240052E-2</v>
      </c>
      <c r="L199" s="155">
        <f t="shared" ref="L199:M199" si="116">IF(L$20, $H140, $H137)</f>
        <v>5.8517039664240052E-2</v>
      </c>
      <c r="M199" s="155">
        <f t="shared" si="116"/>
        <v>5.8517039664240052E-2</v>
      </c>
      <c r="N199" s="155">
        <f t="shared" ref="N199:P199" si="117">IF(N$20, $H140, $H137)</f>
        <v>5.8517039664240052E-2</v>
      </c>
      <c r="O199" s="155">
        <f t="shared" si="117"/>
        <v>5.8517039664240052E-2</v>
      </c>
      <c r="P199" s="155">
        <f t="shared" si="117"/>
        <v>5.8517039664240052E-2</v>
      </c>
      <c r="Q199" s="155">
        <f t="shared" ref="Q199:S199" si="118">IF(Q$20, $H140, $H137)</f>
        <v>5.8517039664240052E-2</v>
      </c>
      <c r="R199" s="155">
        <f t="shared" si="118"/>
        <v>5.8517039664240052E-2</v>
      </c>
      <c r="S199" s="155">
        <f t="shared" si="118"/>
        <v>5.8517039664240052E-2</v>
      </c>
      <c r="T199" s="155">
        <f t="shared" ref="T199:U199" si="119">IF(T$20, $H140, $H137)</f>
        <v>5.8517039664240052E-2</v>
      </c>
      <c r="U199" s="155">
        <f t="shared" si="119"/>
        <v>5.8517039664240052E-2</v>
      </c>
      <c r="V199" s="155">
        <f t="shared" ref="V199:W199" si="120">IF(V$20, $H140, $H137)</f>
        <v>5.8517039664240052E-2</v>
      </c>
      <c r="W199" s="155">
        <f t="shared" si="120"/>
        <v>5.8517039664240052E-2</v>
      </c>
      <c r="X199" s="155">
        <f t="shared" ref="X199:Y199" si="121">IF(X$20, $H140, $H137)</f>
        <v>5.8517039664240052E-2</v>
      </c>
      <c r="Y199" s="155">
        <f t="shared" si="121"/>
        <v>5.8517039664240052E-2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486</v>
      </c>
      <c r="G201" s="28"/>
    </row>
    <row r="202" spans="5:25" x14ac:dyDescent="0.3">
      <c r="E202" s="29"/>
      <c r="F202" s="78" t="s">
        <v>467</v>
      </c>
      <c r="G202" s="64" t="s">
        <v>169</v>
      </c>
      <c r="H202" s="107"/>
      <c r="I202" s="23"/>
      <c r="J202" s="154">
        <f t="shared" ref="J202:K202" si="122">IF(J$20, $H146, $H143)</f>
        <v>0.64748529290899826</v>
      </c>
      <c r="K202" s="154">
        <f t="shared" si="122"/>
        <v>0.64748529290899826</v>
      </c>
      <c r="L202" s="154">
        <f t="shared" ref="L202:M202" si="123">IF(L$20, $H146, $H143)</f>
        <v>0.64748529290899826</v>
      </c>
      <c r="M202" s="154">
        <f t="shared" si="123"/>
        <v>0.64748529290899826</v>
      </c>
      <c r="N202" s="154">
        <f t="shared" ref="N202:P202" si="124">IF(N$20, $H146, $H143)</f>
        <v>0.64748529290899826</v>
      </c>
      <c r="O202" s="154">
        <f t="shared" si="124"/>
        <v>0.64748529290899826</v>
      </c>
      <c r="P202" s="154">
        <f t="shared" si="124"/>
        <v>0.64748529290899826</v>
      </c>
      <c r="Q202" s="154">
        <f t="shared" ref="Q202:S202" si="125">IF(Q$20, $H146, $H143)</f>
        <v>0.58841050783159343</v>
      </c>
      <c r="R202" s="154">
        <f t="shared" si="125"/>
        <v>0.64748529290899826</v>
      </c>
      <c r="S202" s="154">
        <f t="shared" si="125"/>
        <v>0.64748529290899826</v>
      </c>
      <c r="T202" s="154">
        <f t="shared" ref="T202:U202" si="126">IF(T$20, $H146, $H143)</f>
        <v>0.64748529290899826</v>
      </c>
      <c r="U202" s="154">
        <f t="shared" si="126"/>
        <v>0.64748529290899826</v>
      </c>
      <c r="V202" s="154">
        <f t="shared" ref="V202:W202" si="127">IF(V$20, $H146, $H143)</f>
        <v>0.64748529290899826</v>
      </c>
      <c r="W202" s="154">
        <f t="shared" si="127"/>
        <v>0.64748529290899826</v>
      </c>
      <c r="X202" s="154">
        <f t="shared" ref="X202:Y202" si="128">IF(X$20, $H146, $H143)</f>
        <v>0.64748529290899826</v>
      </c>
      <c r="Y202" s="154">
        <f t="shared" si="128"/>
        <v>0.64748529290899826</v>
      </c>
    </row>
    <row r="203" spans="5:25" x14ac:dyDescent="0.3">
      <c r="E203" s="29"/>
      <c r="F203" s="72" t="s">
        <v>468</v>
      </c>
      <c r="G203" s="28" t="s">
        <v>169</v>
      </c>
      <c r="H203" s="25"/>
      <c r="J203" s="145">
        <f t="shared" ref="J203:K203" si="129">IF(J$20, $H147, $H144)</f>
        <v>0.31019189313925527</v>
      </c>
      <c r="K203" s="145">
        <f t="shared" si="129"/>
        <v>0.31019189313925527</v>
      </c>
      <c r="L203" s="145">
        <f t="shared" ref="L203:M203" si="130">IF(L$20, $H147, $H144)</f>
        <v>0.31019189313925527</v>
      </c>
      <c r="M203" s="145">
        <f t="shared" si="130"/>
        <v>0.31019189313925527</v>
      </c>
      <c r="N203" s="145">
        <f t="shared" ref="N203:P203" si="131">IF(N$20, $H147, $H144)</f>
        <v>0.31019189313925527</v>
      </c>
      <c r="O203" s="145">
        <f t="shared" si="131"/>
        <v>0.31019189313925527</v>
      </c>
      <c r="P203" s="145">
        <f t="shared" si="131"/>
        <v>0.31019189313925527</v>
      </c>
      <c r="Q203" s="145">
        <f t="shared" ref="Q203:S203" si="132">IF(Q$20, $H147, $H144)</f>
        <v>0.36926667821666015</v>
      </c>
      <c r="R203" s="145">
        <f t="shared" si="132"/>
        <v>0.31019189313925527</v>
      </c>
      <c r="S203" s="145">
        <f t="shared" si="132"/>
        <v>0.31019189313925527</v>
      </c>
      <c r="T203" s="145">
        <f t="shared" ref="T203:U203" si="133">IF(T$20, $H147, $H144)</f>
        <v>0.31019189313925527</v>
      </c>
      <c r="U203" s="145">
        <f t="shared" si="133"/>
        <v>0.31019189313925527</v>
      </c>
      <c r="V203" s="145">
        <f t="shared" ref="V203:W203" si="134">IF(V$20, $H147, $H144)</f>
        <v>0.31019189313925527</v>
      </c>
      <c r="W203" s="145">
        <f t="shared" si="134"/>
        <v>0.31019189313925527</v>
      </c>
      <c r="X203" s="145">
        <f t="shared" ref="X203:Y203" si="135">IF(X$20, $H147, $H144)</f>
        <v>0.31019189313925527</v>
      </c>
      <c r="Y203" s="145">
        <f t="shared" si="135"/>
        <v>0.31019189313925527</v>
      </c>
    </row>
    <row r="204" spans="5:25" x14ac:dyDescent="0.3">
      <c r="E204" s="29"/>
      <c r="F204" s="80" t="s">
        <v>259</v>
      </c>
      <c r="G204" s="67" t="s">
        <v>169</v>
      </c>
      <c r="H204" s="141"/>
      <c r="I204" s="37"/>
      <c r="J204" s="155">
        <f t="shared" ref="J204:K204" si="136">IF(J$20, $H148, $H145)</f>
        <v>4.2322813951746419E-2</v>
      </c>
      <c r="K204" s="155">
        <f t="shared" si="136"/>
        <v>4.2322813951746419E-2</v>
      </c>
      <c r="L204" s="155">
        <f t="shared" ref="L204:M204" si="137">IF(L$20, $H148, $H145)</f>
        <v>4.2322813951746419E-2</v>
      </c>
      <c r="M204" s="155">
        <f t="shared" si="137"/>
        <v>4.2322813951746419E-2</v>
      </c>
      <c r="N204" s="155">
        <f t="shared" ref="N204:P204" si="138">IF(N$20, $H148, $H145)</f>
        <v>4.2322813951746419E-2</v>
      </c>
      <c r="O204" s="155">
        <f t="shared" si="138"/>
        <v>4.2322813951746419E-2</v>
      </c>
      <c r="P204" s="155">
        <f t="shared" si="138"/>
        <v>4.2322813951746419E-2</v>
      </c>
      <c r="Q204" s="155">
        <f t="shared" ref="Q204:S204" si="139">IF(Q$20, $H148, $H145)</f>
        <v>4.2322813951746419E-2</v>
      </c>
      <c r="R204" s="155">
        <f t="shared" si="139"/>
        <v>4.2322813951746419E-2</v>
      </c>
      <c r="S204" s="155">
        <f t="shared" si="139"/>
        <v>4.2322813951746419E-2</v>
      </c>
      <c r="T204" s="155">
        <f t="shared" ref="T204:U204" si="140">IF(T$20, $H148, $H145)</f>
        <v>4.2322813951746419E-2</v>
      </c>
      <c r="U204" s="155">
        <f t="shared" si="140"/>
        <v>4.2322813951746419E-2</v>
      </c>
      <c r="V204" s="155">
        <f t="shared" ref="V204:W204" si="141">IF(V$20, $H148, $H145)</f>
        <v>4.2322813951746419E-2</v>
      </c>
      <c r="W204" s="155">
        <f t="shared" si="141"/>
        <v>4.2322813951746419E-2</v>
      </c>
      <c r="X204" s="155">
        <f t="shared" ref="X204:Y204" si="142">IF(X$20, $H148, $H145)</f>
        <v>4.2322813951746419E-2</v>
      </c>
      <c r="Y204" s="155">
        <f t="shared" si="142"/>
        <v>4.2322813951746419E-2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487</v>
      </c>
      <c r="G206" s="28"/>
    </row>
    <row r="207" spans="5:25" x14ac:dyDescent="0.3">
      <c r="E207" s="29"/>
      <c r="F207" s="78" t="s">
        <v>467</v>
      </c>
      <c r="G207" s="64" t="s">
        <v>169</v>
      </c>
      <c r="H207" s="107"/>
      <c r="I207" s="23"/>
      <c r="J207" s="154">
        <f t="shared" ref="J207:K207" si="143">IF(J$20, $H154, $H151)</f>
        <v>0.53835640863565393</v>
      </c>
      <c r="K207" s="154">
        <f t="shared" si="143"/>
        <v>0.53835640863565393</v>
      </c>
      <c r="L207" s="154">
        <f t="shared" ref="L207:M207" si="144">IF(L$20, $H154, $H151)</f>
        <v>0.53835640863565393</v>
      </c>
      <c r="M207" s="154">
        <f t="shared" si="144"/>
        <v>0.53835640863565393</v>
      </c>
      <c r="N207" s="154">
        <f t="shared" ref="N207:P207" si="145">IF(N$20, $H154, $H151)</f>
        <v>0.53835640863565393</v>
      </c>
      <c r="O207" s="154">
        <f t="shared" si="145"/>
        <v>0.53835640863565393</v>
      </c>
      <c r="P207" s="154">
        <f t="shared" si="145"/>
        <v>0.53835640863565393</v>
      </c>
      <c r="Q207" s="154">
        <f t="shared" ref="Q207:S207" si="146">IF(Q$20, $H154, $H151)</f>
        <v>0.50214917619558697</v>
      </c>
      <c r="R207" s="154">
        <f t="shared" si="146"/>
        <v>0.53835640863565393</v>
      </c>
      <c r="S207" s="154">
        <f t="shared" si="146"/>
        <v>0.53835640863565393</v>
      </c>
      <c r="T207" s="154">
        <f t="shared" ref="T207:U207" si="147">IF(T$20, $H154, $H151)</f>
        <v>0.53835640863565393</v>
      </c>
      <c r="U207" s="154">
        <f t="shared" si="147"/>
        <v>0.53835640863565393</v>
      </c>
      <c r="V207" s="154">
        <f t="shared" ref="V207:W207" si="148">IF(V$20, $H154, $H151)</f>
        <v>0.53835640863565393</v>
      </c>
      <c r="W207" s="154">
        <f t="shared" si="148"/>
        <v>0.53835640863565393</v>
      </c>
      <c r="X207" s="154">
        <f t="shared" ref="X207:Y207" si="149">IF(X$20, $H154, $H151)</f>
        <v>0.53835640863565393</v>
      </c>
      <c r="Y207" s="154">
        <f t="shared" si="149"/>
        <v>0.53835640863565393</v>
      </c>
    </row>
    <row r="208" spans="5:25" x14ac:dyDescent="0.3">
      <c r="E208" s="29"/>
      <c r="F208" s="72" t="s">
        <v>468</v>
      </c>
      <c r="G208" s="28" t="s">
        <v>169</v>
      </c>
      <c r="H208" s="25"/>
      <c r="J208" s="145">
        <f t="shared" ref="J208:K208" si="150">IF(J$20, $H155, $H152)</f>
        <v>0.40312655170010608</v>
      </c>
      <c r="K208" s="145">
        <f t="shared" si="150"/>
        <v>0.40312655170010608</v>
      </c>
      <c r="L208" s="145">
        <f t="shared" ref="L208:M208" si="151">IF(L$20, $H155, $H152)</f>
        <v>0.40312655170010608</v>
      </c>
      <c r="M208" s="145">
        <f t="shared" si="151"/>
        <v>0.40312655170010608</v>
      </c>
      <c r="N208" s="145">
        <f t="shared" ref="N208:P208" si="152">IF(N$20, $H155, $H152)</f>
        <v>0.40312655170010608</v>
      </c>
      <c r="O208" s="145">
        <f t="shared" si="152"/>
        <v>0.40312655170010608</v>
      </c>
      <c r="P208" s="145">
        <f t="shared" si="152"/>
        <v>0.40312655170010608</v>
      </c>
      <c r="Q208" s="145">
        <f t="shared" ref="Q208:S208" si="153">IF(Q$20, $H155, $H152)</f>
        <v>0.43933378414017299</v>
      </c>
      <c r="R208" s="145">
        <f t="shared" si="153"/>
        <v>0.40312655170010608</v>
      </c>
      <c r="S208" s="145">
        <f t="shared" si="153"/>
        <v>0.40312655170010608</v>
      </c>
      <c r="T208" s="145">
        <f t="shared" ref="T208:U208" si="154">IF(T$20, $H155, $H152)</f>
        <v>0.40312655170010608</v>
      </c>
      <c r="U208" s="145">
        <f t="shared" si="154"/>
        <v>0.40312655170010608</v>
      </c>
      <c r="V208" s="145">
        <f t="shared" ref="V208:W208" si="155">IF(V$20, $H155, $H152)</f>
        <v>0.40312655170010608</v>
      </c>
      <c r="W208" s="145">
        <f t="shared" si="155"/>
        <v>0.40312655170010608</v>
      </c>
      <c r="X208" s="145">
        <f t="shared" ref="X208:Y208" si="156">IF(X$20, $H155, $H152)</f>
        <v>0.40312655170010608</v>
      </c>
      <c r="Y208" s="145">
        <f t="shared" si="156"/>
        <v>0.40312655170010608</v>
      </c>
    </row>
    <row r="209" spans="3:27" x14ac:dyDescent="0.3">
      <c r="E209" s="29"/>
      <c r="F209" s="80" t="s">
        <v>259</v>
      </c>
      <c r="G209" s="67" t="s">
        <v>169</v>
      </c>
      <c r="H209" s="141"/>
      <c r="I209" s="37"/>
      <c r="J209" s="155">
        <f t="shared" ref="J209:K209" si="157">IF(J$20, $H156, $H153)</f>
        <v>5.8517039664240052E-2</v>
      </c>
      <c r="K209" s="155">
        <f t="shared" si="157"/>
        <v>5.8517039664240052E-2</v>
      </c>
      <c r="L209" s="155">
        <f t="shared" ref="L209:M209" si="158">IF(L$20, $H156, $H153)</f>
        <v>5.8517039664240052E-2</v>
      </c>
      <c r="M209" s="155">
        <f t="shared" si="158"/>
        <v>5.8517039664240052E-2</v>
      </c>
      <c r="N209" s="155">
        <f t="shared" ref="N209:P209" si="159">IF(N$20, $H156, $H153)</f>
        <v>5.8517039664240052E-2</v>
      </c>
      <c r="O209" s="155">
        <f t="shared" si="159"/>
        <v>5.8517039664240052E-2</v>
      </c>
      <c r="P209" s="155">
        <f t="shared" si="159"/>
        <v>5.8517039664240052E-2</v>
      </c>
      <c r="Q209" s="155">
        <f t="shared" ref="Q209:S209" si="160">IF(Q$20, $H156, $H153)</f>
        <v>5.8517039664240052E-2</v>
      </c>
      <c r="R209" s="155">
        <f t="shared" si="160"/>
        <v>5.8517039664240052E-2</v>
      </c>
      <c r="S209" s="155">
        <f t="shared" si="160"/>
        <v>5.8517039664240052E-2</v>
      </c>
      <c r="T209" s="155">
        <f t="shared" ref="T209:U209" si="161">IF(T$20, $H156, $H153)</f>
        <v>5.8517039664240052E-2</v>
      </c>
      <c r="U209" s="155">
        <f t="shared" si="161"/>
        <v>5.8517039664240052E-2</v>
      </c>
      <c r="V209" s="155">
        <f t="shared" ref="V209:W209" si="162">IF(V$20, $H156, $H153)</f>
        <v>5.8517039664240052E-2</v>
      </c>
      <c r="W209" s="155">
        <f t="shared" si="162"/>
        <v>5.8517039664240052E-2</v>
      </c>
      <c r="X209" s="155">
        <f t="shared" ref="X209:Y209" si="163">IF(X$20, $H156, $H153)</f>
        <v>5.8517039664240052E-2</v>
      </c>
      <c r="Y209" s="155">
        <f t="shared" si="163"/>
        <v>5.8517039664240052E-2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488</v>
      </c>
      <c r="G211" s="28"/>
    </row>
    <row r="212" spans="3:27" x14ac:dyDescent="0.3">
      <c r="E212" s="29"/>
      <c r="F212" s="78" t="s">
        <v>467</v>
      </c>
      <c r="G212" s="64" t="s">
        <v>169</v>
      </c>
      <c r="H212" s="107"/>
      <c r="I212" s="23"/>
      <c r="J212" s="154">
        <f t="shared" ref="J212:K212" si="164">IF(J$20, $H162, $H159)</f>
        <v>0.53835640863565393</v>
      </c>
      <c r="K212" s="154">
        <f t="shared" si="164"/>
        <v>0.53835640863565393</v>
      </c>
      <c r="L212" s="154">
        <f t="shared" ref="L212:M212" si="165">IF(L$20, $H162, $H159)</f>
        <v>0.53835640863565393</v>
      </c>
      <c r="M212" s="154">
        <f t="shared" si="165"/>
        <v>0.53835640863565393</v>
      </c>
      <c r="N212" s="154">
        <f t="shared" ref="N212:P212" si="166">IF(N$20, $H162, $H159)</f>
        <v>0.53835640863565393</v>
      </c>
      <c r="O212" s="154">
        <f t="shared" si="166"/>
        <v>0.53835640863565393</v>
      </c>
      <c r="P212" s="154">
        <f t="shared" si="166"/>
        <v>0.53835640863565393</v>
      </c>
      <c r="Q212" s="154">
        <f t="shared" ref="Q212:S212" si="167">IF(Q$20, $H162, $H159)</f>
        <v>0.50214917619558697</v>
      </c>
      <c r="R212" s="154">
        <f t="shared" si="167"/>
        <v>0.53835640863565393</v>
      </c>
      <c r="S212" s="154">
        <f t="shared" si="167"/>
        <v>0.53835640863565393</v>
      </c>
      <c r="T212" s="154">
        <f t="shared" ref="T212:U212" si="168">IF(T$20, $H162, $H159)</f>
        <v>0.53835640863565393</v>
      </c>
      <c r="U212" s="154">
        <f t="shared" si="168"/>
        <v>0.53835640863565393</v>
      </c>
      <c r="V212" s="154">
        <f t="shared" ref="V212:W212" si="169">IF(V$20, $H162, $H159)</f>
        <v>0.53835640863565393</v>
      </c>
      <c r="W212" s="154">
        <f t="shared" si="169"/>
        <v>0.53835640863565393</v>
      </c>
      <c r="X212" s="154">
        <f t="shared" ref="X212:Y212" si="170">IF(X$20, $H162, $H159)</f>
        <v>0.53835640863565393</v>
      </c>
      <c r="Y212" s="154">
        <f t="shared" si="170"/>
        <v>0.53835640863565393</v>
      </c>
    </row>
    <row r="213" spans="3:27" x14ac:dyDescent="0.3">
      <c r="E213" s="29"/>
      <c r="F213" s="72" t="s">
        <v>468</v>
      </c>
      <c r="G213" s="28" t="s">
        <v>169</v>
      </c>
      <c r="H213" s="25"/>
      <c r="J213" s="145">
        <f t="shared" ref="J213:K213" si="171">IF(J$20, $H163, $H160)</f>
        <v>0.40312655170010608</v>
      </c>
      <c r="K213" s="145">
        <f t="shared" si="171"/>
        <v>0.40312655170010608</v>
      </c>
      <c r="L213" s="145">
        <f t="shared" ref="L213:M213" si="172">IF(L$20, $H163, $H160)</f>
        <v>0.40312655170010608</v>
      </c>
      <c r="M213" s="145">
        <f t="shared" si="172"/>
        <v>0.40312655170010608</v>
      </c>
      <c r="N213" s="145">
        <f t="shared" ref="N213:P213" si="173">IF(N$20, $H163, $H160)</f>
        <v>0.40312655170010608</v>
      </c>
      <c r="O213" s="145">
        <f t="shared" si="173"/>
        <v>0.40312655170010608</v>
      </c>
      <c r="P213" s="145">
        <f t="shared" si="173"/>
        <v>0.40312655170010608</v>
      </c>
      <c r="Q213" s="145">
        <f t="shared" ref="Q213:S213" si="174">IF(Q$20, $H163, $H160)</f>
        <v>0.43933378414017299</v>
      </c>
      <c r="R213" s="145">
        <f t="shared" si="174"/>
        <v>0.40312655170010608</v>
      </c>
      <c r="S213" s="145">
        <f t="shared" si="174"/>
        <v>0.40312655170010608</v>
      </c>
      <c r="T213" s="145">
        <f t="shared" ref="T213:U213" si="175">IF(T$20, $H163, $H160)</f>
        <v>0.40312655170010608</v>
      </c>
      <c r="U213" s="145">
        <f t="shared" si="175"/>
        <v>0.40312655170010608</v>
      </c>
      <c r="V213" s="145">
        <f t="shared" ref="V213:W213" si="176">IF(V$20, $H163, $H160)</f>
        <v>0.40312655170010608</v>
      </c>
      <c r="W213" s="145">
        <f t="shared" si="176"/>
        <v>0.40312655170010608</v>
      </c>
      <c r="X213" s="145">
        <f t="shared" ref="X213:Y213" si="177">IF(X$20, $H163, $H160)</f>
        <v>0.40312655170010608</v>
      </c>
      <c r="Y213" s="145">
        <f t="shared" si="177"/>
        <v>0.40312655170010608</v>
      </c>
    </row>
    <row r="214" spans="3:27" x14ac:dyDescent="0.3">
      <c r="E214" s="29"/>
      <c r="F214" s="80" t="s">
        <v>259</v>
      </c>
      <c r="G214" s="67" t="s">
        <v>169</v>
      </c>
      <c r="H214" s="141"/>
      <c r="I214" s="37"/>
      <c r="J214" s="155">
        <f t="shared" ref="J214:K214" si="178">IF(J$20, $H164, $H161)</f>
        <v>5.8517039664240052E-2</v>
      </c>
      <c r="K214" s="155">
        <f t="shared" si="178"/>
        <v>5.8517039664240052E-2</v>
      </c>
      <c r="L214" s="155">
        <f t="shared" ref="L214:M214" si="179">IF(L$20, $H164, $H161)</f>
        <v>5.8517039664240052E-2</v>
      </c>
      <c r="M214" s="155">
        <f t="shared" si="179"/>
        <v>5.8517039664240052E-2</v>
      </c>
      <c r="N214" s="155">
        <f t="shared" ref="N214:P214" si="180">IF(N$20, $H164, $H161)</f>
        <v>5.8517039664240052E-2</v>
      </c>
      <c r="O214" s="155">
        <f t="shared" si="180"/>
        <v>5.8517039664240052E-2</v>
      </c>
      <c r="P214" s="155">
        <f t="shared" si="180"/>
        <v>5.8517039664240052E-2</v>
      </c>
      <c r="Q214" s="155">
        <f t="shared" ref="Q214:S214" si="181">IF(Q$20, $H164, $H161)</f>
        <v>5.8517039664240052E-2</v>
      </c>
      <c r="R214" s="155">
        <f t="shared" si="181"/>
        <v>5.8517039664240052E-2</v>
      </c>
      <c r="S214" s="155">
        <f t="shared" si="181"/>
        <v>5.8517039664240052E-2</v>
      </c>
      <c r="T214" s="155">
        <f t="shared" ref="T214:U214" si="182">IF(T$20, $H164, $H161)</f>
        <v>5.8517039664240052E-2</v>
      </c>
      <c r="U214" s="155">
        <f t="shared" si="182"/>
        <v>5.8517039664240052E-2</v>
      </c>
      <c r="V214" s="155">
        <f t="shared" ref="V214:W214" si="183">IF(V$20, $H164, $H161)</f>
        <v>5.8517039664240052E-2</v>
      </c>
      <c r="W214" s="155">
        <f t="shared" si="183"/>
        <v>5.8517039664240052E-2</v>
      </c>
      <c r="X214" s="155">
        <f t="shared" ref="X214:Y214" si="184">IF(X$20, $H164, $H161)</f>
        <v>5.8517039664240052E-2</v>
      </c>
      <c r="Y214" s="155">
        <f t="shared" si="184"/>
        <v>5.8517039664240052E-2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489</v>
      </c>
      <c r="G216" s="28"/>
    </row>
    <row r="217" spans="3:27" x14ac:dyDescent="0.3">
      <c r="E217" s="29"/>
      <c r="F217" s="78" t="s">
        <v>467</v>
      </c>
      <c r="G217" s="64" t="s">
        <v>169</v>
      </c>
      <c r="H217" s="107"/>
      <c r="I217" s="23"/>
      <c r="J217" s="154">
        <f t="shared" ref="J217:K217" si="185">IF(J$20, $H170, $H167)</f>
        <v>0.53835640863565393</v>
      </c>
      <c r="K217" s="154">
        <f t="shared" si="185"/>
        <v>0.53835640863565393</v>
      </c>
      <c r="L217" s="154">
        <f t="shared" ref="L217:M217" si="186">IF(L$20, $H170, $H167)</f>
        <v>0.53835640863565393</v>
      </c>
      <c r="M217" s="154">
        <f t="shared" si="186"/>
        <v>0.53835640863565393</v>
      </c>
      <c r="N217" s="154">
        <f t="shared" ref="N217:P217" si="187">IF(N$20, $H170, $H167)</f>
        <v>0.53835640863565393</v>
      </c>
      <c r="O217" s="154">
        <f t="shared" si="187"/>
        <v>0.53835640863565393</v>
      </c>
      <c r="P217" s="154">
        <f t="shared" si="187"/>
        <v>0.53835640863565393</v>
      </c>
      <c r="Q217" s="154">
        <f t="shared" ref="Q217:S217" si="188">IF(Q$20, $H170, $H167)</f>
        <v>0.50214917619558697</v>
      </c>
      <c r="R217" s="154">
        <f t="shared" si="188"/>
        <v>0.53835640863565393</v>
      </c>
      <c r="S217" s="154">
        <f t="shared" si="188"/>
        <v>0.53835640863565393</v>
      </c>
      <c r="T217" s="154">
        <f t="shared" ref="T217:U217" si="189">IF(T$20, $H170, $H167)</f>
        <v>0.53835640863565393</v>
      </c>
      <c r="U217" s="154">
        <f t="shared" si="189"/>
        <v>0.53835640863565393</v>
      </c>
      <c r="V217" s="154">
        <f t="shared" ref="V217:W217" si="190">IF(V$20, $H170, $H167)</f>
        <v>0.53835640863565393</v>
      </c>
      <c r="W217" s="154">
        <f t="shared" si="190"/>
        <v>0.53835640863565393</v>
      </c>
      <c r="X217" s="154">
        <f t="shared" ref="X217:Y217" si="191">IF(X$20, $H170, $H167)</f>
        <v>0.53835640863565393</v>
      </c>
      <c r="Y217" s="154">
        <f t="shared" si="191"/>
        <v>0.53835640863565393</v>
      </c>
    </row>
    <row r="218" spans="3:27" x14ac:dyDescent="0.3">
      <c r="E218" s="29"/>
      <c r="F218" s="72" t="s">
        <v>468</v>
      </c>
      <c r="G218" s="28" t="s">
        <v>169</v>
      </c>
      <c r="H218" s="25"/>
      <c r="J218" s="145">
        <f t="shared" ref="J218:K218" si="192">IF(J$20, $H171, $H168)</f>
        <v>0.40312655170010608</v>
      </c>
      <c r="K218" s="145">
        <f t="shared" si="192"/>
        <v>0.40312655170010608</v>
      </c>
      <c r="L218" s="145">
        <f t="shared" ref="L218:M218" si="193">IF(L$20, $H171, $H168)</f>
        <v>0.40312655170010608</v>
      </c>
      <c r="M218" s="145">
        <f t="shared" si="193"/>
        <v>0.40312655170010608</v>
      </c>
      <c r="N218" s="145">
        <f t="shared" ref="N218:P218" si="194">IF(N$20, $H171, $H168)</f>
        <v>0.40312655170010608</v>
      </c>
      <c r="O218" s="145">
        <f t="shared" si="194"/>
        <v>0.40312655170010608</v>
      </c>
      <c r="P218" s="145">
        <f t="shared" si="194"/>
        <v>0.40312655170010608</v>
      </c>
      <c r="Q218" s="145">
        <f t="shared" ref="Q218:S218" si="195">IF(Q$20, $H171, $H168)</f>
        <v>0.43933378414017299</v>
      </c>
      <c r="R218" s="145">
        <f t="shared" si="195"/>
        <v>0.40312655170010608</v>
      </c>
      <c r="S218" s="145">
        <f t="shared" si="195"/>
        <v>0.40312655170010608</v>
      </c>
      <c r="T218" s="145">
        <f t="shared" ref="T218:U218" si="196">IF(T$20, $H171, $H168)</f>
        <v>0.40312655170010608</v>
      </c>
      <c r="U218" s="145">
        <f t="shared" si="196"/>
        <v>0.40312655170010608</v>
      </c>
      <c r="V218" s="145">
        <f t="shared" ref="V218:W218" si="197">IF(V$20, $H171, $H168)</f>
        <v>0.40312655170010608</v>
      </c>
      <c r="W218" s="145">
        <f t="shared" si="197"/>
        <v>0.40312655170010608</v>
      </c>
      <c r="X218" s="145">
        <f t="shared" ref="X218:Y218" si="198">IF(X$20, $H171, $H168)</f>
        <v>0.40312655170010608</v>
      </c>
      <c r="Y218" s="145">
        <f t="shared" si="198"/>
        <v>0.40312655170010608</v>
      </c>
    </row>
    <row r="219" spans="3:27" x14ac:dyDescent="0.3">
      <c r="E219" s="29"/>
      <c r="F219" s="80" t="s">
        <v>259</v>
      </c>
      <c r="G219" s="67" t="s">
        <v>169</v>
      </c>
      <c r="H219" s="141"/>
      <c r="I219" s="37"/>
      <c r="J219" s="155">
        <f t="shared" ref="J219:K219" si="199">IF(J$20, $H172, $H169)</f>
        <v>5.8517039664240052E-2</v>
      </c>
      <c r="K219" s="155">
        <f t="shared" si="199"/>
        <v>5.8517039664240052E-2</v>
      </c>
      <c r="L219" s="155">
        <f t="shared" ref="L219:M219" si="200">IF(L$20, $H172, $H169)</f>
        <v>5.8517039664240052E-2</v>
      </c>
      <c r="M219" s="155">
        <f t="shared" si="200"/>
        <v>5.8517039664240052E-2</v>
      </c>
      <c r="N219" s="155">
        <f t="shared" ref="N219:P219" si="201">IF(N$20, $H172, $H169)</f>
        <v>5.8517039664240052E-2</v>
      </c>
      <c r="O219" s="155">
        <f t="shared" si="201"/>
        <v>5.8517039664240052E-2</v>
      </c>
      <c r="P219" s="155">
        <f t="shared" si="201"/>
        <v>5.8517039664240052E-2</v>
      </c>
      <c r="Q219" s="155">
        <f t="shared" ref="Q219:S219" si="202">IF(Q$20, $H172, $H169)</f>
        <v>5.8517039664240052E-2</v>
      </c>
      <c r="R219" s="155">
        <f t="shared" si="202"/>
        <v>5.8517039664240052E-2</v>
      </c>
      <c r="S219" s="155">
        <f t="shared" si="202"/>
        <v>5.8517039664240052E-2</v>
      </c>
      <c r="T219" s="155">
        <f t="shared" ref="T219:U219" si="203">IF(T$20, $H172, $H169)</f>
        <v>5.8517039664240052E-2</v>
      </c>
      <c r="U219" s="155">
        <f t="shared" si="203"/>
        <v>5.8517039664240052E-2</v>
      </c>
      <c r="V219" s="155">
        <f t="shared" ref="V219:W219" si="204">IF(V$20, $H172, $H169)</f>
        <v>5.8517039664240052E-2</v>
      </c>
      <c r="W219" s="155">
        <f t="shared" si="204"/>
        <v>5.8517039664240052E-2</v>
      </c>
      <c r="X219" s="155">
        <f t="shared" ref="X219:Y219" si="205">IF(X$20, $H172, $H169)</f>
        <v>5.8517039664240052E-2</v>
      </c>
      <c r="Y219" s="155">
        <f t="shared" si="205"/>
        <v>5.8517039664240052E-2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490</v>
      </c>
      <c r="G223" s="28"/>
    </row>
    <row r="224" spans="3:27" x14ac:dyDescent="0.3">
      <c r="F224" s="64" t="s">
        <v>467</v>
      </c>
      <c r="G224" s="64" t="s">
        <v>491</v>
      </c>
      <c r="H224" s="23"/>
      <c r="I224" s="23"/>
      <c r="J224" s="158">
        <f t="shared" ref="J224:Y224" si="206">1 / J24</f>
        <v>1.277139208173691E-3</v>
      </c>
      <c r="K224" s="158">
        <f t="shared" si="206"/>
        <v>1.277139208173691E-3</v>
      </c>
      <c r="L224" s="158">
        <f t="shared" si="206"/>
        <v>1.277139208173691E-3</v>
      </c>
      <c r="M224" s="158">
        <f t="shared" si="206"/>
        <v>1.277139208173691E-3</v>
      </c>
      <c r="N224" s="158">
        <f t="shared" si="206"/>
        <v>1.277139208173691E-3</v>
      </c>
      <c r="O224" s="158">
        <f t="shared" si="206"/>
        <v>1.277139208173691E-3</v>
      </c>
      <c r="P224" s="158">
        <f t="shared" si="206"/>
        <v>1.277139208173691E-3</v>
      </c>
      <c r="Q224" s="158">
        <f t="shared" si="206"/>
        <v>3.875968992248062E-3</v>
      </c>
      <c r="R224" s="158">
        <f t="shared" si="206"/>
        <v>1.277139208173691E-3</v>
      </c>
      <c r="S224" s="158">
        <f t="shared" si="206"/>
        <v>1.277139208173691E-3</v>
      </c>
      <c r="T224" s="158">
        <f t="shared" si="206"/>
        <v>1.277139208173691E-3</v>
      </c>
      <c r="U224" s="158">
        <f t="shared" si="206"/>
        <v>1.277139208173691E-3</v>
      </c>
      <c r="V224" s="158">
        <f t="shared" si="206"/>
        <v>1.277139208173691E-3</v>
      </c>
      <c r="W224" s="158">
        <f t="shared" si="206"/>
        <v>1.277139208173691E-3</v>
      </c>
      <c r="X224" s="158">
        <f t="shared" si="206"/>
        <v>1.277139208173691E-3</v>
      </c>
      <c r="Y224" s="158">
        <f t="shared" si="206"/>
        <v>1.277139208173691E-3</v>
      </c>
    </row>
    <row r="225" spans="5:25" x14ac:dyDescent="0.3">
      <c r="F225" s="28" t="s">
        <v>468</v>
      </c>
      <c r="G225" s="28" t="s">
        <v>491</v>
      </c>
      <c r="J225" s="89">
        <f t="shared" ref="J225:Y225" si="207">1 / J25</f>
        <v>3.6489691662105453E-4</v>
      </c>
      <c r="K225" s="89">
        <f t="shared" si="207"/>
        <v>3.6489691662105453E-4</v>
      </c>
      <c r="L225" s="89">
        <f t="shared" si="207"/>
        <v>3.6489691662105453E-4</v>
      </c>
      <c r="M225" s="89">
        <f t="shared" si="207"/>
        <v>3.6489691662105453E-4</v>
      </c>
      <c r="N225" s="89">
        <f t="shared" si="207"/>
        <v>3.6489691662105453E-4</v>
      </c>
      <c r="O225" s="89">
        <f t="shared" si="207"/>
        <v>3.6489691662105453E-4</v>
      </c>
      <c r="P225" s="89">
        <f t="shared" si="207"/>
        <v>3.6489691662105453E-4</v>
      </c>
      <c r="Q225" s="89">
        <f t="shared" si="207"/>
        <v>3.062318174858368E-4</v>
      </c>
      <c r="R225" s="89">
        <f t="shared" si="207"/>
        <v>3.6489691662105453E-4</v>
      </c>
      <c r="S225" s="89">
        <f t="shared" si="207"/>
        <v>3.6489691662105453E-4</v>
      </c>
      <c r="T225" s="89">
        <f t="shared" si="207"/>
        <v>3.6489691662105453E-4</v>
      </c>
      <c r="U225" s="89">
        <f t="shared" si="207"/>
        <v>3.6489691662105453E-4</v>
      </c>
      <c r="V225" s="89">
        <f t="shared" si="207"/>
        <v>3.6489691662105453E-4</v>
      </c>
      <c r="W225" s="89">
        <f t="shared" si="207"/>
        <v>3.6489691662105453E-4</v>
      </c>
      <c r="X225" s="89">
        <f t="shared" si="207"/>
        <v>3.6489691662105453E-4</v>
      </c>
      <c r="Y225" s="89">
        <f t="shared" si="207"/>
        <v>3.6489691662105453E-4</v>
      </c>
    </row>
    <row r="226" spans="5:25" x14ac:dyDescent="0.3">
      <c r="F226" s="67" t="s">
        <v>259</v>
      </c>
      <c r="G226" s="67" t="s">
        <v>491</v>
      </c>
      <c r="H226" s="37"/>
      <c r="I226" s="37"/>
      <c r="J226" s="82">
        <f t="shared" ref="J226:Y226" si="208">1 / J26</f>
        <v>1.9096724911677647E-4</v>
      </c>
      <c r="K226" s="82">
        <f t="shared" si="208"/>
        <v>1.9096724911677647E-4</v>
      </c>
      <c r="L226" s="82">
        <f t="shared" si="208"/>
        <v>1.9096724911677647E-4</v>
      </c>
      <c r="M226" s="82">
        <f t="shared" si="208"/>
        <v>1.9096724911677647E-4</v>
      </c>
      <c r="N226" s="82">
        <f t="shared" si="208"/>
        <v>1.9096724911677647E-4</v>
      </c>
      <c r="O226" s="82">
        <f t="shared" si="208"/>
        <v>1.9096724911677647E-4</v>
      </c>
      <c r="P226" s="82">
        <f t="shared" si="208"/>
        <v>1.9096724911677647E-4</v>
      </c>
      <c r="Q226" s="82">
        <f t="shared" si="208"/>
        <v>1.9096724911677647E-4</v>
      </c>
      <c r="R226" s="82">
        <f t="shared" si="208"/>
        <v>1.9096724911677647E-4</v>
      </c>
      <c r="S226" s="82">
        <f t="shared" si="208"/>
        <v>1.9096724911677647E-4</v>
      </c>
      <c r="T226" s="82">
        <f t="shared" si="208"/>
        <v>1.9096724911677647E-4</v>
      </c>
      <c r="U226" s="82">
        <f t="shared" si="208"/>
        <v>1.9096724911677647E-4</v>
      </c>
      <c r="V226" s="82">
        <f t="shared" si="208"/>
        <v>1.9096724911677647E-4</v>
      </c>
      <c r="W226" s="82">
        <f t="shared" si="208"/>
        <v>1.9096724911677647E-4</v>
      </c>
      <c r="X226" s="82">
        <f t="shared" si="208"/>
        <v>1.9096724911677647E-4</v>
      </c>
      <c r="Y226" s="82">
        <f t="shared" si="208"/>
        <v>1.9096724911677647E-4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158</v>
      </c>
      <c r="G228" s="28"/>
      <c r="J228" s="89"/>
      <c r="K228" s="89"/>
      <c r="L228" s="89"/>
      <c r="M228" s="89"/>
      <c r="N228" s="89"/>
      <c r="O228" s="89"/>
      <c r="P228" s="89"/>
      <c r="Q228" s="89"/>
      <c r="R228" s="89"/>
      <c r="S228" s="89"/>
      <c r="T228" s="89"/>
      <c r="U228" s="89"/>
      <c r="V228" s="89"/>
      <c r="W228" s="89"/>
      <c r="X228" s="89"/>
      <c r="Y228" s="89"/>
    </row>
    <row r="229" spans="5:25" x14ac:dyDescent="0.3">
      <c r="F229" s="159" t="s">
        <v>193</v>
      </c>
      <c r="G229" s="64" t="s">
        <v>285</v>
      </c>
      <c r="H229" s="23"/>
      <c r="I229" s="23"/>
      <c r="J229" s="153">
        <f>J177 * J$224 * hours_in_year</f>
        <v>9.66398982153828</v>
      </c>
      <c r="K229" s="153">
        <f t="shared" ref="K229:Y229" si="209">K177 * K$224 * hours_in_year</f>
        <v>9.66398982153828</v>
      </c>
      <c r="L229" s="153">
        <f t="shared" si="209"/>
        <v>9.66398982153828</v>
      </c>
      <c r="M229" s="153">
        <f t="shared" si="209"/>
        <v>9.66398982153828</v>
      </c>
      <c r="N229" s="153">
        <f t="shared" si="209"/>
        <v>9.66398982153828</v>
      </c>
      <c r="O229" s="153">
        <f t="shared" si="209"/>
        <v>9.66398982153828</v>
      </c>
      <c r="P229" s="153">
        <f t="shared" si="209"/>
        <v>9.66398982153828</v>
      </c>
      <c r="Q229" s="153">
        <f t="shared" si="209"/>
        <v>24.167153947954265</v>
      </c>
      <c r="R229" s="153">
        <f t="shared" si="209"/>
        <v>9.66398982153828</v>
      </c>
      <c r="S229" s="153">
        <f t="shared" si="209"/>
        <v>9.66398982153828</v>
      </c>
      <c r="T229" s="153">
        <f t="shared" si="209"/>
        <v>9.66398982153828</v>
      </c>
      <c r="U229" s="153">
        <f t="shared" si="209"/>
        <v>9.66398982153828</v>
      </c>
      <c r="V229" s="153">
        <f t="shared" si="209"/>
        <v>9.66398982153828</v>
      </c>
      <c r="W229" s="153">
        <f t="shared" si="209"/>
        <v>9.66398982153828</v>
      </c>
      <c r="X229" s="153">
        <f t="shared" si="209"/>
        <v>9.66398982153828</v>
      </c>
      <c r="Y229" s="153">
        <f t="shared" si="209"/>
        <v>9.66398982153828</v>
      </c>
    </row>
    <row r="230" spans="5:25" x14ac:dyDescent="0.3">
      <c r="F230" s="160" t="s">
        <v>194</v>
      </c>
      <c r="G230" s="28" t="s">
        <v>285</v>
      </c>
      <c r="J230" s="153">
        <f t="shared" ref="J230:Y230" si="210">J182 * J224 * hours_in_year</f>
        <v>7.2438967635795981</v>
      </c>
      <c r="K230" s="153">
        <f t="shared" si="210"/>
        <v>7.2438967635795981</v>
      </c>
      <c r="L230" s="153">
        <f t="shared" si="210"/>
        <v>7.2438967635795981</v>
      </c>
      <c r="M230" s="153">
        <f t="shared" si="210"/>
        <v>7.2438967635795981</v>
      </c>
      <c r="N230" s="153">
        <f t="shared" si="210"/>
        <v>7.2438967635795981</v>
      </c>
      <c r="O230" s="153">
        <f t="shared" si="210"/>
        <v>7.2438967635795981</v>
      </c>
      <c r="P230" s="153">
        <f t="shared" si="210"/>
        <v>7.2438967635795981</v>
      </c>
      <c r="Q230" s="153">
        <f t="shared" si="210"/>
        <v>19.978589335677356</v>
      </c>
      <c r="R230" s="153">
        <f t="shared" si="210"/>
        <v>7.2438967635795981</v>
      </c>
      <c r="S230" s="153">
        <f t="shared" si="210"/>
        <v>7.2438967635795981</v>
      </c>
      <c r="T230" s="153">
        <f t="shared" si="210"/>
        <v>7.2438967635795981</v>
      </c>
      <c r="U230" s="153">
        <f t="shared" si="210"/>
        <v>7.2438967635795981</v>
      </c>
      <c r="V230" s="153">
        <f t="shared" si="210"/>
        <v>7.2438967635795981</v>
      </c>
      <c r="W230" s="153">
        <f t="shared" si="210"/>
        <v>7.2438967635795981</v>
      </c>
      <c r="X230" s="153">
        <f t="shared" si="210"/>
        <v>7.2438967635795981</v>
      </c>
      <c r="Y230" s="153">
        <f t="shared" si="210"/>
        <v>7.2438967635795981</v>
      </c>
    </row>
    <row r="231" spans="5:25" x14ac:dyDescent="0.3">
      <c r="F231" s="160" t="s">
        <v>195</v>
      </c>
      <c r="G231" s="28" t="s">
        <v>285</v>
      </c>
      <c r="J231" s="153">
        <f t="shared" ref="J231:Y231" si="211">J187 * J224 * hours_in_year</f>
        <v>7.2438967635795981</v>
      </c>
      <c r="K231" s="153">
        <f t="shared" si="211"/>
        <v>7.2438967635795981</v>
      </c>
      <c r="L231" s="153">
        <f t="shared" si="211"/>
        <v>7.2438967635795981</v>
      </c>
      <c r="M231" s="153">
        <f t="shared" si="211"/>
        <v>7.2438967635795981</v>
      </c>
      <c r="N231" s="153">
        <f t="shared" si="211"/>
        <v>7.2438967635795981</v>
      </c>
      <c r="O231" s="153">
        <f t="shared" si="211"/>
        <v>7.2438967635795981</v>
      </c>
      <c r="P231" s="153">
        <f t="shared" si="211"/>
        <v>7.2438967635795981</v>
      </c>
      <c r="Q231" s="153">
        <f t="shared" si="211"/>
        <v>19.978589335677356</v>
      </c>
      <c r="R231" s="153">
        <f t="shared" si="211"/>
        <v>7.2438967635795981</v>
      </c>
      <c r="S231" s="153">
        <f t="shared" si="211"/>
        <v>7.2438967635795981</v>
      </c>
      <c r="T231" s="153">
        <f t="shared" si="211"/>
        <v>7.2438967635795981</v>
      </c>
      <c r="U231" s="153">
        <f t="shared" si="211"/>
        <v>7.2438967635795981</v>
      </c>
      <c r="V231" s="153">
        <f t="shared" si="211"/>
        <v>7.2438967635795981</v>
      </c>
      <c r="W231" s="153">
        <f t="shared" si="211"/>
        <v>7.2438967635795981</v>
      </c>
      <c r="X231" s="153">
        <f t="shared" si="211"/>
        <v>7.2438967635795981</v>
      </c>
      <c r="Y231" s="153">
        <f t="shared" si="211"/>
        <v>7.2438967635795981</v>
      </c>
    </row>
    <row r="232" spans="5:25" x14ac:dyDescent="0.3">
      <c r="F232" s="160" t="s">
        <v>196</v>
      </c>
      <c r="G232" s="28" t="s">
        <v>285</v>
      </c>
      <c r="J232" s="153">
        <f t="shared" ref="J232:Y232" si="212">J192 * J224 * hours_in_year</f>
        <v>6.0229912383758988</v>
      </c>
      <c r="K232" s="153">
        <f t="shared" si="212"/>
        <v>6.0229912383758988</v>
      </c>
      <c r="L232" s="153">
        <f t="shared" si="212"/>
        <v>6.0229912383758988</v>
      </c>
      <c r="M232" s="153">
        <f t="shared" si="212"/>
        <v>6.0229912383758988</v>
      </c>
      <c r="N232" s="153">
        <f t="shared" si="212"/>
        <v>6.0229912383758988</v>
      </c>
      <c r="O232" s="153">
        <f t="shared" si="212"/>
        <v>6.0229912383758988</v>
      </c>
      <c r="P232" s="153">
        <f t="shared" si="212"/>
        <v>6.0229912383758988</v>
      </c>
      <c r="Q232" s="153">
        <f t="shared" si="212"/>
        <v>17.049716215012953</v>
      </c>
      <c r="R232" s="153">
        <f t="shared" si="212"/>
        <v>6.0229912383758988</v>
      </c>
      <c r="S232" s="153">
        <f t="shared" si="212"/>
        <v>6.0229912383758988</v>
      </c>
      <c r="T232" s="153">
        <f t="shared" si="212"/>
        <v>6.0229912383758988</v>
      </c>
      <c r="U232" s="153">
        <f t="shared" si="212"/>
        <v>6.0229912383758988</v>
      </c>
      <c r="V232" s="153">
        <f t="shared" si="212"/>
        <v>6.0229912383758988</v>
      </c>
      <c r="W232" s="153">
        <f t="shared" si="212"/>
        <v>6.0229912383758988</v>
      </c>
      <c r="X232" s="153">
        <f t="shared" si="212"/>
        <v>6.0229912383758988</v>
      </c>
      <c r="Y232" s="153">
        <f t="shared" si="212"/>
        <v>6.0229912383758988</v>
      </c>
    </row>
    <row r="233" spans="5:25" x14ac:dyDescent="0.3">
      <c r="F233" s="160" t="s">
        <v>197</v>
      </c>
      <c r="G233" s="28" t="s">
        <v>285</v>
      </c>
      <c r="J233" s="153">
        <f t="shared" ref="J233:Y233" si="213">J197 * J224 * hours_in_year</f>
        <v>6.0229912383758988</v>
      </c>
      <c r="K233" s="153">
        <f t="shared" si="213"/>
        <v>6.0229912383758988</v>
      </c>
      <c r="L233" s="153">
        <f t="shared" si="213"/>
        <v>6.0229912383758988</v>
      </c>
      <c r="M233" s="153">
        <f t="shared" si="213"/>
        <v>6.0229912383758988</v>
      </c>
      <c r="N233" s="153">
        <f t="shared" si="213"/>
        <v>6.0229912383758988</v>
      </c>
      <c r="O233" s="153">
        <f t="shared" si="213"/>
        <v>6.0229912383758988</v>
      </c>
      <c r="P233" s="153">
        <f t="shared" si="213"/>
        <v>6.0229912383758988</v>
      </c>
      <c r="Q233" s="153">
        <f t="shared" si="213"/>
        <v>17.049716215012953</v>
      </c>
      <c r="R233" s="153">
        <f t="shared" si="213"/>
        <v>6.0229912383758988</v>
      </c>
      <c r="S233" s="153">
        <f t="shared" si="213"/>
        <v>6.0229912383758988</v>
      </c>
      <c r="T233" s="153">
        <f t="shared" si="213"/>
        <v>6.0229912383758988</v>
      </c>
      <c r="U233" s="153">
        <f t="shared" si="213"/>
        <v>6.0229912383758988</v>
      </c>
      <c r="V233" s="153">
        <f t="shared" si="213"/>
        <v>6.0229912383758988</v>
      </c>
      <c r="W233" s="153">
        <f t="shared" si="213"/>
        <v>6.0229912383758988</v>
      </c>
      <c r="X233" s="153">
        <f t="shared" si="213"/>
        <v>6.0229912383758988</v>
      </c>
      <c r="Y233" s="153">
        <f t="shared" si="213"/>
        <v>6.0229912383758988</v>
      </c>
    </row>
    <row r="234" spans="5:25" x14ac:dyDescent="0.3">
      <c r="F234" s="160" t="s">
        <v>198</v>
      </c>
      <c r="G234" s="28" t="s">
        <v>285</v>
      </c>
      <c r="J234" s="153">
        <f t="shared" ref="J234:Y234" si="214">J202 * J224 * hours_in_year</f>
        <v>7.2438967635795981</v>
      </c>
      <c r="K234" s="153">
        <f t="shared" si="214"/>
        <v>7.2438967635795981</v>
      </c>
      <c r="L234" s="153">
        <f t="shared" si="214"/>
        <v>7.2438967635795981</v>
      </c>
      <c r="M234" s="153">
        <f t="shared" si="214"/>
        <v>7.2438967635795981</v>
      </c>
      <c r="N234" s="153">
        <f t="shared" si="214"/>
        <v>7.2438967635795981</v>
      </c>
      <c r="O234" s="153">
        <f t="shared" si="214"/>
        <v>7.2438967635795981</v>
      </c>
      <c r="P234" s="153">
        <f t="shared" si="214"/>
        <v>7.2438967635795981</v>
      </c>
      <c r="Q234" s="153">
        <f t="shared" si="214"/>
        <v>19.978589335677356</v>
      </c>
      <c r="R234" s="153">
        <f t="shared" si="214"/>
        <v>7.2438967635795981</v>
      </c>
      <c r="S234" s="153">
        <f t="shared" si="214"/>
        <v>7.2438967635795981</v>
      </c>
      <c r="T234" s="153">
        <f t="shared" si="214"/>
        <v>7.2438967635795981</v>
      </c>
      <c r="U234" s="153">
        <f t="shared" si="214"/>
        <v>7.2438967635795981</v>
      </c>
      <c r="V234" s="153">
        <f t="shared" si="214"/>
        <v>7.2438967635795981</v>
      </c>
      <c r="W234" s="153">
        <f t="shared" si="214"/>
        <v>7.2438967635795981</v>
      </c>
      <c r="X234" s="153">
        <f t="shared" si="214"/>
        <v>7.2438967635795981</v>
      </c>
      <c r="Y234" s="153">
        <f t="shared" si="214"/>
        <v>7.2438967635795981</v>
      </c>
    </row>
    <row r="235" spans="5:25" x14ac:dyDescent="0.3">
      <c r="F235" s="160" t="s">
        <v>199</v>
      </c>
      <c r="G235" s="28" t="s">
        <v>285</v>
      </c>
      <c r="J235" s="153">
        <f t="shared" ref="J235:Y235" si="215">J207 * J224 * hours_in_year</f>
        <v>6.0229912383758988</v>
      </c>
      <c r="K235" s="153">
        <f t="shared" si="215"/>
        <v>6.0229912383758988</v>
      </c>
      <c r="L235" s="153">
        <f t="shared" si="215"/>
        <v>6.0229912383758988</v>
      </c>
      <c r="M235" s="153">
        <f t="shared" si="215"/>
        <v>6.0229912383758988</v>
      </c>
      <c r="N235" s="153">
        <f t="shared" si="215"/>
        <v>6.0229912383758988</v>
      </c>
      <c r="O235" s="153">
        <f t="shared" si="215"/>
        <v>6.0229912383758988</v>
      </c>
      <c r="P235" s="153">
        <f t="shared" si="215"/>
        <v>6.0229912383758988</v>
      </c>
      <c r="Q235" s="153">
        <f t="shared" si="215"/>
        <v>17.049716215012953</v>
      </c>
      <c r="R235" s="153">
        <f t="shared" si="215"/>
        <v>6.0229912383758988</v>
      </c>
      <c r="S235" s="153">
        <f t="shared" si="215"/>
        <v>6.0229912383758988</v>
      </c>
      <c r="T235" s="153">
        <f t="shared" si="215"/>
        <v>6.0229912383758988</v>
      </c>
      <c r="U235" s="153">
        <f t="shared" si="215"/>
        <v>6.0229912383758988</v>
      </c>
      <c r="V235" s="153">
        <f t="shared" si="215"/>
        <v>6.0229912383758988</v>
      </c>
      <c r="W235" s="153">
        <f t="shared" si="215"/>
        <v>6.0229912383758988</v>
      </c>
      <c r="X235" s="153">
        <f t="shared" si="215"/>
        <v>6.0229912383758988</v>
      </c>
      <c r="Y235" s="153">
        <f t="shared" si="215"/>
        <v>6.0229912383758988</v>
      </c>
    </row>
    <row r="236" spans="5:25" x14ac:dyDescent="0.3">
      <c r="F236" s="160" t="s">
        <v>200</v>
      </c>
      <c r="G236" s="28" t="s">
        <v>285</v>
      </c>
      <c r="J236" s="153">
        <f t="shared" ref="J236:Y236" si="216">J212 * J224 * hours_in_year</f>
        <v>6.0229912383758988</v>
      </c>
      <c r="K236" s="153">
        <f t="shared" si="216"/>
        <v>6.0229912383758988</v>
      </c>
      <c r="L236" s="153">
        <f t="shared" si="216"/>
        <v>6.0229912383758988</v>
      </c>
      <c r="M236" s="153">
        <f t="shared" si="216"/>
        <v>6.0229912383758988</v>
      </c>
      <c r="N236" s="153">
        <f t="shared" si="216"/>
        <v>6.0229912383758988</v>
      </c>
      <c r="O236" s="153">
        <f t="shared" si="216"/>
        <v>6.0229912383758988</v>
      </c>
      <c r="P236" s="153">
        <f t="shared" si="216"/>
        <v>6.0229912383758988</v>
      </c>
      <c r="Q236" s="153">
        <f t="shared" si="216"/>
        <v>17.049716215012953</v>
      </c>
      <c r="R236" s="153">
        <f t="shared" si="216"/>
        <v>6.0229912383758988</v>
      </c>
      <c r="S236" s="153">
        <f t="shared" si="216"/>
        <v>6.0229912383758988</v>
      </c>
      <c r="T236" s="153">
        <f t="shared" si="216"/>
        <v>6.0229912383758988</v>
      </c>
      <c r="U236" s="153">
        <f t="shared" si="216"/>
        <v>6.0229912383758988</v>
      </c>
      <c r="V236" s="153">
        <f t="shared" si="216"/>
        <v>6.0229912383758988</v>
      </c>
      <c r="W236" s="153">
        <f t="shared" si="216"/>
        <v>6.0229912383758988</v>
      </c>
      <c r="X236" s="153">
        <f t="shared" si="216"/>
        <v>6.0229912383758988</v>
      </c>
      <c r="Y236" s="153">
        <f t="shared" si="216"/>
        <v>6.0229912383758988</v>
      </c>
    </row>
    <row r="237" spans="5:25" x14ac:dyDescent="0.3">
      <c r="F237" s="161" t="s">
        <v>201</v>
      </c>
      <c r="G237" s="67" t="s">
        <v>285</v>
      </c>
      <c r="H237" s="37"/>
      <c r="I237" s="37"/>
      <c r="J237" s="153">
        <f t="shared" ref="J237:Y237" si="217">J217 * J224 * hours_in_year</f>
        <v>6.0229912383758988</v>
      </c>
      <c r="K237" s="153">
        <f t="shared" si="217"/>
        <v>6.0229912383758988</v>
      </c>
      <c r="L237" s="153">
        <f t="shared" si="217"/>
        <v>6.0229912383758988</v>
      </c>
      <c r="M237" s="153">
        <f t="shared" si="217"/>
        <v>6.0229912383758988</v>
      </c>
      <c r="N237" s="153">
        <f t="shared" si="217"/>
        <v>6.0229912383758988</v>
      </c>
      <c r="O237" s="153">
        <f t="shared" si="217"/>
        <v>6.0229912383758988</v>
      </c>
      <c r="P237" s="153">
        <f t="shared" si="217"/>
        <v>6.0229912383758988</v>
      </c>
      <c r="Q237" s="153">
        <f t="shared" si="217"/>
        <v>17.049716215012953</v>
      </c>
      <c r="R237" s="153">
        <f t="shared" si="217"/>
        <v>6.0229912383758988</v>
      </c>
      <c r="S237" s="153">
        <f t="shared" si="217"/>
        <v>6.0229912383758988</v>
      </c>
      <c r="T237" s="153">
        <f t="shared" si="217"/>
        <v>6.0229912383758988</v>
      </c>
      <c r="U237" s="153">
        <f t="shared" si="217"/>
        <v>6.0229912383758988</v>
      </c>
      <c r="V237" s="153">
        <f t="shared" si="217"/>
        <v>6.0229912383758988</v>
      </c>
      <c r="W237" s="153">
        <f t="shared" si="217"/>
        <v>6.0229912383758988</v>
      </c>
      <c r="X237" s="153">
        <f t="shared" si="217"/>
        <v>6.0229912383758988</v>
      </c>
      <c r="Y237" s="153">
        <f t="shared" si="217"/>
        <v>6.0229912383758988</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159</v>
      </c>
      <c r="G239" s="28"/>
      <c r="J239" s="89"/>
      <c r="K239" s="89"/>
      <c r="L239" s="89"/>
      <c r="M239" s="89"/>
      <c r="N239" s="89"/>
      <c r="O239" s="89"/>
      <c r="P239" s="89"/>
      <c r="Q239" s="89"/>
      <c r="R239" s="89"/>
      <c r="S239" s="89"/>
      <c r="T239" s="89"/>
      <c r="U239" s="89"/>
      <c r="V239" s="89"/>
      <c r="W239" s="89"/>
      <c r="X239" s="89"/>
      <c r="Y239" s="89"/>
    </row>
    <row r="240" spans="5:25" x14ac:dyDescent="0.3">
      <c r="F240" s="64" t="s">
        <v>193</v>
      </c>
      <c r="G240" s="64" t="s">
        <v>285</v>
      </c>
      <c r="H240" s="23"/>
      <c r="I240" s="23"/>
      <c r="J240" s="153">
        <f t="shared" ref="J240:Y240" si="218">J178 * J225 * hours_in_year</f>
        <v>0.4353570405895012</v>
      </c>
      <c r="K240" s="153">
        <f t="shared" si="218"/>
        <v>0.4353570405895012</v>
      </c>
      <c r="L240" s="153">
        <f t="shared" si="218"/>
        <v>0.4353570405895012</v>
      </c>
      <c r="M240" s="153">
        <f t="shared" si="218"/>
        <v>0.4353570405895012</v>
      </c>
      <c r="N240" s="153">
        <f t="shared" si="218"/>
        <v>0.4353570405895012</v>
      </c>
      <c r="O240" s="153">
        <f t="shared" si="218"/>
        <v>0.4353570405895012</v>
      </c>
      <c r="P240" s="153">
        <f t="shared" si="218"/>
        <v>0.4353570405895012</v>
      </c>
      <c r="Q240" s="153">
        <f t="shared" si="218"/>
        <v>0.77319684012488143</v>
      </c>
      <c r="R240" s="153">
        <f t="shared" si="218"/>
        <v>0.4353570405895012</v>
      </c>
      <c r="S240" s="153">
        <f t="shared" si="218"/>
        <v>0.4353570405895012</v>
      </c>
      <c r="T240" s="153">
        <f t="shared" si="218"/>
        <v>0.4353570405895012</v>
      </c>
      <c r="U240" s="153">
        <f t="shared" si="218"/>
        <v>0.4353570405895012</v>
      </c>
      <c r="V240" s="153">
        <f t="shared" si="218"/>
        <v>0.4353570405895012</v>
      </c>
      <c r="W240" s="153">
        <f t="shared" si="218"/>
        <v>0.4353570405895012</v>
      </c>
      <c r="X240" s="153">
        <f t="shared" si="218"/>
        <v>0.4353570405895012</v>
      </c>
      <c r="Y240" s="153">
        <f t="shared" si="218"/>
        <v>0.4353570405895012</v>
      </c>
    </row>
    <row r="241" spans="5:25" x14ac:dyDescent="0.3">
      <c r="F241" s="28" t="s">
        <v>194</v>
      </c>
      <c r="G241" s="28" t="s">
        <v>285</v>
      </c>
      <c r="J241" s="153">
        <f t="shared" ref="J241:Y241" si="219">J183 * J225 * hours_in_year</f>
        <v>0.99152745261809017</v>
      </c>
      <c r="K241" s="153">
        <f t="shared" si="219"/>
        <v>0.99152745261809017</v>
      </c>
      <c r="L241" s="153">
        <f t="shared" si="219"/>
        <v>0.99152745261809017</v>
      </c>
      <c r="M241" s="153">
        <f t="shared" si="219"/>
        <v>0.99152745261809017</v>
      </c>
      <c r="N241" s="153">
        <f t="shared" si="219"/>
        <v>0.99152745261809017</v>
      </c>
      <c r="O241" s="153">
        <f t="shared" si="219"/>
        <v>0.99152745261809017</v>
      </c>
      <c r="P241" s="153">
        <f t="shared" si="219"/>
        <v>0.99152745261809017</v>
      </c>
      <c r="Q241" s="153">
        <f t="shared" si="219"/>
        <v>0.99059136462347053</v>
      </c>
      <c r="R241" s="153">
        <f t="shared" si="219"/>
        <v>0.99152745261809017</v>
      </c>
      <c r="S241" s="153">
        <f t="shared" si="219"/>
        <v>0.99152745261809017</v>
      </c>
      <c r="T241" s="153">
        <f t="shared" si="219"/>
        <v>0.99152745261809017</v>
      </c>
      <c r="U241" s="153">
        <f t="shared" si="219"/>
        <v>0.99152745261809017</v>
      </c>
      <c r="V241" s="153">
        <f t="shared" si="219"/>
        <v>0.99152745261809017</v>
      </c>
      <c r="W241" s="153">
        <f t="shared" si="219"/>
        <v>0.99152745261809017</v>
      </c>
      <c r="X241" s="153">
        <f t="shared" si="219"/>
        <v>0.99152745261809017</v>
      </c>
      <c r="Y241" s="153">
        <f t="shared" si="219"/>
        <v>0.99152745261809017</v>
      </c>
    </row>
    <row r="242" spans="5:25" x14ac:dyDescent="0.3">
      <c r="F242" s="28" t="s">
        <v>195</v>
      </c>
      <c r="G242" s="28" t="s">
        <v>285</v>
      </c>
      <c r="J242" s="153">
        <f t="shared" ref="J242:Y242" si="220">J188 * J225 * hours_in_year</f>
        <v>0.99152745261809017</v>
      </c>
      <c r="K242" s="153">
        <f t="shared" si="220"/>
        <v>0.99152745261809017</v>
      </c>
      <c r="L242" s="153">
        <f t="shared" si="220"/>
        <v>0.99152745261809017</v>
      </c>
      <c r="M242" s="153">
        <f t="shared" si="220"/>
        <v>0.99152745261809017</v>
      </c>
      <c r="N242" s="153">
        <f t="shared" si="220"/>
        <v>0.99152745261809017</v>
      </c>
      <c r="O242" s="153">
        <f t="shared" si="220"/>
        <v>0.99152745261809017</v>
      </c>
      <c r="P242" s="153">
        <f t="shared" si="220"/>
        <v>0.99152745261809017</v>
      </c>
      <c r="Q242" s="153">
        <f t="shared" si="220"/>
        <v>0.99059136462347053</v>
      </c>
      <c r="R242" s="153">
        <f t="shared" si="220"/>
        <v>0.99152745261809017</v>
      </c>
      <c r="S242" s="153">
        <f t="shared" si="220"/>
        <v>0.99152745261809017</v>
      </c>
      <c r="T242" s="153">
        <f t="shared" si="220"/>
        <v>0.99152745261809017</v>
      </c>
      <c r="U242" s="153">
        <f t="shared" si="220"/>
        <v>0.99152745261809017</v>
      </c>
      <c r="V242" s="153">
        <f t="shared" si="220"/>
        <v>0.99152745261809017</v>
      </c>
      <c r="W242" s="153">
        <f t="shared" si="220"/>
        <v>0.99152745261809017</v>
      </c>
      <c r="X242" s="153">
        <f t="shared" si="220"/>
        <v>0.99152745261809017</v>
      </c>
      <c r="Y242" s="153">
        <f t="shared" si="220"/>
        <v>0.99152745261809017</v>
      </c>
    </row>
    <row r="243" spans="5:25" x14ac:dyDescent="0.3">
      <c r="F243" s="28" t="s">
        <v>196</v>
      </c>
      <c r="G243" s="28" t="s">
        <v>285</v>
      </c>
      <c r="J243" s="153">
        <f t="shared" ref="J243:Y243" si="221">J193 * J225 * hours_in_year</f>
        <v>1.2885928089373944</v>
      </c>
      <c r="K243" s="153">
        <f t="shared" si="221"/>
        <v>1.2885928089373944</v>
      </c>
      <c r="L243" s="153">
        <f t="shared" si="221"/>
        <v>1.2885928089373944</v>
      </c>
      <c r="M243" s="153">
        <f t="shared" si="221"/>
        <v>1.2885928089373944</v>
      </c>
      <c r="N243" s="153">
        <f t="shared" si="221"/>
        <v>1.2885928089373944</v>
      </c>
      <c r="O243" s="153">
        <f t="shared" si="221"/>
        <v>1.2885928089373944</v>
      </c>
      <c r="P243" s="153">
        <f t="shared" si="221"/>
        <v>1.2885928089373944</v>
      </c>
      <c r="Q243" s="153">
        <f t="shared" si="221"/>
        <v>1.178552732833537</v>
      </c>
      <c r="R243" s="153">
        <f t="shared" si="221"/>
        <v>1.2885928089373944</v>
      </c>
      <c r="S243" s="153">
        <f t="shared" si="221"/>
        <v>1.2885928089373944</v>
      </c>
      <c r="T243" s="153">
        <f t="shared" si="221"/>
        <v>1.2885928089373944</v>
      </c>
      <c r="U243" s="153">
        <f t="shared" si="221"/>
        <v>1.2885928089373944</v>
      </c>
      <c r="V243" s="153">
        <f t="shared" si="221"/>
        <v>1.2885928089373944</v>
      </c>
      <c r="W243" s="153">
        <f t="shared" si="221"/>
        <v>1.2885928089373944</v>
      </c>
      <c r="X243" s="153">
        <f t="shared" si="221"/>
        <v>1.2885928089373944</v>
      </c>
      <c r="Y243" s="153">
        <f t="shared" si="221"/>
        <v>1.2885928089373944</v>
      </c>
    </row>
    <row r="244" spans="5:25" x14ac:dyDescent="0.3">
      <c r="F244" s="28" t="s">
        <v>197</v>
      </c>
      <c r="G244" s="28" t="s">
        <v>285</v>
      </c>
      <c r="J244" s="153">
        <f t="shared" ref="J244:Y244" si="222">J198 * J225 * hours_in_year</f>
        <v>1.2885928089373944</v>
      </c>
      <c r="K244" s="153">
        <f t="shared" si="222"/>
        <v>1.2885928089373944</v>
      </c>
      <c r="L244" s="153">
        <f t="shared" si="222"/>
        <v>1.2885928089373944</v>
      </c>
      <c r="M244" s="153">
        <f t="shared" si="222"/>
        <v>1.2885928089373944</v>
      </c>
      <c r="N244" s="153">
        <f t="shared" si="222"/>
        <v>1.2885928089373944</v>
      </c>
      <c r="O244" s="153">
        <f t="shared" si="222"/>
        <v>1.2885928089373944</v>
      </c>
      <c r="P244" s="153">
        <f t="shared" si="222"/>
        <v>1.2885928089373944</v>
      </c>
      <c r="Q244" s="153">
        <f t="shared" si="222"/>
        <v>1.178552732833537</v>
      </c>
      <c r="R244" s="153">
        <f t="shared" si="222"/>
        <v>1.2885928089373944</v>
      </c>
      <c r="S244" s="153">
        <f t="shared" si="222"/>
        <v>1.2885928089373944</v>
      </c>
      <c r="T244" s="153">
        <f t="shared" si="222"/>
        <v>1.2885928089373944</v>
      </c>
      <c r="U244" s="153">
        <f t="shared" si="222"/>
        <v>1.2885928089373944</v>
      </c>
      <c r="V244" s="153">
        <f t="shared" si="222"/>
        <v>1.2885928089373944</v>
      </c>
      <c r="W244" s="153">
        <f t="shared" si="222"/>
        <v>1.2885928089373944</v>
      </c>
      <c r="X244" s="153">
        <f t="shared" si="222"/>
        <v>1.2885928089373944</v>
      </c>
      <c r="Y244" s="153">
        <f t="shared" si="222"/>
        <v>1.2885928089373944</v>
      </c>
    </row>
    <row r="245" spans="5:25" x14ac:dyDescent="0.3">
      <c r="F245" s="28" t="s">
        <v>198</v>
      </c>
      <c r="G245" s="28" t="s">
        <v>285</v>
      </c>
      <c r="J245" s="153">
        <f t="shared" ref="J245:Y245" si="223">J203 * J225 * hours_in_year</f>
        <v>0.99152745261809017</v>
      </c>
      <c r="K245" s="153">
        <f t="shared" si="223"/>
        <v>0.99152745261809017</v>
      </c>
      <c r="L245" s="153">
        <f t="shared" si="223"/>
        <v>0.99152745261809017</v>
      </c>
      <c r="M245" s="153">
        <f t="shared" si="223"/>
        <v>0.99152745261809017</v>
      </c>
      <c r="N245" s="153">
        <f t="shared" si="223"/>
        <v>0.99152745261809017</v>
      </c>
      <c r="O245" s="153">
        <f t="shared" si="223"/>
        <v>0.99152745261809017</v>
      </c>
      <c r="P245" s="153">
        <f t="shared" si="223"/>
        <v>0.99152745261809017</v>
      </c>
      <c r="Q245" s="153">
        <f t="shared" si="223"/>
        <v>0.99059136462347053</v>
      </c>
      <c r="R245" s="153">
        <f t="shared" si="223"/>
        <v>0.99152745261809017</v>
      </c>
      <c r="S245" s="153">
        <f t="shared" si="223"/>
        <v>0.99152745261809017</v>
      </c>
      <c r="T245" s="153">
        <f t="shared" si="223"/>
        <v>0.99152745261809017</v>
      </c>
      <c r="U245" s="153">
        <f t="shared" si="223"/>
        <v>0.99152745261809017</v>
      </c>
      <c r="V245" s="153">
        <f t="shared" si="223"/>
        <v>0.99152745261809017</v>
      </c>
      <c r="W245" s="153">
        <f t="shared" si="223"/>
        <v>0.99152745261809017</v>
      </c>
      <c r="X245" s="153">
        <f t="shared" si="223"/>
        <v>0.99152745261809017</v>
      </c>
      <c r="Y245" s="153">
        <f t="shared" si="223"/>
        <v>0.99152745261809017</v>
      </c>
    </row>
    <row r="246" spans="5:25" x14ac:dyDescent="0.3">
      <c r="F246" s="28" t="s">
        <v>199</v>
      </c>
      <c r="G246" s="28" t="s">
        <v>285</v>
      </c>
      <c r="J246" s="153">
        <f t="shared" ref="J246:Y246" si="224">J208 * J225 * hours_in_year</f>
        <v>1.2885928089373944</v>
      </c>
      <c r="K246" s="153">
        <f t="shared" si="224"/>
        <v>1.2885928089373944</v>
      </c>
      <c r="L246" s="153">
        <f t="shared" si="224"/>
        <v>1.2885928089373944</v>
      </c>
      <c r="M246" s="153">
        <f t="shared" si="224"/>
        <v>1.2885928089373944</v>
      </c>
      <c r="N246" s="153">
        <f t="shared" si="224"/>
        <v>1.2885928089373944</v>
      </c>
      <c r="O246" s="153">
        <f t="shared" si="224"/>
        <v>1.2885928089373944</v>
      </c>
      <c r="P246" s="153">
        <f t="shared" si="224"/>
        <v>1.2885928089373944</v>
      </c>
      <c r="Q246" s="153">
        <f t="shared" si="224"/>
        <v>1.178552732833537</v>
      </c>
      <c r="R246" s="153">
        <f t="shared" si="224"/>
        <v>1.2885928089373944</v>
      </c>
      <c r="S246" s="153">
        <f t="shared" si="224"/>
        <v>1.2885928089373944</v>
      </c>
      <c r="T246" s="153">
        <f t="shared" si="224"/>
        <v>1.2885928089373944</v>
      </c>
      <c r="U246" s="153">
        <f t="shared" si="224"/>
        <v>1.2885928089373944</v>
      </c>
      <c r="V246" s="153">
        <f t="shared" si="224"/>
        <v>1.2885928089373944</v>
      </c>
      <c r="W246" s="153">
        <f t="shared" si="224"/>
        <v>1.2885928089373944</v>
      </c>
      <c r="X246" s="153">
        <f t="shared" si="224"/>
        <v>1.2885928089373944</v>
      </c>
      <c r="Y246" s="153">
        <f t="shared" si="224"/>
        <v>1.2885928089373944</v>
      </c>
    </row>
    <row r="247" spans="5:25" x14ac:dyDescent="0.3">
      <c r="F247" s="28" t="s">
        <v>200</v>
      </c>
      <c r="G247" s="28" t="s">
        <v>285</v>
      </c>
      <c r="J247" s="153">
        <f t="shared" ref="J247:Y247" si="225">J213 * J225 * hours_in_year</f>
        <v>1.2885928089373944</v>
      </c>
      <c r="K247" s="153">
        <f t="shared" si="225"/>
        <v>1.2885928089373944</v>
      </c>
      <c r="L247" s="153">
        <f t="shared" si="225"/>
        <v>1.2885928089373944</v>
      </c>
      <c r="M247" s="153">
        <f t="shared" si="225"/>
        <v>1.2885928089373944</v>
      </c>
      <c r="N247" s="153">
        <f t="shared" si="225"/>
        <v>1.2885928089373944</v>
      </c>
      <c r="O247" s="153">
        <f t="shared" si="225"/>
        <v>1.2885928089373944</v>
      </c>
      <c r="P247" s="153">
        <f t="shared" si="225"/>
        <v>1.2885928089373944</v>
      </c>
      <c r="Q247" s="153">
        <f t="shared" si="225"/>
        <v>1.178552732833537</v>
      </c>
      <c r="R247" s="153">
        <f t="shared" si="225"/>
        <v>1.2885928089373944</v>
      </c>
      <c r="S247" s="153">
        <f t="shared" si="225"/>
        <v>1.2885928089373944</v>
      </c>
      <c r="T247" s="153">
        <f t="shared" si="225"/>
        <v>1.2885928089373944</v>
      </c>
      <c r="U247" s="153">
        <f t="shared" si="225"/>
        <v>1.2885928089373944</v>
      </c>
      <c r="V247" s="153">
        <f t="shared" si="225"/>
        <v>1.2885928089373944</v>
      </c>
      <c r="W247" s="153">
        <f t="shared" si="225"/>
        <v>1.2885928089373944</v>
      </c>
      <c r="X247" s="153">
        <f t="shared" si="225"/>
        <v>1.2885928089373944</v>
      </c>
      <c r="Y247" s="153">
        <f t="shared" si="225"/>
        <v>1.2885928089373944</v>
      </c>
    </row>
    <row r="248" spans="5:25" x14ac:dyDescent="0.3">
      <c r="F248" s="67" t="s">
        <v>201</v>
      </c>
      <c r="G248" s="67" t="s">
        <v>285</v>
      </c>
      <c r="H248" s="37"/>
      <c r="I248" s="37"/>
      <c r="J248" s="153">
        <f t="shared" ref="J248:Y248" si="226">J218 * J225 * hours_in_year</f>
        <v>1.2885928089373944</v>
      </c>
      <c r="K248" s="153">
        <f t="shared" si="226"/>
        <v>1.2885928089373944</v>
      </c>
      <c r="L248" s="153">
        <f t="shared" si="226"/>
        <v>1.2885928089373944</v>
      </c>
      <c r="M248" s="153">
        <f t="shared" si="226"/>
        <v>1.2885928089373944</v>
      </c>
      <c r="N248" s="153">
        <f t="shared" si="226"/>
        <v>1.2885928089373944</v>
      </c>
      <c r="O248" s="153">
        <f t="shared" si="226"/>
        <v>1.2885928089373944</v>
      </c>
      <c r="P248" s="153">
        <f t="shared" si="226"/>
        <v>1.2885928089373944</v>
      </c>
      <c r="Q248" s="153">
        <f t="shared" si="226"/>
        <v>1.178552732833537</v>
      </c>
      <c r="R248" s="153">
        <f t="shared" si="226"/>
        <v>1.2885928089373944</v>
      </c>
      <c r="S248" s="153">
        <f t="shared" si="226"/>
        <v>1.2885928089373944</v>
      </c>
      <c r="T248" s="153">
        <f t="shared" si="226"/>
        <v>1.2885928089373944</v>
      </c>
      <c r="U248" s="153">
        <f t="shared" si="226"/>
        <v>1.2885928089373944</v>
      </c>
      <c r="V248" s="153">
        <f t="shared" si="226"/>
        <v>1.2885928089373944</v>
      </c>
      <c r="W248" s="153">
        <f t="shared" si="226"/>
        <v>1.2885928089373944</v>
      </c>
      <c r="X248" s="153">
        <f t="shared" si="226"/>
        <v>1.2885928089373944</v>
      </c>
      <c r="Y248" s="153">
        <f t="shared" si="226"/>
        <v>1.2885928089373944</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160</v>
      </c>
      <c r="G250" s="28"/>
      <c r="J250" s="89"/>
      <c r="K250" s="89"/>
      <c r="L250" s="89"/>
      <c r="M250" s="89"/>
      <c r="N250" s="89"/>
      <c r="O250" s="89"/>
      <c r="P250" s="89"/>
      <c r="Q250" s="89"/>
      <c r="R250" s="89"/>
      <c r="S250" s="89"/>
      <c r="T250" s="89"/>
      <c r="U250" s="89"/>
      <c r="V250" s="89"/>
      <c r="W250" s="89"/>
      <c r="X250" s="89"/>
      <c r="Y250" s="89"/>
    </row>
    <row r="251" spans="5:25" x14ac:dyDescent="0.3">
      <c r="F251" s="64" t="s">
        <v>193</v>
      </c>
      <c r="G251" s="64" t="s">
        <v>285</v>
      </c>
      <c r="H251" s="23"/>
      <c r="I251" s="23"/>
      <c r="J251" s="153">
        <f t="shared" ref="J251:Y251" si="227">J179 * J226 * hours_in_year</f>
        <v>0</v>
      </c>
      <c r="K251" s="153">
        <f t="shared" si="227"/>
        <v>0</v>
      </c>
      <c r="L251" s="153">
        <f t="shared" si="227"/>
        <v>0</v>
      </c>
      <c r="M251" s="153">
        <f t="shared" si="227"/>
        <v>0</v>
      </c>
      <c r="N251" s="153">
        <f t="shared" si="227"/>
        <v>0</v>
      </c>
      <c r="O251" s="153">
        <f t="shared" si="227"/>
        <v>0</v>
      </c>
      <c r="P251" s="153">
        <f t="shared" si="227"/>
        <v>0</v>
      </c>
      <c r="Q251" s="153">
        <f t="shared" si="227"/>
        <v>0</v>
      </c>
      <c r="R251" s="153">
        <f t="shared" si="227"/>
        <v>0</v>
      </c>
      <c r="S251" s="153">
        <f t="shared" si="227"/>
        <v>0</v>
      </c>
      <c r="T251" s="153">
        <f t="shared" si="227"/>
        <v>0</v>
      </c>
      <c r="U251" s="153">
        <f t="shared" si="227"/>
        <v>0</v>
      </c>
      <c r="V251" s="153">
        <f t="shared" si="227"/>
        <v>0</v>
      </c>
      <c r="W251" s="153">
        <f t="shared" si="227"/>
        <v>0</v>
      </c>
      <c r="X251" s="153">
        <f t="shared" si="227"/>
        <v>0</v>
      </c>
      <c r="Y251" s="153">
        <f t="shared" si="227"/>
        <v>0</v>
      </c>
    </row>
    <row r="252" spans="5:25" x14ac:dyDescent="0.3">
      <c r="F252" s="28" t="s">
        <v>194</v>
      </c>
      <c r="G252" s="28" t="s">
        <v>285</v>
      </c>
      <c r="J252" s="153">
        <f t="shared" ref="J252:Y252" si="228">J184 * J226 * hours_in_year</f>
        <v>7.0800697071956201E-2</v>
      </c>
      <c r="K252" s="153">
        <f t="shared" si="228"/>
        <v>7.0800697071956201E-2</v>
      </c>
      <c r="L252" s="153">
        <f t="shared" si="228"/>
        <v>7.0800697071956201E-2</v>
      </c>
      <c r="M252" s="153">
        <f t="shared" si="228"/>
        <v>7.0800697071956201E-2</v>
      </c>
      <c r="N252" s="153">
        <f t="shared" si="228"/>
        <v>7.0800697071956201E-2</v>
      </c>
      <c r="O252" s="153">
        <f t="shared" si="228"/>
        <v>7.0800697071956201E-2</v>
      </c>
      <c r="P252" s="153">
        <f t="shared" si="228"/>
        <v>7.0800697071956201E-2</v>
      </c>
      <c r="Q252" s="153">
        <f t="shared" si="228"/>
        <v>7.0800697071956201E-2</v>
      </c>
      <c r="R252" s="153">
        <f t="shared" si="228"/>
        <v>7.0800697071956201E-2</v>
      </c>
      <c r="S252" s="153">
        <f t="shared" si="228"/>
        <v>7.0800697071956201E-2</v>
      </c>
      <c r="T252" s="153">
        <f t="shared" si="228"/>
        <v>7.0800697071956201E-2</v>
      </c>
      <c r="U252" s="153">
        <f t="shared" si="228"/>
        <v>7.0800697071956201E-2</v>
      </c>
      <c r="V252" s="153">
        <f t="shared" si="228"/>
        <v>7.0800697071956201E-2</v>
      </c>
      <c r="W252" s="153">
        <f t="shared" si="228"/>
        <v>7.0800697071956201E-2</v>
      </c>
      <c r="X252" s="153">
        <f t="shared" si="228"/>
        <v>7.0800697071956201E-2</v>
      </c>
      <c r="Y252" s="153">
        <f t="shared" si="228"/>
        <v>7.0800697071956201E-2</v>
      </c>
    </row>
    <row r="253" spans="5:25" x14ac:dyDescent="0.3">
      <c r="F253" s="28" t="s">
        <v>195</v>
      </c>
      <c r="G253" s="28" t="s">
        <v>285</v>
      </c>
      <c r="J253" s="153">
        <f t="shared" ref="J253:Y253" si="229">J189 * J226 * hours_in_year</f>
        <v>7.0800697071956201E-2</v>
      </c>
      <c r="K253" s="153">
        <f t="shared" si="229"/>
        <v>7.0800697071956201E-2</v>
      </c>
      <c r="L253" s="153">
        <f t="shared" si="229"/>
        <v>7.0800697071956201E-2</v>
      </c>
      <c r="M253" s="153">
        <f t="shared" si="229"/>
        <v>7.0800697071956201E-2</v>
      </c>
      <c r="N253" s="153">
        <f t="shared" si="229"/>
        <v>7.0800697071956201E-2</v>
      </c>
      <c r="O253" s="153">
        <f t="shared" si="229"/>
        <v>7.0800697071956201E-2</v>
      </c>
      <c r="P253" s="153">
        <f t="shared" si="229"/>
        <v>7.0800697071956201E-2</v>
      </c>
      <c r="Q253" s="153">
        <f t="shared" si="229"/>
        <v>7.0800697071956201E-2</v>
      </c>
      <c r="R253" s="153">
        <f t="shared" si="229"/>
        <v>7.0800697071956201E-2</v>
      </c>
      <c r="S253" s="153">
        <f t="shared" si="229"/>
        <v>7.0800697071956201E-2</v>
      </c>
      <c r="T253" s="153">
        <f t="shared" si="229"/>
        <v>7.0800697071956201E-2</v>
      </c>
      <c r="U253" s="153">
        <f t="shared" si="229"/>
        <v>7.0800697071956201E-2</v>
      </c>
      <c r="V253" s="153">
        <f t="shared" si="229"/>
        <v>7.0800697071956201E-2</v>
      </c>
      <c r="W253" s="153">
        <f t="shared" si="229"/>
        <v>7.0800697071956201E-2</v>
      </c>
      <c r="X253" s="153">
        <f t="shared" si="229"/>
        <v>7.0800697071956201E-2</v>
      </c>
      <c r="Y253" s="153">
        <f t="shared" si="229"/>
        <v>7.0800697071956201E-2</v>
      </c>
    </row>
    <row r="254" spans="5:25" x14ac:dyDescent="0.3">
      <c r="F254" s="28" t="s">
        <v>196</v>
      </c>
      <c r="G254" s="28" t="s">
        <v>285</v>
      </c>
      <c r="J254" s="153">
        <f t="shared" ref="J254:Y254" si="230">J194 * J226 * hours_in_year</f>
        <v>9.7891581678362052E-2</v>
      </c>
      <c r="K254" s="153">
        <f t="shared" si="230"/>
        <v>9.7891581678362052E-2</v>
      </c>
      <c r="L254" s="153">
        <f t="shared" si="230"/>
        <v>9.7891581678362052E-2</v>
      </c>
      <c r="M254" s="153">
        <f t="shared" si="230"/>
        <v>9.7891581678362052E-2</v>
      </c>
      <c r="N254" s="153">
        <f t="shared" si="230"/>
        <v>9.7891581678362052E-2</v>
      </c>
      <c r="O254" s="153">
        <f t="shared" si="230"/>
        <v>9.7891581678362052E-2</v>
      </c>
      <c r="P254" s="153">
        <f t="shared" si="230"/>
        <v>9.7891581678362052E-2</v>
      </c>
      <c r="Q254" s="153">
        <f t="shared" si="230"/>
        <v>9.7891581678362052E-2</v>
      </c>
      <c r="R254" s="153">
        <f t="shared" si="230"/>
        <v>9.7891581678362052E-2</v>
      </c>
      <c r="S254" s="153">
        <f t="shared" si="230"/>
        <v>9.7891581678362052E-2</v>
      </c>
      <c r="T254" s="153">
        <f t="shared" si="230"/>
        <v>9.7891581678362052E-2</v>
      </c>
      <c r="U254" s="153">
        <f t="shared" si="230"/>
        <v>9.7891581678362052E-2</v>
      </c>
      <c r="V254" s="153">
        <f t="shared" si="230"/>
        <v>9.7891581678362052E-2</v>
      </c>
      <c r="W254" s="153">
        <f t="shared" si="230"/>
        <v>9.7891581678362052E-2</v>
      </c>
      <c r="X254" s="153">
        <f t="shared" si="230"/>
        <v>9.7891581678362052E-2</v>
      </c>
      <c r="Y254" s="153">
        <f t="shared" si="230"/>
        <v>9.7891581678362052E-2</v>
      </c>
    </row>
    <row r="255" spans="5:25" x14ac:dyDescent="0.3">
      <c r="F255" s="28" t="s">
        <v>197</v>
      </c>
      <c r="G255" s="28" t="s">
        <v>285</v>
      </c>
      <c r="J255" s="153">
        <f t="shared" ref="J255:Y255" si="231">J199 * J226 * hours_in_year</f>
        <v>9.7891581678362052E-2</v>
      </c>
      <c r="K255" s="153">
        <f t="shared" si="231"/>
        <v>9.7891581678362052E-2</v>
      </c>
      <c r="L255" s="153">
        <f t="shared" si="231"/>
        <v>9.7891581678362052E-2</v>
      </c>
      <c r="M255" s="153">
        <f t="shared" si="231"/>
        <v>9.7891581678362052E-2</v>
      </c>
      <c r="N255" s="153">
        <f t="shared" si="231"/>
        <v>9.7891581678362052E-2</v>
      </c>
      <c r="O255" s="153">
        <f t="shared" si="231"/>
        <v>9.7891581678362052E-2</v>
      </c>
      <c r="P255" s="153">
        <f t="shared" si="231"/>
        <v>9.7891581678362052E-2</v>
      </c>
      <c r="Q255" s="153">
        <f t="shared" si="231"/>
        <v>9.7891581678362052E-2</v>
      </c>
      <c r="R255" s="153">
        <f t="shared" si="231"/>
        <v>9.7891581678362052E-2</v>
      </c>
      <c r="S255" s="153">
        <f t="shared" si="231"/>
        <v>9.7891581678362052E-2</v>
      </c>
      <c r="T255" s="153">
        <f t="shared" si="231"/>
        <v>9.7891581678362052E-2</v>
      </c>
      <c r="U255" s="153">
        <f t="shared" si="231"/>
        <v>9.7891581678362052E-2</v>
      </c>
      <c r="V255" s="153">
        <f t="shared" si="231"/>
        <v>9.7891581678362052E-2</v>
      </c>
      <c r="W255" s="153">
        <f t="shared" si="231"/>
        <v>9.7891581678362052E-2</v>
      </c>
      <c r="X255" s="153">
        <f t="shared" si="231"/>
        <v>9.7891581678362052E-2</v>
      </c>
      <c r="Y255" s="153">
        <f t="shared" si="231"/>
        <v>9.7891581678362052E-2</v>
      </c>
    </row>
    <row r="256" spans="5:25" x14ac:dyDescent="0.3">
      <c r="F256" s="28" t="s">
        <v>198</v>
      </c>
      <c r="G256" s="28" t="s">
        <v>285</v>
      </c>
      <c r="J256" s="153">
        <f t="shared" ref="J256:Y256" si="232">J204 * J226 * hours_in_year</f>
        <v>7.0800697071956201E-2</v>
      </c>
      <c r="K256" s="153">
        <f t="shared" si="232"/>
        <v>7.0800697071956201E-2</v>
      </c>
      <c r="L256" s="153">
        <f t="shared" si="232"/>
        <v>7.0800697071956201E-2</v>
      </c>
      <c r="M256" s="153">
        <f t="shared" si="232"/>
        <v>7.0800697071956201E-2</v>
      </c>
      <c r="N256" s="153">
        <f t="shared" si="232"/>
        <v>7.0800697071956201E-2</v>
      </c>
      <c r="O256" s="153">
        <f t="shared" si="232"/>
        <v>7.0800697071956201E-2</v>
      </c>
      <c r="P256" s="153">
        <f t="shared" si="232"/>
        <v>7.0800697071956201E-2</v>
      </c>
      <c r="Q256" s="153">
        <f t="shared" si="232"/>
        <v>7.0800697071956201E-2</v>
      </c>
      <c r="R256" s="153">
        <f t="shared" si="232"/>
        <v>7.0800697071956201E-2</v>
      </c>
      <c r="S256" s="153">
        <f t="shared" si="232"/>
        <v>7.0800697071956201E-2</v>
      </c>
      <c r="T256" s="153">
        <f t="shared" si="232"/>
        <v>7.0800697071956201E-2</v>
      </c>
      <c r="U256" s="153">
        <f t="shared" si="232"/>
        <v>7.0800697071956201E-2</v>
      </c>
      <c r="V256" s="153">
        <f t="shared" si="232"/>
        <v>7.0800697071956201E-2</v>
      </c>
      <c r="W256" s="153">
        <f t="shared" si="232"/>
        <v>7.0800697071956201E-2</v>
      </c>
      <c r="X256" s="153">
        <f t="shared" si="232"/>
        <v>7.0800697071956201E-2</v>
      </c>
      <c r="Y256" s="153">
        <f t="shared" si="232"/>
        <v>7.0800697071956201E-2</v>
      </c>
    </row>
    <row r="257" spans="2:27" x14ac:dyDescent="0.3">
      <c r="F257" s="28" t="s">
        <v>199</v>
      </c>
      <c r="G257" s="28" t="s">
        <v>285</v>
      </c>
      <c r="J257" s="153">
        <f t="shared" ref="J257:Y257" si="233">J209 * J226 * hours_in_year</f>
        <v>9.7891581678362052E-2</v>
      </c>
      <c r="K257" s="153">
        <f t="shared" si="233"/>
        <v>9.7891581678362052E-2</v>
      </c>
      <c r="L257" s="153">
        <f t="shared" si="233"/>
        <v>9.7891581678362052E-2</v>
      </c>
      <c r="M257" s="153">
        <f t="shared" si="233"/>
        <v>9.7891581678362052E-2</v>
      </c>
      <c r="N257" s="153">
        <f t="shared" si="233"/>
        <v>9.7891581678362052E-2</v>
      </c>
      <c r="O257" s="153">
        <f t="shared" si="233"/>
        <v>9.7891581678362052E-2</v>
      </c>
      <c r="P257" s="153">
        <f t="shared" si="233"/>
        <v>9.7891581678362052E-2</v>
      </c>
      <c r="Q257" s="153">
        <f t="shared" si="233"/>
        <v>9.7891581678362052E-2</v>
      </c>
      <c r="R257" s="153">
        <f t="shared" si="233"/>
        <v>9.7891581678362052E-2</v>
      </c>
      <c r="S257" s="153">
        <f t="shared" si="233"/>
        <v>9.7891581678362052E-2</v>
      </c>
      <c r="T257" s="153">
        <f t="shared" si="233"/>
        <v>9.7891581678362052E-2</v>
      </c>
      <c r="U257" s="153">
        <f t="shared" si="233"/>
        <v>9.7891581678362052E-2</v>
      </c>
      <c r="V257" s="153">
        <f t="shared" si="233"/>
        <v>9.7891581678362052E-2</v>
      </c>
      <c r="W257" s="153">
        <f t="shared" si="233"/>
        <v>9.7891581678362052E-2</v>
      </c>
      <c r="X257" s="153">
        <f t="shared" si="233"/>
        <v>9.7891581678362052E-2</v>
      </c>
      <c r="Y257" s="153">
        <f t="shared" si="233"/>
        <v>9.7891581678362052E-2</v>
      </c>
    </row>
    <row r="258" spans="2:27" x14ac:dyDescent="0.3">
      <c r="F258" s="28" t="s">
        <v>200</v>
      </c>
      <c r="G258" s="28" t="s">
        <v>285</v>
      </c>
      <c r="J258" s="153">
        <f t="shared" ref="J258:Y258" si="234">J214 * J226 * hours_in_year</f>
        <v>9.7891581678362052E-2</v>
      </c>
      <c r="K258" s="153">
        <f t="shared" si="234"/>
        <v>9.7891581678362052E-2</v>
      </c>
      <c r="L258" s="153">
        <f t="shared" si="234"/>
        <v>9.7891581678362052E-2</v>
      </c>
      <c r="M258" s="153">
        <f t="shared" si="234"/>
        <v>9.7891581678362052E-2</v>
      </c>
      <c r="N258" s="153">
        <f t="shared" si="234"/>
        <v>9.7891581678362052E-2</v>
      </c>
      <c r="O258" s="153">
        <f t="shared" si="234"/>
        <v>9.7891581678362052E-2</v>
      </c>
      <c r="P258" s="153">
        <f t="shared" si="234"/>
        <v>9.7891581678362052E-2</v>
      </c>
      <c r="Q258" s="153">
        <f t="shared" si="234"/>
        <v>9.7891581678362052E-2</v>
      </c>
      <c r="R258" s="153">
        <f t="shared" si="234"/>
        <v>9.7891581678362052E-2</v>
      </c>
      <c r="S258" s="153">
        <f t="shared" si="234"/>
        <v>9.7891581678362052E-2</v>
      </c>
      <c r="T258" s="153">
        <f t="shared" si="234"/>
        <v>9.7891581678362052E-2</v>
      </c>
      <c r="U258" s="153">
        <f t="shared" si="234"/>
        <v>9.7891581678362052E-2</v>
      </c>
      <c r="V258" s="153">
        <f t="shared" si="234"/>
        <v>9.7891581678362052E-2</v>
      </c>
      <c r="W258" s="153">
        <f t="shared" si="234"/>
        <v>9.7891581678362052E-2</v>
      </c>
      <c r="X258" s="153">
        <f t="shared" si="234"/>
        <v>9.7891581678362052E-2</v>
      </c>
      <c r="Y258" s="153">
        <f t="shared" si="234"/>
        <v>9.7891581678362052E-2</v>
      </c>
    </row>
    <row r="259" spans="2:27" x14ac:dyDescent="0.3">
      <c r="F259" s="67" t="s">
        <v>201</v>
      </c>
      <c r="G259" s="67" t="s">
        <v>285</v>
      </c>
      <c r="H259" s="37"/>
      <c r="I259" s="37"/>
      <c r="J259" s="153">
        <f t="shared" ref="J259:Y259" si="235">J219 * J226 * hours_in_year</f>
        <v>9.7891581678362052E-2</v>
      </c>
      <c r="K259" s="153">
        <f t="shared" si="235"/>
        <v>9.7891581678362052E-2</v>
      </c>
      <c r="L259" s="153">
        <f t="shared" si="235"/>
        <v>9.7891581678362052E-2</v>
      </c>
      <c r="M259" s="153">
        <f t="shared" si="235"/>
        <v>9.7891581678362052E-2</v>
      </c>
      <c r="N259" s="153">
        <f t="shared" si="235"/>
        <v>9.7891581678362052E-2</v>
      </c>
      <c r="O259" s="153">
        <f t="shared" si="235"/>
        <v>9.7891581678362052E-2</v>
      </c>
      <c r="P259" s="153">
        <f t="shared" si="235"/>
        <v>9.7891581678362052E-2</v>
      </c>
      <c r="Q259" s="153">
        <f t="shared" si="235"/>
        <v>9.7891581678362052E-2</v>
      </c>
      <c r="R259" s="153">
        <f t="shared" si="235"/>
        <v>9.7891581678362052E-2</v>
      </c>
      <c r="S259" s="153">
        <f t="shared" si="235"/>
        <v>9.7891581678362052E-2</v>
      </c>
      <c r="T259" s="153">
        <f t="shared" si="235"/>
        <v>9.7891581678362052E-2</v>
      </c>
      <c r="U259" s="153">
        <f t="shared" si="235"/>
        <v>9.7891581678362052E-2</v>
      </c>
      <c r="V259" s="153">
        <f t="shared" si="235"/>
        <v>9.7891581678362052E-2</v>
      </c>
      <c r="W259" s="153">
        <f t="shared" si="235"/>
        <v>9.7891581678362052E-2</v>
      </c>
      <c r="X259" s="153">
        <f t="shared" si="235"/>
        <v>9.7891581678362052E-2</v>
      </c>
      <c r="Y259" s="153">
        <f t="shared" si="235"/>
        <v>9.7891581678362052E-2</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847</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867</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474</v>
      </c>
      <c r="G267" s="28" t="s">
        <v>285</v>
      </c>
      <c r="J267" s="121">
        <f>J91</f>
        <v>2.065978423704748</v>
      </c>
      <c r="K267" s="121">
        <f t="shared" ref="K267:Y267" si="236">K91</f>
        <v>2.065978423704748</v>
      </c>
      <c r="L267" s="121">
        <f t="shared" si="236"/>
        <v>1.661405560978652</v>
      </c>
      <c r="M267" s="121">
        <f t="shared" si="236"/>
        <v>1.661405560978652</v>
      </c>
      <c r="N267" s="121">
        <f t="shared" si="236"/>
        <v>1.3850988885358571</v>
      </c>
      <c r="O267" s="121">
        <f t="shared" si="236"/>
        <v>1.3714830616938842</v>
      </c>
      <c r="P267" s="121">
        <f t="shared" si="236"/>
        <v>1.1109261640870058</v>
      </c>
      <c r="Q267" s="121">
        <f t="shared" si="236"/>
        <v>1.9382705727401093</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158</v>
      </c>
      <c r="G271" s="28"/>
      <c r="J271" s="89"/>
      <c r="K271" s="89"/>
      <c r="L271" s="89"/>
      <c r="M271" s="89"/>
      <c r="N271" s="89"/>
      <c r="O271" s="89"/>
      <c r="P271" s="89"/>
      <c r="Q271" s="89"/>
      <c r="R271" s="89"/>
      <c r="S271" s="89"/>
      <c r="T271" s="89"/>
      <c r="U271" s="89"/>
      <c r="V271" s="89"/>
      <c r="W271" s="89"/>
      <c r="X271" s="89"/>
      <c r="Y271" s="89"/>
    </row>
    <row r="272" spans="2:27" x14ac:dyDescent="0.3">
      <c r="F272" s="64" t="s">
        <v>193</v>
      </c>
      <c r="G272" s="64" t="s">
        <v>285</v>
      </c>
      <c r="H272" s="23"/>
      <c r="I272" s="23"/>
      <c r="J272" s="101">
        <f>J229 * J$93</f>
        <v>15.824117204777245</v>
      </c>
      <c r="K272" s="101">
        <f t="shared" ref="K272:Y272" si="237">K229 * K$93</f>
        <v>15.824117204777245</v>
      </c>
      <c r="L272" s="101">
        <f t="shared" si="237"/>
        <v>13.840076180538738</v>
      </c>
      <c r="M272" s="101">
        <f t="shared" si="237"/>
        <v>13.840076180538738</v>
      </c>
      <c r="N272" s="101">
        <f t="shared" si="237"/>
        <v>11.761895903478191</v>
      </c>
      <c r="O272" s="101">
        <f t="shared" si="237"/>
        <v>11.072184034591185</v>
      </c>
      <c r="P272" s="101">
        <f t="shared" si="237"/>
        <v>9.8602515077830919</v>
      </c>
      <c r="Q272" s="101">
        <f t="shared" si="237"/>
        <v>34.196447562264005</v>
      </c>
      <c r="R272" s="101">
        <f t="shared" si="237"/>
        <v>9.66398982153828</v>
      </c>
      <c r="S272" s="101">
        <f t="shared" si="237"/>
        <v>9.66398982153828</v>
      </c>
      <c r="T272" s="101">
        <f t="shared" si="237"/>
        <v>9.66398982153828</v>
      </c>
      <c r="U272" s="101">
        <f t="shared" si="237"/>
        <v>9.66398982153828</v>
      </c>
      <c r="V272" s="101">
        <f t="shared" si="237"/>
        <v>9.66398982153828</v>
      </c>
      <c r="W272" s="101">
        <f t="shared" si="237"/>
        <v>9.66398982153828</v>
      </c>
      <c r="X272" s="101">
        <f t="shared" si="237"/>
        <v>9.66398982153828</v>
      </c>
      <c r="Y272" s="101">
        <f t="shared" si="237"/>
        <v>9.66398982153828</v>
      </c>
    </row>
    <row r="273" spans="5:25" x14ac:dyDescent="0.3">
      <c r="F273" s="28" t="s">
        <v>194</v>
      </c>
      <c r="G273" s="28" t="s">
        <v>285</v>
      </c>
      <c r="J273" s="121">
        <f t="shared" ref="J273:Y273" si="238">J230 * J$93</f>
        <v>11.861381636673123</v>
      </c>
      <c r="K273" s="121">
        <f t="shared" si="238"/>
        <v>11.861381636673123</v>
      </c>
      <c r="L273" s="121">
        <f t="shared" si="238"/>
        <v>10.374191705837417</v>
      </c>
      <c r="M273" s="121">
        <f t="shared" si="238"/>
        <v>10.374191705837417</v>
      </c>
      <c r="N273" s="121">
        <f t="shared" si="238"/>
        <v>8.816437231636451</v>
      </c>
      <c r="O273" s="121">
        <f t="shared" si="238"/>
        <v>8.2994456301244224</v>
      </c>
      <c r="P273" s="121">
        <f t="shared" si="238"/>
        <v>7.3910098524856842</v>
      </c>
      <c r="Q273" s="121">
        <f t="shared" si="238"/>
        <v>28.269641682128224</v>
      </c>
      <c r="R273" s="121">
        <f t="shared" si="238"/>
        <v>7.2438967635795981</v>
      </c>
      <c r="S273" s="121">
        <f t="shared" si="238"/>
        <v>7.2438967635795981</v>
      </c>
      <c r="T273" s="121">
        <f t="shared" si="238"/>
        <v>7.2438967635795981</v>
      </c>
      <c r="U273" s="121">
        <f t="shared" si="238"/>
        <v>7.2438967635795981</v>
      </c>
      <c r="V273" s="121">
        <f t="shared" si="238"/>
        <v>7.2438967635795981</v>
      </c>
      <c r="W273" s="121">
        <f t="shared" si="238"/>
        <v>7.2438967635795981</v>
      </c>
      <c r="X273" s="121">
        <f t="shared" si="238"/>
        <v>7.2438967635795981</v>
      </c>
      <c r="Y273" s="121">
        <f t="shared" si="238"/>
        <v>7.2438967635795981</v>
      </c>
    </row>
    <row r="274" spans="5:25" x14ac:dyDescent="0.3">
      <c r="F274" s="28" t="s">
        <v>195</v>
      </c>
      <c r="G274" s="28" t="s">
        <v>285</v>
      </c>
      <c r="J274" s="121">
        <f t="shared" ref="J274:Y274" si="239">J231 * J$93</f>
        <v>11.861381636673123</v>
      </c>
      <c r="K274" s="121">
        <f t="shared" si="239"/>
        <v>11.861381636673123</v>
      </c>
      <c r="L274" s="121">
        <f t="shared" si="239"/>
        <v>10.374191705837417</v>
      </c>
      <c r="M274" s="121">
        <f t="shared" si="239"/>
        <v>10.374191705837417</v>
      </c>
      <c r="N274" s="121">
        <f t="shared" si="239"/>
        <v>8.816437231636451</v>
      </c>
      <c r="O274" s="121">
        <f t="shared" si="239"/>
        <v>8.2994456301244224</v>
      </c>
      <c r="P274" s="121">
        <f t="shared" si="239"/>
        <v>7.3910098524856842</v>
      </c>
      <c r="Q274" s="121">
        <f t="shared" si="239"/>
        <v>28.269641682128224</v>
      </c>
      <c r="R274" s="121">
        <f t="shared" si="239"/>
        <v>7.2438967635795981</v>
      </c>
      <c r="S274" s="121">
        <f t="shared" si="239"/>
        <v>7.2438967635795981</v>
      </c>
      <c r="T274" s="121">
        <f t="shared" si="239"/>
        <v>7.2438967635795981</v>
      </c>
      <c r="U274" s="121">
        <f t="shared" si="239"/>
        <v>7.2438967635795981</v>
      </c>
      <c r="V274" s="121">
        <f t="shared" si="239"/>
        <v>7.2438967635795981</v>
      </c>
      <c r="W274" s="121">
        <f t="shared" si="239"/>
        <v>7.2438967635795981</v>
      </c>
      <c r="X274" s="121">
        <f t="shared" si="239"/>
        <v>7.2438967635795981</v>
      </c>
      <c r="Y274" s="121">
        <f t="shared" si="239"/>
        <v>7.2438967635795981</v>
      </c>
    </row>
    <row r="275" spans="5:25" x14ac:dyDescent="0.3">
      <c r="F275" s="28" t="s">
        <v>196</v>
      </c>
      <c r="G275" s="28" t="s">
        <v>285</v>
      </c>
      <c r="J275" s="121">
        <f t="shared" ref="J275:Y275" si="240">J232 * J$93</f>
        <v>9.8622329948021186</v>
      </c>
      <c r="K275" s="121">
        <f t="shared" si="240"/>
        <v>9.8622329948021186</v>
      </c>
      <c r="L275" s="121">
        <f t="shared" si="240"/>
        <v>8.625697989463637</v>
      </c>
      <c r="M275" s="121">
        <f t="shared" si="240"/>
        <v>8.625697989463637</v>
      </c>
      <c r="N275" s="121">
        <f t="shared" si="240"/>
        <v>7.3304915755863416</v>
      </c>
      <c r="O275" s="121">
        <f t="shared" si="240"/>
        <v>6.9006351063615989</v>
      </c>
      <c r="P275" s="121">
        <f t="shared" si="240"/>
        <v>6.1453094980709633</v>
      </c>
      <c r="Q275" s="121">
        <f t="shared" si="240"/>
        <v>24.125295339028813</v>
      </c>
      <c r="R275" s="121">
        <f t="shared" si="240"/>
        <v>6.0229912383758988</v>
      </c>
      <c r="S275" s="121">
        <f t="shared" si="240"/>
        <v>6.0229912383758988</v>
      </c>
      <c r="T275" s="121">
        <f t="shared" si="240"/>
        <v>6.0229912383758988</v>
      </c>
      <c r="U275" s="121">
        <f t="shared" si="240"/>
        <v>6.0229912383758988</v>
      </c>
      <c r="V275" s="121">
        <f t="shared" si="240"/>
        <v>6.0229912383758988</v>
      </c>
      <c r="W275" s="121">
        <f t="shared" si="240"/>
        <v>6.0229912383758988</v>
      </c>
      <c r="X275" s="121">
        <f t="shared" si="240"/>
        <v>6.0229912383758988</v>
      </c>
      <c r="Y275" s="121">
        <f t="shared" si="240"/>
        <v>6.0229912383758988</v>
      </c>
    </row>
    <row r="276" spans="5:25" x14ac:dyDescent="0.3">
      <c r="F276" s="28" t="s">
        <v>197</v>
      </c>
      <c r="G276" s="28" t="s">
        <v>285</v>
      </c>
      <c r="J276" s="121">
        <f t="shared" ref="J276:Y276" si="241">J233 * J$93</f>
        <v>9.8622329948021186</v>
      </c>
      <c r="K276" s="121">
        <f t="shared" si="241"/>
        <v>9.8622329948021186</v>
      </c>
      <c r="L276" s="121">
        <f t="shared" si="241"/>
        <v>8.625697989463637</v>
      </c>
      <c r="M276" s="121">
        <f t="shared" si="241"/>
        <v>8.625697989463637</v>
      </c>
      <c r="N276" s="121">
        <f t="shared" si="241"/>
        <v>7.3304915755863416</v>
      </c>
      <c r="O276" s="121">
        <f t="shared" si="241"/>
        <v>6.9006351063615989</v>
      </c>
      <c r="P276" s="121">
        <f t="shared" si="241"/>
        <v>6.1453094980709633</v>
      </c>
      <c r="Q276" s="121">
        <f t="shared" si="241"/>
        <v>24.125295339028813</v>
      </c>
      <c r="R276" s="121">
        <f t="shared" si="241"/>
        <v>6.0229912383758988</v>
      </c>
      <c r="S276" s="121">
        <f t="shared" si="241"/>
        <v>6.0229912383758988</v>
      </c>
      <c r="T276" s="121">
        <f t="shared" si="241"/>
        <v>6.0229912383758988</v>
      </c>
      <c r="U276" s="121">
        <f t="shared" si="241"/>
        <v>6.0229912383758988</v>
      </c>
      <c r="V276" s="121">
        <f t="shared" si="241"/>
        <v>6.0229912383758988</v>
      </c>
      <c r="W276" s="121">
        <f t="shared" si="241"/>
        <v>6.0229912383758988</v>
      </c>
      <c r="X276" s="121">
        <f t="shared" si="241"/>
        <v>6.0229912383758988</v>
      </c>
      <c r="Y276" s="121">
        <f t="shared" si="241"/>
        <v>6.0229912383758988</v>
      </c>
    </row>
    <row r="277" spans="5:25" x14ac:dyDescent="0.3">
      <c r="F277" s="28" t="s">
        <v>198</v>
      </c>
      <c r="G277" s="28" t="s">
        <v>285</v>
      </c>
      <c r="J277" s="121">
        <f t="shared" ref="J277:Y277" si="242">J234 * J$93</f>
        <v>11.861381636673123</v>
      </c>
      <c r="K277" s="121">
        <f t="shared" si="242"/>
        <v>11.861381636673123</v>
      </c>
      <c r="L277" s="121">
        <f t="shared" si="242"/>
        <v>10.374191705837417</v>
      </c>
      <c r="M277" s="121">
        <f t="shared" si="242"/>
        <v>10.374191705837417</v>
      </c>
      <c r="N277" s="121">
        <f t="shared" si="242"/>
        <v>8.816437231636451</v>
      </c>
      <c r="O277" s="121">
        <f t="shared" si="242"/>
        <v>8.2994456301244224</v>
      </c>
      <c r="P277" s="121">
        <f t="shared" si="242"/>
        <v>7.3910098524856842</v>
      </c>
      <c r="Q277" s="121">
        <f t="shared" si="242"/>
        <v>28.269641682128224</v>
      </c>
      <c r="R277" s="121">
        <f t="shared" si="242"/>
        <v>7.2438967635795981</v>
      </c>
      <c r="S277" s="121">
        <f t="shared" si="242"/>
        <v>7.2438967635795981</v>
      </c>
      <c r="T277" s="121">
        <f t="shared" si="242"/>
        <v>7.2438967635795981</v>
      </c>
      <c r="U277" s="121">
        <f t="shared" si="242"/>
        <v>7.2438967635795981</v>
      </c>
      <c r="V277" s="121">
        <f t="shared" si="242"/>
        <v>7.2438967635795981</v>
      </c>
      <c r="W277" s="121">
        <f t="shared" si="242"/>
        <v>7.2438967635795981</v>
      </c>
      <c r="X277" s="121">
        <f t="shared" si="242"/>
        <v>7.2438967635795981</v>
      </c>
      <c r="Y277" s="121">
        <f t="shared" si="242"/>
        <v>7.2438967635795981</v>
      </c>
    </row>
    <row r="278" spans="5:25" x14ac:dyDescent="0.3">
      <c r="F278" s="28" t="s">
        <v>199</v>
      </c>
      <c r="G278" s="28" t="s">
        <v>285</v>
      </c>
      <c r="J278" s="121">
        <f t="shared" ref="J278:Y278" si="243">J235 * J$93</f>
        <v>9.8622329948021186</v>
      </c>
      <c r="K278" s="121">
        <f t="shared" si="243"/>
        <v>9.8622329948021186</v>
      </c>
      <c r="L278" s="121">
        <f t="shared" si="243"/>
        <v>8.625697989463637</v>
      </c>
      <c r="M278" s="121">
        <f t="shared" si="243"/>
        <v>8.625697989463637</v>
      </c>
      <c r="N278" s="121">
        <f t="shared" si="243"/>
        <v>7.3304915755863416</v>
      </c>
      <c r="O278" s="121">
        <f t="shared" si="243"/>
        <v>6.9006351063615989</v>
      </c>
      <c r="P278" s="121">
        <f t="shared" si="243"/>
        <v>6.1453094980709633</v>
      </c>
      <c r="Q278" s="121">
        <f t="shared" si="243"/>
        <v>24.125295339028813</v>
      </c>
      <c r="R278" s="121">
        <f t="shared" si="243"/>
        <v>6.0229912383758988</v>
      </c>
      <c r="S278" s="121">
        <f t="shared" si="243"/>
        <v>6.0229912383758988</v>
      </c>
      <c r="T278" s="121">
        <f t="shared" si="243"/>
        <v>6.0229912383758988</v>
      </c>
      <c r="U278" s="121">
        <f t="shared" si="243"/>
        <v>6.0229912383758988</v>
      </c>
      <c r="V278" s="121">
        <f t="shared" si="243"/>
        <v>6.0229912383758988</v>
      </c>
      <c r="W278" s="121">
        <f t="shared" si="243"/>
        <v>6.0229912383758988</v>
      </c>
      <c r="X278" s="121">
        <f t="shared" si="243"/>
        <v>6.0229912383758988</v>
      </c>
      <c r="Y278" s="121">
        <f t="shared" si="243"/>
        <v>6.0229912383758988</v>
      </c>
    </row>
    <row r="279" spans="5:25" x14ac:dyDescent="0.3">
      <c r="F279" s="28" t="s">
        <v>200</v>
      </c>
      <c r="G279" s="28" t="s">
        <v>285</v>
      </c>
      <c r="J279" s="121">
        <f t="shared" ref="J279:Y279" si="244">J236 * J$93</f>
        <v>9.8622329948021186</v>
      </c>
      <c r="K279" s="121">
        <f t="shared" si="244"/>
        <v>9.8622329948021186</v>
      </c>
      <c r="L279" s="121">
        <f t="shared" si="244"/>
        <v>8.625697989463637</v>
      </c>
      <c r="M279" s="121">
        <f t="shared" si="244"/>
        <v>8.625697989463637</v>
      </c>
      <c r="N279" s="121">
        <f t="shared" si="244"/>
        <v>7.3304915755863416</v>
      </c>
      <c r="O279" s="121">
        <f t="shared" si="244"/>
        <v>6.9006351063615989</v>
      </c>
      <c r="P279" s="121">
        <f t="shared" si="244"/>
        <v>6.1453094980709633</v>
      </c>
      <c r="Q279" s="121">
        <f t="shared" si="244"/>
        <v>24.125295339028813</v>
      </c>
      <c r="R279" s="121">
        <f t="shared" si="244"/>
        <v>6.0229912383758988</v>
      </c>
      <c r="S279" s="121">
        <f t="shared" si="244"/>
        <v>6.0229912383758988</v>
      </c>
      <c r="T279" s="121">
        <f t="shared" si="244"/>
        <v>6.0229912383758988</v>
      </c>
      <c r="U279" s="121">
        <f t="shared" si="244"/>
        <v>6.0229912383758988</v>
      </c>
      <c r="V279" s="121">
        <f t="shared" si="244"/>
        <v>6.0229912383758988</v>
      </c>
      <c r="W279" s="121">
        <f t="shared" si="244"/>
        <v>6.0229912383758988</v>
      </c>
      <c r="X279" s="121">
        <f t="shared" si="244"/>
        <v>6.0229912383758988</v>
      </c>
      <c r="Y279" s="121">
        <f t="shared" si="244"/>
        <v>6.0229912383758988</v>
      </c>
    </row>
    <row r="280" spans="5:25" x14ac:dyDescent="0.3">
      <c r="F280" s="67" t="s">
        <v>201</v>
      </c>
      <c r="G280" s="67" t="s">
        <v>285</v>
      </c>
      <c r="H280" s="37"/>
      <c r="I280" s="37"/>
      <c r="J280" s="131">
        <f t="shared" ref="J280:Y280" si="245">J237 * J$93</f>
        <v>9.8622329948021186</v>
      </c>
      <c r="K280" s="131">
        <f t="shared" si="245"/>
        <v>9.8622329948021186</v>
      </c>
      <c r="L280" s="131">
        <f t="shared" si="245"/>
        <v>8.625697989463637</v>
      </c>
      <c r="M280" s="131">
        <f t="shared" si="245"/>
        <v>8.625697989463637</v>
      </c>
      <c r="N280" s="131">
        <f t="shared" si="245"/>
        <v>7.3304915755863416</v>
      </c>
      <c r="O280" s="131">
        <f t="shared" si="245"/>
        <v>6.9006351063615989</v>
      </c>
      <c r="P280" s="131">
        <f t="shared" si="245"/>
        <v>6.1453094980709633</v>
      </c>
      <c r="Q280" s="131">
        <f t="shared" si="245"/>
        <v>24.125295339028813</v>
      </c>
      <c r="R280" s="131">
        <f t="shared" si="245"/>
        <v>6.0229912383758988</v>
      </c>
      <c r="S280" s="131">
        <f t="shared" si="245"/>
        <v>6.0229912383758988</v>
      </c>
      <c r="T280" s="131">
        <f t="shared" si="245"/>
        <v>6.0229912383758988</v>
      </c>
      <c r="U280" s="131">
        <f t="shared" si="245"/>
        <v>6.0229912383758988</v>
      </c>
      <c r="V280" s="131">
        <f t="shared" si="245"/>
        <v>6.0229912383758988</v>
      </c>
      <c r="W280" s="131">
        <f t="shared" si="245"/>
        <v>6.0229912383758988</v>
      </c>
      <c r="X280" s="131">
        <f t="shared" si="245"/>
        <v>6.0229912383758988</v>
      </c>
      <c r="Y280" s="131">
        <f t="shared" si="245"/>
        <v>6.0229912383758988</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159</v>
      </c>
      <c r="F282" s="28"/>
      <c r="G282" s="28"/>
      <c r="J282" s="89"/>
      <c r="K282" s="89"/>
      <c r="L282" s="89"/>
      <c r="M282" s="89"/>
      <c r="N282" s="89"/>
      <c r="O282" s="89"/>
      <c r="P282" s="89"/>
      <c r="Q282" s="89"/>
      <c r="R282" s="89"/>
      <c r="S282" s="89"/>
      <c r="T282" s="89"/>
      <c r="U282" s="89"/>
      <c r="V282" s="89"/>
      <c r="W282" s="89"/>
      <c r="X282" s="89"/>
      <c r="Y282" s="89"/>
    </row>
    <row r="283" spans="5:25" x14ac:dyDescent="0.3">
      <c r="F283" s="64" t="s">
        <v>193</v>
      </c>
      <c r="G283" s="64" t="s">
        <v>285</v>
      </c>
      <c r="H283" s="23"/>
      <c r="I283" s="23"/>
      <c r="J283" s="101">
        <f>J240 * J$93</f>
        <v>0.71286714529223738</v>
      </c>
      <c r="K283" s="101">
        <f t="shared" ref="K283:Y283" si="246">K240 * K$93</f>
        <v>0.71286714529223738</v>
      </c>
      <c r="L283" s="101">
        <f t="shared" si="246"/>
        <v>0.62348726755317441</v>
      </c>
      <c r="M283" s="101">
        <f t="shared" si="246"/>
        <v>0.62348726755317441</v>
      </c>
      <c r="N283" s="101">
        <f t="shared" si="246"/>
        <v>0.52986647200803438</v>
      </c>
      <c r="O283" s="101">
        <f t="shared" si="246"/>
        <v>0.49879535918164436</v>
      </c>
      <c r="P283" s="101">
        <f t="shared" si="246"/>
        <v>0.44419851377837155</v>
      </c>
      <c r="Q283" s="101">
        <f t="shared" si="246"/>
        <v>1.0940711204794933</v>
      </c>
      <c r="R283" s="101">
        <f t="shared" si="246"/>
        <v>0.4353570405895012</v>
      </c>
      <c r="S283" s="101">
        <f t="shared" si="246"/>
        <v>0.4353570405895012</v>
      </c>
      <c r="T283" s="101">
        <f t="shared" si="246"/>
        <v>0.4353570405895012</v>
      </c>
      <c r="U283" s="101">
        <f t="shared" si="246"/>
        <v>0.4353570405895012</v>
      </c>
      <c r="V283" s="101">
        <f t="shared" si="246"/>
        <v>0.4353570405895012</v>
      </c>
      <c r="W283" s="101">
        <f t="shared" si="246"/>
        <v>0.4353570405895012</v>
      </c>
      <c r="X283" s="101">
        <f t="shared" si="246"/>
        <v>0.4353570405895012</v>
      </c>
      <c r="Y283" s="101">
        <f t="shared" si="246"/>
        <v>0.4353570405895012</v>
      </c>
    </row>
    <row r="284" spans="5:25" x14ac:dyDescent="0.3">
      <c r="F284" s="28" t="s">
        <v>194</v>
      </c>
      <c r="G284" s="28" t="s">
        <v>285</v>
      </c>
      <c r="J284" s="121">
        <f t="shared" ref="J284:Y284" si="247">J241 * J$93</f>
        <v>1.6235578587856365</v>
      </c>
      <c r="K284" s="121">
        <f t="shared" si="247"/>
        <v>1.6235578587856365</v>
      </c>
      <c r="L284" s="121">
        <f t="shared" si="247"/>
        <v>1.4199948191942044</v>
      </c>
      <c r="M284" s="121">
        <f t="shared" si="247"/>
        <v>1.4199948191942044</v>
      </c>
      <c r="N284" s="121">
        <f t="shared" si="247"/>
        <v>1.2067730718365477</v>
      </c>
      <c r="O284" s="121">
        <f t="shared" si="247"/>
        <v>1.136008484432508</v>
      </c>
      <c r="P284" s="121">
        <f t="shared" si="247"/>
        <v>1.0116639442123947</v>
      </c>
      <c r="Q284" s="121">
        <f t="shared" si="247"/>
        <v>1.4016836955203626</v>
      </c>
      <c r="R284" s="121">
        <f t="shared" si="247"/>
        <v>0.99152745261809017</v>
      </c>
      <c r="S284" s="121">
        <f t="shared" si="247"/>
        <v>0.99152745261809017</v>
      </c>
      <c r="T284" s="121">
        <f t="shared" si="247"/>
        <v>0.99152745261809017</v>
      </c>
      <c r="U284" s="121">
        <f t="shared" si="247"/>
        <v>0.99152745261809017</v>
      </c>
      <c r="V284" s="121">
        <f t="shared" si="247"/>
        <v>0.99152745261809017</v>
      </c>
      <c r="W284" s="121">
        <f t="shared" si="247"/>
        <v>0.99152745261809017</v>
      </c>
      <c r="X284" s="121">
        <f t="shared" si="247"/>
        <v>0.99152745261809017</v>
      </c>
      <c r="Y284" s="121">
        <f t="shared" si="247"/>
        <v>0.99152745261809017</v>
      </c>
    </row>
    <row r="285" spans="5:25" x14ac:dyDescent="0.3">
      <c r="F285" s="28" t="s">
        <v>195</v>
      </c>
      <c r="G285" s="28" t="s">
        <v>285</v>
      </c>
      <c r="J285" s="121">
        <f t="shared" ref="J285:Y285" si="248">J242 * J$93</f>
        <v>1.6235578587856365</v>
      </c>
      <c r="K285" s="121">
        <f t="shared" si="248"/>
        <v>1.6235578587856365</v>
      </c>
      <c r="L285" s="121">
        <f t="shared" si="248"/>
        <v>1.4199948191942044</v>
      </c>
      <c r="M285" s="121">
        <f t="shared" si="248"/>
        <v>1.4199948191942044</v>
      </c>
      <c r="N285" s="121">
        <f t="shared" si="248"/>
        <v>1.2067730718365477</v>
      </c>
      <c r="O285" s="121">
        <f t="shared" si="248"/>
        <v>1.136008484432508</v>
      </c>
      <c r="P285" s="121">
        <f t="shared" si="248"/>
        <v>1.0116639442123947</v>
      </c>
      <c r="Q285" s="121">
        <f t="shared" si="248"/>
        <v>1.4016836955203626</v>
      </c>
      <c r="R285" s="121">
        <f t="shared" si="248"/>
        <v>0.99152745261809017</v>
      </c>
      <c r="S285" s="121">
        <f t="shared" si="248"/>
        <v>0.99152745261809017</v>
      </c>
      <c r="T285" s="121">
        <f t="shared" si="248"/>
        <v>0.99152745261809017</v>
      </c>
      <c r="U285" s="121">
        <f t="shared" si="248"/>
        <v>0.99152745261809017</v>
      </c>
      <c r="V285" s="121">
        <f t="shared" si="248"/>
        <v>0.99152745261809017</v>
      </c>
      <c r="W285" s="121">
        <f t="shared" si="248"/>
        <v>0.99152745261809017</v>
      </c>
      <c r="X285" s="121">
        <f t="shared" si="248"/>
        <v>0.99152745261809017</v>
      </c>
      <c r="Y285" s="121">
        <f t="shared" si="248"/>
        <v>0.99152745261809017</v>
      </c>
    </row>
    <row r="286" spans="5:25" x14ac:dyDescent="0.3">
      <c r="F286" s="28" t="s">
        <v>196</v>
      </c>
      <c r="G286" s="28" t="s">
        <v>285</v>
      </c>
      <c r="J286" s="121">
        <f t="shared" ref="J286:Y286" si="249">J243 * J$93</f>
        <v>2.1099819033762928</v>
      </c>
      <c r="K286" s="121">
        <f t="shared" si="249"/>
        <v>2.1099819033762928</v>
      </c>
      <c r="L286" s="121">
        <f t="shared" si="249"/>
        <v>1.8454306110340197</v>
      </c>
      <c r="M286" s="121">
        <f t="shared" si="249"/>
        <v>1.8454306110340197</v>
      </c>
      <c r="N286" s="121">
        <f t="shared" si="249"/>
        <v>1.5683268257291756</v>
      </c>
      <c r="O286" s="121">
        <f t="shared" si="249"/>
        <v>1.4763609016234012</v>
      </c>
      <c r="P286" s="121">
        <f t="shared" si="249"/>
        <v>1.3147622691950351</v>
      </c>
      <c r="Q286" s="121">
        <f t="shared" si="249"/>
        <v>1.6676484460892242</v>
      </c>
      <c r="R286" s="121">
        <f t="shared" si="249"/>
        <v>1.2885928089373944</v>
      </c>
      <c r="S286" s="121">
        <f t="shared" si="249"/>
        <v>1.2885928089373944</v>
      </c>
      <c r="T286" s="121">
        <f t="shared" si="249"/>
        <v>1.2885928089373944</v>
      </c>
      <c r="U286" s="121">
        <f t="shared" si="249"/>
        <v>1.2885928089373944</v>
      </c>
      <c r="V286" s="121">
        <f t="shared" si="249"/>
        <v>1.2885928089373944</v>
      </c>
      <c r="W286" s="121">
        <f t="shared" si="249"/>
        <v>1.2885928089373944</v>
      </c>
      <c r="X286" s="121">
        <f t="shared" si="249"/>
        <v>1.2885928089373944</v>
      </c>
      <c r="Y286" s="121">
        <f t="shared" si="249"/>
        <v>1.2885928089373944</v>
      </c>
    </row>
    <row r="287" spans="5:25" x14ac:dyDescent="0.3">
      <c r="F287" s="28" t="s">
        <v>197</v>
      </c>
      <c r="G287" s="28" t="s">
        <v>285</v>
      </c>
      <c r="J287" s="121">
        <f t="shared" ref="J287:Y287" si="250">J244 * J$93</f>
        <v>2.1099819033762928</v>
      </c>
      <c r="K287" s="121">
        <f t="shared" si="250"/>
        <v>2.1099819033762928</v>
      </c>
      <c r="L287" s="121">
        <f t="shared" si="250"/>
        <v>1.8454306110340197</v>
      </c>
      <c r="M287" s="121">
        <f t="shared" si="250"/>
        <v>1.8454306110340197</v>
      </c>
      <c r="N287" s="121">
        <f t="shared" si="250"/>
        <v>1.5683268257291756</v>
      </c>
      <c r="O287" s="121">
        <f t="shared" si="250"/>
        <v>1.4763609016234012</v>
      </c>
      <c r="P287" s="121">
        <f t="shared" si="250"/>
        <v>1.3147622691950351</v>
      </c>
      <c r="Q287" s="121">
        <f t="shared" si="250"/>
        <v>1.6676484460892242</v>
      </c>
      <c r="R287" s="121">
        <f t="shared" si="250"/>
        <v>1.2885928089373944</v>
      </c>
      <c r="S287" s="121">
        <f t="shared" si="250"/>
        <v>1.2885928089373944</v>
      </c>
      <c r="T287" s="121">
        <f t="shared" si="250"/>
        <v>1.2885928089373944</v>
      </c>
      <c r="U287" s="121">
        <f t="shared" si="250"/>
        <v>1.2885928089373944</v>
      </c>
      <c r="V287" s="121">
        <f t="shared" si="250"/>
        <v>1.2885928089373944</v>
      </c>
      <c r="W287" s="121">
        <f t="shared" si="250"/>
        <v>1.2885928089373944</v>
      </c>
      <c r="X287" s="121">
        <f t="shared" si="250"/>
        <v>1.2885928089373944</v>
      </c>
      <c r="Y287" s="121">
        <f t="shared" si="250"/>
        <v>1.2885928089373944</v>
      </c>
    </row>
    <row r="288" spans="5:25" x14ac:dyDescent="0.3">
      <c r="F288" s="28" t="s">
        <v>198</v>
      </c>
      <c r="G288" s="28" t="s">
        <v>285</v>
      </c>
      <c r="J288" s="121">
        <f t="shared" ref="J288:Y288" si="251">J245 * J$93</f>
        <v>1.6235578587856365</v>
      </c>
      <c r="K288" s="121">
        <f t="shared" si="251"/>
        <v>1.6235578587856365</v>
      </c>
      <c r="L288" s="121">
        <f t="shared" si="251"/>
        <v>1.4199948191942044</v>
      </c>
      <c r="M288" s="121">
        <f t="shared" si="251"/>
        <v>1.4199948191942044</v>
      </c>
      <c r="N288" s="121">
        <f t="shared" si="251"/>
        <v>1.2067730718365477</v>
      </c>
      <c r="O288" s="121">
        <f t="shared" si="251"/>
        <v>1.136008484432508</v>
      </c>
      <c r="P288" s="121">
        <f t="shared" si="251"/>
        <v>1.0116639442123947</v>
      </c>
      <c r="Q288" s="121">
        <f t="shared" si="251"/>
        <v>1.4016836955203626</v>
      </c>
      <c r="R288" s="121">
        <f t="shared" si="251"/>
        <v>0.99152745261809017</v>
      </c>
      <c r="S288" s="121">
        <f t="shared" si="251"/>
        <v>0.99152745261809017</v>
      </c>
      <c r="T288" s="121">
        <f t="shared" si="251"/>
        <v>0.99152745261809017</v>
      </c>
      <c r="U288" s="121">
        <f t="shared" si="251"/>
        <v>0.99152745261809017</v>
      </c>
      <c r="V288" s="121">
        <f t="shared" si="251"/>
        <v>0.99152745261809017</v>
      </c>
      <c r="W288" s="121">
        <f t="shared" si="251"/>
        <v>0.99152745261809017</v>
      </c>
      <c r="X288" s="121">
        <f t="shared" si="251"/>
        <v>0.99152745261809017</v>
      </c>
      <c r="Y288" s="121">
        <f t="shared" si="251"/>
        <v>0.99152745261809017</v>
      </c>
    </row>
    <row r="289" spans="2:27" x14ac:dyDescent="0.3">
      <c r="F289" s="28" t="s">
        <v>199</v>
      </c>
      <c r="G289" s="28" t="s">
        <v>285</v>
      </c>
      <c r="J289" s="121">
        <f t="shared" ref="J289:Y289" si="252">J246 * J$93</f>
        <v>2.1099819033762928</v>
      </c>
      <c r="K289" s="121">
        <f t="shared" si="252"/>
        <v>2.1099819033762928</v>
      </c>
      <c r="L289" s="121">
        <f t="shared" si="252"/>
        <v>1.8454306110340197</v>
      </c>
      <c r="M289" s="121">
        <f t="shared" si="252"/>
        <v>1.8454306110340197</v>
      </c>
      <c r="N289" s="121">
        <f t="shared" si="252"/>
        <v>1.5683268257291756</v>
      </c>
      <c r="O289" s="121">
        <f t="shared" si="252"/>
        <v>1.4763609016234012</v>
      </c>
      <c r="P289" s="121">
        <f t="shared" si="252"/>
        <v>1.3147622691950351</v>
      </c>
      <c r="Q289" s="121">
        <f t="shared" si="252"/>
        <v>1.6676484460892242</v>
      </c>
      <c r="R289" s="121">
        <f t="shared" si="252"/>
        <v>1.2885928089373944</v>
      </c>
      <c r="S289" s="121">
        <f t="shared" si="252"/>
        <v>1.2885928089373944</v>
      </c>
      <c r="T289" s="121">
        <f t="shared" si="252"/>
        <v>1.2885928089373944</v>
      </c>
      <c r="U289" s="121">
        <f t="shared" si="252"/>
        <v>1.2885928089373944</v>
      </c>
      <c r="V289" s="121">
        <f t="shared" si="252"/>
        <v>1.2885928089373944</v>
      </c>
      <c r="W289" s="121">
        <f t="shared" si="252"/>
        <v>1.2885928089373944</v>
      </c>
      <c r="X289" s="121">
        <f t="shared" si="252"/>
        <v>1.2885928089373944</v>
      </c>
      <c r="Y289" s="121">
        <f t="shared" si="252"/>
        <v>1.2885928089373944</v>
      </c>
    </row>
    <row r="290" spans="2:27" x14ac:dyDescent="0.3">
      <c r="F290" s="28" t="s">
        <v>200</v>
      </c>
      <c r="G290" s="28" t="s">
        <v>285</v>
      </c>
      <c r="J290" s="121">
        <f t="shared" ref="J290:Y290" si="253">J247 * J$93</f>
        <v>2.1099819033762928</v>
      </c>
      <c r="K290" s="121">
        <f t="shared" si="253"/>
        <v>2.1099819033762928</v>
      </c>
      <c r="L290" s="121">
        <f t="shared" si="253"/>
        <v>1.8454306110340197</v>
      </c>
      <c r="M290" s="121">
        <f t="shared" si="253"/>
        <v>1.8454306110340197</v>
      </c>
      <c r="N290" s="121">
        <f t="shared" si="253"/>
        <v>1.5683268257291756</v>
      </c>
      <c r="O290" s="121">
        <f t="shared" si="253"/>
        <v>1.4763609016234012</v>
      </c>
      <c r="P290" s="121">
        <f t="shared" si="253"/>
        <v>1.3147622691950351</v>
      </c>
      <c r="Q290" s="121">
        <f t="shared" si="253"/>
        <v>1.6676484460892242</v>
      </c>
      <c r="R290" s="121">
        <f t="shared" si="253"/>
        <v>1.2885928089373944</v>
      </c>
      <c r="S290" s="121">
        <f t="shared" si="253"/>
        <v>1.2885928089373944</v>
      </c>
      <c r="T290" s="121">
        <f t="shared" si="253"/>
        <v>1.2885928089373944</v>
      </c>
      <c r="U290" s="121">
        <f t="shared" si="253"/>
        <v>1.2885928089373944</v>
      </c>
      <c r="V290" s="121">
        <f t="shared" si="253"/>
        <v>1.2885928089373944</v>
      </c>
      <c r="W290" s="121">
        <f t="shared" si="253"/>
        <v>1.2885928089373944</v>
      </c>
      <c r="X290" s="121">
        <f t="shared" si="253"/>
        <v>1.2885928089373944</v>
      </c>
      <c r="Y290" s="121">
        <f t="shared" si="253"/>
        <v>1.2885928089373944</v>
      </c>
    </row>
    <row r="291" spans="2:27" x14ac:dyDescent="0.3">
      <c r="F291" s="67" t="s">
        <v>201</v>
      </c>
      <c r="G291" s="67" t="s">
        <v>285</v>
      </c>
      <c r="H291" s="37"/>
      <c r="I291" s="37"/>
      <c r="J291" s="131">
        <f t="shared" ref="J291:Y291" si="254">J248 * J$93</f>
        <v>2.1099819033762928</v>
      </c>
      <c r="K291" s="131">
        <f t="shared" si="254"/>
        <v>2.1099819033762928</v>
      </c>
      <c r="L291" s="131">
        <f t="shared" si="254"/>
        <v>1.8454306110340197</v>
      </c>
      <c r="M291" s="131">
        <f t="shared" si="254"/>
        <v>1.8454306110340197</v>
      </c>
      <c r="N291" s="131">
        <f t="shared" si="254"/>
        <v>1.5683268257291756</v>
      </c>
      <c r="O291" s="131">
        <f t="shared" si="254"/>
        <v>1.4763609016234012</v>
      </c>
      <c r="P291" s="131">
        <f t="shared" si="254"/>
        <v>1.3147622691950351</v>
      </c>
      <c r="Q291" s="131">
        <f t="shared" si="254"/>
        <v>1.6676484460892242</v>
      </c>
      <c r="R291" s="131">
        <f t="shared" si="254"/>
        <v>1.2885928089373944</v>
      </c>
      <c r="S291" s="131">
        <f t="shared" si="254"/>
        <v>1.2885928089373944</v>
      </c>
      <c r="T291" s="131">
        <f t="shared" si="254"/>
        <v>1.2885928089373944</v>
      </c>
      <c r="U291" s="131">
        <f t="shared" si="254"/>
        <v>1.2885928089373944</v>
      </c>
      <c r="V291" s="131">
        <f t="shared" si="254"/>
        <v>1.2885928089373944</v>
      </c>
      <c r="W291" s="131">
        <f t="shared" si="254"/>
        <v>1.2885928089373944</v>
      </c>
      <c r="X291" s="131">
        <f t="shared" si="254"/>
        <v>1.2885928089373944</v>
      </c>
      <c r="Y291" s="131">
        <f t="shared" si="254"/>
        <v>1.2885928089373944</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160</v>
      </c>
      <c r="F293" s="28"/>
      <c r="G293" s="28"/>
      <c r="J293" s="89"/>
      <c r="K293" s="89"/>
      <c r="L293" s="89"/>
      <c r="M293" s="89"/>
      <c r="N293" s="89"/>
      <c r="O293" s="89"/>
      <c r="P293" s="89"/>
      <c r="Q293" s="89"/>
      <c r="R293" s="89"/>
      <c r="S293" s="89"/>
      <c r="T293" s="89"/>
      <c r="U293" s="89"/>
      <c r="V293" s="89"/>
      <c r="W293" s="89"/>
      <c r="X293" s="89"/>
      <c r="Y293" s="89"/>
    </row>
    <row r="294" spans="2:27" x14ac:dyDescent="0.3">
      <c r="F294" s="64" t="s">
        <v>193</v>
      </c>
      <c r="G294" s="64" t="s">
        <v>285</v>
      </c>
      <c r="H294" s="23"/>
      <c r="I294" s="23"/>
      <c r="J294" s="101">
        <f>J251 * J$93</f>
        <v>0</v>
      </c>
      <c r="K294" s="101">
        <f t="shared" ref="K294:Y294" si="255">K251 * K$93</f>
        <v>0</v>
      </c>
      <c r="L294" s="101">
        <f t="shared" si="255"/>
        <v>0</v>
      </c>
      <c r="M294" s="101">
        <f t="shared" si="255"/>
        <v>0</v>
      </c>
      <c r="N294" s="101">
        <f t="shared" si="255"/>
        <v>0</v>
      </c>
      <c r="O294" s="101">
        <f t="shared" si="255"/>
        <v>0</v>
      </c>
      <c r="P294" s="101">
        <f t="shared" si="255"/>
        <v>0</v>
      </c>
      <c r="Q294" s="101">
        <f t="shared" si="255"/>
        <v>0</v>
      </c>
      <c r="R294" s="101">
        <f t="shared" si="255"/>
        <v>0</v>
      </c>
      <c r="S294" s="101">
        <f t="shared" si="255"/>
        <v>0</v>
      </c>
      <c r="T294" s="101">
        <f t="shared" si="255"/>
        <v>0</v>
      </c>
      <c r="U294" s="101">
        <f t="shared" si="255"/>
        <v>0</v>
      </c>
      <c r="V294" s="101">
        <f t="shared" si="255"/>
        <v>0</v>
      </c>
      <c r="W294" s="101">
        <f t="shared" si="255"/>
        <v>0</v>
      </c>
      <c r="X294" s="101">
        <f t="shared" si="255"/>
        <v>0</v>
      </c>
      <c r="Y294" s="101">
        <f t="shared" si="255"/>
        <v>0</v>
      </c>
    </row>
    <row r="295" spans="2:27" x14ac:dyDescent="0.3">
      <c r="F295" s="28" t="s">
        <v>194</v>
      </c>
      <c r="G295" s="28" t="s">
        <v>285</v>
      </c>
      <c r="J295" s="121">
        <f t="shared" ref="J295:Y295" si="256">J252 * J$93</f>
        <v>0.11593126124259819</v>
      </c>
      <c r="K295" s="121">
        <f t="shared" si="256"/>
        <v>0.11593126124259819</v>
      </c>
      <c r="L295" s="121">
        <f t="shared" si="256"/>
        <v>0.10139570293495453</v>
      </c>
      <c r="M295" s="121">
        <f t="shared" si="256"/>
        <v>0.10139570293495453</v>
      </c>
      <c r="N295" s="121">
        <f t="shared" si="256"/>
        <v>8.6170457981865678E-2</v>
      </c>
      <c r="O295" s="121">
        <f t="shared" si="256"/>
        <v>8.1117464135869594E-2</v>
      </c>
      <c r="P295" s="121">
        <f t="shared" si="256"/>
        <v>7.2238557050210858E-2</v>
      </c>
      <c r="Q295" s="121">
        <f t="shared" si="256"/>
        <v>0.10018276583196245</v>
      </c>
      <c r="R295" s="121">
        <f t="shared" si="256"/>
        <v>7.0800697071956201E-2</v>
      </c>
      <c r="S295" s="121">
        <f t="shared" si="256"/>
        <v>7.0800697071956201E-2</v>
      </c>
      <c r="T295" s="121">
        <f t="shared" si="256"/>
        <v>7.0800697071956201E-2</v>
      </c>
      <c r="U295" s="121">
        <f t="shared" si="256"/>
        <v>7.0800697071956201E-2</v>
      </c>
      <c r="V295" s="121">
        <f t="shared" si="256"/>
        <v>7.0800697071956201E-2</v>
      </c>
      <c r="W295" s="121">
        <f t="shared" si="256"/>
        <v>7.0800697071956201E-2</v>
      </c>
      <c r="X295" s="121">
        <f t="shared" si="256"/>
        <v>7.0800697071956201E-2</v>
      </c>
      <c r="Y295" s="121">
        <f t="shared" si="256"/>
        <v>7.0800697071956201E-2</v>
      </c>
    </row>
    <row r="296" spans="2:27" x14ac:dyDescent="0.3">
      <c r="F296" s="28" t="s">
        <v>195</v>
      </c>
      <c r="G296" s="28" t="s">
        <v>285</v>
      </c>
      <c r="J296" s="121">
        <f t="shared" ref="J296:Y296" si="257">J253 * J$93</f>
        <v>0.11593126124259819</v>
      </c>
      <c r="K296" s="121">
        <f t="shared" si="257"/>
        <v>0.11593126124259819</v>
      </c>
      <c r="L296" s="121">
        <f t="shared" si="257"/>
        <v>0.10139570293495453</v>
      </c>
      <c r="M296" s="121">
        <f t="shared" si="257"/>
        <v>0.10139570293495453</v>
      </c>
      <c r="N296" s="121">
        <f t="shared" si="257"/>
        <v>8.6170457981865678E-2</v>
      </c>
      <c r="O296" s="121">
        <f t="shared" si="257"/>
        <v>8.1117464135869594E-2</v>
      </c>
      <c r="P296" s="121">
        <f t="shared" si="257"/>
        <v>7.2238557050210858E-2</v>
      </c>
      <c r="Q296" s="121">
        <f t="shared" si="257"/>
        <v>0.10018276583196245</v>
      </c>
      <c r="R296" s="121">
        <f t="shared" si="257"/>
        <v>7.0800697071956201E-2</v>
      </c>
      <c r="S296" s="121">
        <f t="shared" si="257"/>
        <v>7.0800697071956201E-2</v>
      </c>
      <c r="T296" s="121">
        <f t="shared" si="257"/>
        <v>7.0800697071956201E-2</v>
      </c>
      <c r="U296" s="121">
        <f t="shared" si="257"/>
        <v>7.0800697071956201E-2</v>
      </c>
      <c r="V296" s="121">
        <f t="shared" si="257"/>
        <v>7.0800697071956201E-2</v>
      </c>
      <c r="W296" s="121">
        <f t="shared" si="257"/>
        <v>7.0800697071956201E-2</v>
      </c>
      <c r="X296" s="121">
        <f t="shared" si="257"/>
        <v>7.0800697071956201E-2</v>
      </c>
      <c r="Y296" s="121">
        <f t="shared" si="257"/>
        <v>7.0800697071956201E-2</v>
      </c>
    </row>
    <row r="297" spans="2:27" x14ac:dyDescent="0.3">
      <c r="F297" s="28" t="s">
        <v>196</v>
      </c>
      <c r="G297" s="28" t="s">
        <v>285</v>
      </c>
      <c r="J297" s="121">
        <f t="shared" ref="J297:Y297" si="258">J254 * J$93</f>
        <v>0.16029071744126216</v>
      </c>
      <c r="K297" s="121">
        <f t="shared" si="258"/>
        <v>0.16029071744126216</v>
      </c>
      <c r="L297" s="121">
        <f t="shared" si="258"/>
        <v>0.14019333348659346</v>
      </c>
      <c r="M297" s="121">
        <f t="shared" si="258"/>
        <v>0.14019333348659346</v>
      </c>
      <c r="N297" s="121">
        <f t="shared" si="258"/>
        <v>0.11914236405357193</v>
      </c>
      <c r="O297" s="121">
        <f t="shared" si="258"/>
        <v>0.11215591363355887</v>
      </c>
      <c r="P297" s="121">
        <f t="shared" si="258"/>
        <v>9.9879618425518818E-2</v>
      </c>
      <c r="Q297" s="121">
        <f t="shared" si="258"/>
        <v>0.13851628316931211</v>
      </c>
      <c r="R297" s="121">
        <f t="shared" si="258"/>
        <v>9.7891581678362052E-2</v>
      </c>
      <c r="S297" s="121">
        <f t="shared" si="258"/>
        <v>9.7891581678362052E-2</v>
      </c>
      <c r="T297" s="121">
        <f t="shared" si="258"/>
        <v>9.7891581678362052E-2</v>
      </c>
      <c r="U297" s="121">
        <f t="shared" si="258"/>
        <v>9.7891581678362052E-2</v>
      </c>
      <c r="V297" s="121">
        <f t="shared" si="258"/>
        <v>9.7891581678362052E-2</v>
      </c>
      <c r="W297" s="121">
        <f t="shared" si="258"/>
        <v>9.7891581678362052E-2</v>
      </c>
      <c r="X297" s="121">
        <f t="shared" si="258"/>
        <v>9.7891581678362052E-2</v>
      </c>
      <c r="Y297" s="121">
        <f t="shared" si="258"/>
        <v>9.7891581678362052E-2</v>
      </c>
    </row>
    <row r="298" spans="2:27" x14ac:dyDescent="0.3">
      <c r="F298" s="28" t="s">
        <v>197</v>
      </c>
      <c r="G298" s="28" t="s">
        <v>285</v>
      </c>
      <c r="J298" s="121">
        <f t="shared" ref="J298:Y298" si="259">J255 * J$93</f>
        <v>0.16029071744126216</v>
      </c>
      <c r="K298" s="121">
        <f t="shared" si="259"/>
        <v>0.16029071744126216</v>
      </c>
      <c r="L298" s="121">
        <f t="shared" si="259"/>
        <v>0.14019333348659346</v>
      </c>
      <c r="M298" s="121">
        <f t="shared" si="259"/>
        <v>0.14019333348659346</v>
      </c>
      <c r="N298" s="121">
        <f t="shared" si="259"/>
        <v>0.11914236405357193</v>
      </c>
      <c r="O298" s="121">
        <f t="shared" si="259"/>
        <v>0.11215591363355887</v>
      </c>
      <c r="P298" s="121">
        <f t="shared" si="259"/>
        <v>9.9879618425518818E-2</v>
      </c>
      <c r="Q298" s="121">
        <f t="shared" si="259"/>
        <v>0.13851628316931211</v>
      </c>
      <c r="R298" s="121">
        <f t="shared" si="259"/>
        <v>9.7891581678362052E-2</v>
      </c>
      <c r="S298" s="121">
        <f t="shared" si="259"/>
        <v>9.7891581678362052E-2</v>
      </c>
      <c r="T298" s="121">
        <f t="shared" si="259"/>
        <v>9.7891581678362052E-2</v>
      </c>
      <c r="U298" s="121">
        <f t="shared" si="259"/>
        <v>9.7891581678362052E-2</v>
      </c>
      <c r="V298" s="121">
        <f t="shared" si="259"/>
        <v>9.7891581678362052E-2</v>
      </c>
      <c r="W298" s="121">
        <f t="shared" si="259"/>
        <v>9.7891581678362052E-2</v>
      </c>
      <c r="X298" s="121">
        <f t="shared" si="259"/>
        <v>9.7891581678362052E-2</v>
      </c>
      <c r="Y298" s="121">
        <f t="shared" si="259"/>
        <v>9.7891581678362052E-2</v>
      </c>
    </row>
    <row r="299" spans="2:27" x14ac:dyDescent="0.3">
      <c r="F299" s="28" t="s">
        <v>198</v>
      </c>
      <c r="G299" s="28" t="s">
        <v>285</v>
      </c>
      <c r="J299" s="121">
        <f t="shared" ref="J299:Y299" si="260">J256 * J$93</f>
        <v>0.11593126124259819</v>
      </c>
      <c r="K299" s="121">
        <f t="shared" si="260"/>
        <v>0.11593126124259819</v>
      </c>
      <c r="L299" s="121">
        <f t="shared" si="260"/>
        <v>0.10139570293495453</v>
      </c>
      <c r="M299" s="121">
        <f t="shared" si="260"/>
        <v>0.10139570293495453</v>
      </c>
      <c r="N299" s="121">
        <f t="shared" si="260"/>
        <v>8.6170457981865678E-2</v>
      </c>
      <c r="O299" s="121">
        <f t="shared" si="260"/>
        <v>8.1117464135869594E-2</v>
      </c>
      <c r="P299" s="121">
        <f t="shared" si="260"/>
        <v>7.2238557050210858E-2</v>
      </c>
      <c r="Q299" s="121">
        <f t="shared" si="260"/>
        <v>0.10018276583196245</v>
      </c>
      <c r="R299" s="121">
        <f t="shared" si="260"/>
        <v>7.0800697071956201E-2</v>
      </c>
      <c r="S299" s="121">
        <f t="shared" si="260"/>
        <v>7.0800697071956201E-2</v>
      </c>
      <c r="T299" s="121">
        <f t="shared" si="260"/>
        <v>7.0800697071956201E-2</v>
      </c>
      <c r="U299" s="121">
        <f t="shared" si="260"/>
        <v>7.0800697071956201E-2</v>
      </c>
      <c r="V299" s="121">
        <f t="shared" si="260"/>
        <v>7.0800697071956201E-2</v>
      </c>
      <c r="W299" s="121">
        <f t="shared" si="260"/>
        <v>7.0800697071956201E-2</v>
      </c>
      <c r="X299" s="121">
        <f t="shared" si="260"/>
        <v>7.0800697071956201E-2</v>
      </c>
      <c r="Y299" s="121">
        <f t="shared" si="260"/>
        <v>7.0800697071956201E-2</v>
      </c>
    </row>
    <row r="300" spans="2:27" x14ac:dyDescent="0.3">
      <c r="F300" s="28" t="s">
        <v>199</v>
      </c>
      <c r="G300" s="28" t="s">
        <v>285</v>
      </c>
      <c r="J300" s="121">
        <f t="shared" ref="J300:Y300" si="261">J257 * J$93</f>
        <v>0.16029071744126216</v>
      </c>
      <c r="K300" s="121">
        <f t="shared" si="261"/>
        <v>0.16029071744126216</v>
      </c>
      <c r="L300" s="121">
        <f t="shared" si="261"/>
        <v>0.14019333348659346</v>
      </c>
      <c r="M300" s="121">
        <f t="shared" si="261"/>
        <v>0.14019333348659346</v>
      </c>
      <c r="N300" s="121">
        <f t="shared" si="261"/>
        <v>0.11914236405357193</v>
      </c>
      <c r="O300" s="121">
        <f t="shared" si="261"/>
        <v>0.11215591363355887</v>
      </c>
      <c r="P300" s="121">
        <f t="shared" si="261"/>
        <v>9.9879618425518818E-2</v>
      </c>
      <c r="Q300" s="121">
        <f t="shared" si="261"/>
        <v>0.13851628316931211</v>
      </c>
      <c r="R300" s="121">
        <f t="shared" si="261"/>
        <v>9.7891581678362052E-2</v>
      </c>
      <c r="S300" s="121">
        <f t="shared" si="261"/>
        <v>9.7891581678362052E-2</v>
      </c>
      <c r="T300" s="121">
        <f t="shared" si="261"/>
        <v>9.7891581678362052E-2</v>
      </c>
      <c r="U300" s="121">
        <f t="shared" si="261"/>
        <v>9.7891581678362052E-2</v>
      </c>
      <c r="V300" s="121">
        <f t="shared" si="261"/>
        <v>9.7891581678362052E-2</v>
      </c>
      <c r="W300" s="121">
        <f t="shared" si="261"/>
        <v>9.7891581678362052E-2</v>
      </c>
      <c r="X300" s="121">
        <f t="shared" si="261"/>
        <v>9.7891581678362052E-2</v>
      </c>
      <c r="Y300" s="121">
        <f t="shared" si="261"/>
        <v>9.7891581678362052E-2</v>
      </c>
    </row>
    <row r="301" spans="2:27" x14ac:dyDescent="0.3">
      <c r="F301" s="28" t="s">
        <v>200</v>
      </c>
      <c r="G301" s="28" t="s">
        <v>285</v>
      </c>
      <c r="J301" s="121">
        <f t="shared" ref="J301:Y301" si="262">J258 * J$93</f>
        <v>0.16029071744126216</v>
      </c>
      <c r="K301" s="121">
        <f t="shared" si="262"/>
        <v>0.16029071744126216</v>
      </c>
      <c r="L301" s="121">
        <f t="shared" si="262"/>
        <v>0.14019333348659346</v>
      </c>
      <c r="M301" s="121">
        <f t="shared" si="262"/>
        <v>0.14019333348659346</v>
      </c>
      <c r="N301" s="121">
        <f t="shared" si="262"/>
        <v>0.11914236405357193</v>
      </c>
      <c r="O301" s="121">
        <f t="shared" si="262"/>
        <v>0.11215591363355887</v>
      </c>
      <c r="P301" s="121">
        <f t="shared" si="262"/>
        <v>9.9879618425518818E-2</v>
      </c>
      <c r="Q301" s="121">
        <f t="shared" si="262"/>
        <v>0.13851628316931211</v>
      </c>
      <c r="R301" s="121">
        <f t="shared" si="262"/>
        <v>9.7891581678362052E-2</v>
      </c>
      <c r="S301" s="121">
        <f t="shared" si="262"/>
        <v>9.7891581678362052E-2</v>
      </c>
      <c r="T301" s="121">
        <f t="shared" si="262"/>
        <v>9.7891581678362052E-2</v>
      </c>
      <c r="U301" s="121">
        <f t="shared" si="262"/>
        <v>9.7891581678362052E-2</v>
      </c>
      <c r="V301" s="121">
        <f t="shared" si="262"/>
        <v>9.7891581678362052E-2</v>
      </c>
      <c r="W301" s="121">
        <f t="shared" si="262"/>
        <v>9.7891581678362052E-2</v>
      </c>
      <c r="X301" s="121">
        <f t="shared" si="262"/>
        <v>9.7891581678362052E-2</v>
      </c>
      <c r="Y301" s="121">
        <f t="shared" si="262"/>
        <v>9.7891581678362052E-2</v>
      </c>
    </row>
    <row r="302" spans="2:27" x14ac:dyDescent="0.3">
      <c r="F302" s="67" t="s">
        <v>201</v>
      </c>
      <c r="G302" s="67" t="s">
        <v>285</v>
      </c>
      <c r="H302" s="37"/>
      <c r="I302" s="37"/>
      <c r="J302" s="131">
        <f t="shared" ref="J302:Y302" si="263">J259 * J$93</f>
        <v>0.16029071744126216</v>
      </c>
      <c r="K302" s="131">
        <f t="shared" si="263"/>
        <v>0.16029071744126216</v>
      </c>
      <c r="L302" s="131">
        <f t="shared" si="263"/>
        <v>0.14019333348659346</v>
      </c>
      <c r="M302" s="131">
        <f t="shared" si="263"/>
        <v>0.14019333348659346</v>
      </c>
      <c r="N302" s="131">
        <f t="shared" si="263"/>
        <v>0.11914236405357193</v>
      </c>
      <c r="O302" s="131">
        <f t="shared" si="263"/>
        <v>0.11215591363355887</v>
      </c>
      <c r="P302" s="131">
        <f t="shared" si="263"/>
        <v>9.9879618425518818E-2</v>
      </c>
      <c r="Q302" s="131">
        <f t="shared" si="263"/>
        <v>0.13851628316931211</v>
      </c>
      <c r="R302" s="131">
        <f t="shared" si="263"/>
        <v>9.7891581678362052E-2</v>
      </c>
      <c r="S302" s="131">
        <f t="shared" si="263"/>
        <v>9.7891581678362052E-2</v>
      </c>
      <c r="T302" s="131">
        <f t="shared" si="263"/>
        <v>9.7891581678362052E-2</v>
      </c>
      <c r="U302" s="131">
        <f t="shared" si="263"/>
        <v>9.7891581678362052E-2</v>
      </c>
      <c r="V302" s="131">
        <f t="shared" si="263"/>
        <v>9.7891581678362052E-2</v>
      </c>
      <c r="W302" s="131">
        <f t="shared" si="263"/>
        <v>9.7891581678362052E-2</v>
      </c>
      <c r="X302" s="131">
        <f t="shared" si="263"/>
        <v>9.7891581678362052E-2</v>
      </c>
      <c r="Y302" s="131">
        <f t="shared" si="263"/>
        <v>9.7891581678362052E-2</v>
      </c>
    </row>
    <row r="304" spans="2:27" x14ac:dyDescent="0.3">
      <c r="B304" s="30" t="s">
        <v>233</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234</v>
      </c>
      <c r="G306" s="6" t="s">
        <v>57</v>
      </c>
      <c r="H306" s="103">
        <f t="array" ref="H306">SUM(IF(ISERROR(H20:Y302), 1))</f>
        <v>0</v>
      </c>
    </row>
    <row r="308" spans="2:27" x14ac:dyDescent="0.3">
      <c r="B308" s="30" t="s">
        <v>108</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492</v>
      </c>
      <c r="D9" s="29"/>
    </row>
    <row r="10" spans="1:43" x14ac:dyDescent="0.3">
      <c r="C10" s="29" t="s">
        <v>493</v>
      </c>
      <c r="D10" s="29"/>
    </row>
    <row r="11" spans="1:43" x14ac:dyDescent="0.3">
      <c r="C11" s="29" t="s">
        <v>494</v>
      </c>
      <c r="D11" s="29"/>
    </row>
    <row r="12" spans="1:43" x14ac:dyDescent="0.3">
      <c r="C12" s="29"/>
      <c r="D12" s="29" t="s">
        <v>495</v>
      </c>
    </row>
    <row r="13" spans="1:43" x14ac:dyDescent="0.3">
      <c r="C13" s="29"/>
      <c r="D13" s="29" t="s">
        <v>496</v>
      </c>
    </row>
    <row r="14" spans="1:43" x14ac:dyDescent="0.3">
      <c r="C14" s="29"/>
      <c r="D14" s="29" t="s">
        <v>497</v>
      </c>
    </row>
    <row r="16" spans="1:43" x14ac:dyDescent="0.3">
      <c r="B16" s="30" t="s">
        <v>498</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499</v>
      </c>
      <c r="AQ20" s="3"/>
    </row>
    <row r="21" spans="3:43" x14ac:dyDescent="0.3">
      <c r="C21" s="32"/>
      <c r="AQ21" s="3"/>
    </row>
    <row r="22" spans="3:43" x14ac:dyDescent="0.3">
      <c r="E22" s="32" t="s">
        <v>380</v>
      </c>
      <c r="H22" s="14"/>
      <c r="J22" s="63"/>
      <c r="L22" s="63"/>
      <c r="AQ22" s="3"/>
    </row>
    <row r="23" spans="3:43" x14ac:dyDescent="0.3">
      <c r="E23" s="32"/>
      <c r="F23" s="23" t="s">
        <v>193</v>
      </c>
      <c r="G23" s="23" t="s">
        <v>169</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194</v>
      </c>
      <c r="G24" t="s">
        <v>169</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1.5008868542263909E-2</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195</v>
      </c>
      <c r="G25" t="s">
        <v>169</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196</v>
      </c>
      <c r="G26" t="s">
        <v>169</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197</v>
      </c>
      <c r="G27" t="s">
        <v>169</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198</v>
      </c>
      <c r="G28" t="s">
        <v>169</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199</v>
      </c>
      <c r="G29" t="s">
        <v>169</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200</v>
      </c>
      <c r="G30" t="s">
        <v>169</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201</v>
      </c>
      <c r="G31" s="37" t="s">
        <v>169</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500</v>
      </c>
      <c r="I33" t="s">
        <v>156</v>
      </c>
      <c r="J33" s="63"/>
      <c r="K33" s="63"/>
      <c r="L33" s="63"/>
      <c r="M33" s="63"/>
      <c r="N33" s="63"/>
      <c r="O33" s="63"/>
      <c r="P33" s="63"/>
      <c r="Q33" s="63"/>
      <c r="R33" s="63"/>
      <c r="S33" s="63"/>
      <c r="T33" s="63"/>
      <c r="U33" s="63"/>
      <c r="V33" s="63"/>
      <c r="W33" s="63"/>
      <c r="X33" s="63"/>
      <c r="Y33" s="63"/>
      <c r="AA33" t="s">
        <v>501</v>
      </c>
      <c r="AQ33" s="3"/>
    </row>
    <row r="34" spans="5:43" x14ac:dyDescent="0.3">
      <c r="E34" s="32"/>
      <c r="F34" s="23" t="s">
        <v>193</v>
      </c>
      <c r="G34" s="23" t="s">
        <v>285</v>
      </c>
      <c r="H34" s="158"/>
      <c r="I34" s="158"/>
      <c r="J34" s="124">
        <f t="array" ref="J34:Y42">TRANSPOSE('Load &amp; loss characteristics'!K145:S160)</f>
        <v>1.075</v>
      </c>
      <c r="K34" s="124">
        <v>1.075</v>
      </c>
      <c r="L34" s="124">
        <v>1.075</v>
      </c>
      <c r="M34" s="124">
        <v>1.075</v>
      </c>
      <c r="N34" s="124">
        <v>1.075</v>
      </c>
      <c r="O34" s="124">
        <v>1.046</v>
      </c>
      <c r="P34" s="124">
        <v>1.034</v>
      </c>
      <c r="Q34" s="124">
        <v>1.075</v>
      </c>
      <c r="R34" s="124">
        <v>-1.075</v>
      </c>
      <c r="S34" s="124">
        <v>-1.046</v>
      </c>
      <c r="T34" s="124">
        <v>-1.075</v>
      </c>
      <c r="U34" s="124">
        <v>-1.075</v>
      </c>
      <c r="V34" s="124">
        <v>-1.046</v>
      </c>
      <c r="W34" s="124">
        <v>-1.046</v>
      </c>
      <c r="X34" s="124">
        <v>-1.034</v>
      </c>
      <c r="Y34" s="124">
        <v>-1.034</v>
      </c>
      <c r="AQ34" s="3"/>
    </row>
    <row r="35" spans="5:43" x14ac:dyDescent="0.3">
      <c r="E35" s="32"/>
      <c r="F35" t="s">
        <v>194</v>
      </c>
      <c r="G35" t="s">
        <v>285</v>
      </c>
      <c r="H35" s="89"/>
      <c r="I35" s="89"/>
      <c r="J35" s="120">
        <v>1.075</v>
      </c>
      <c r="K35" s="120">
        <v>1.075</v>
      </c>
      <c r="L35" s="120">
        <v>1.075</v>
      </c>
      <c r="M35" s="120">
        <v>1.075</v>
      </c>
      <c r="N35" s="120">
        <v>1.075</v>
      </c>
      <c r="O35" s="120">
        <v>1.046</v>
      </c>
      <c r="P35" s="120">
        <v>1.034</v>
      </c>
      <c r="Q35" s="120">
        <v>1.075</v>
      </c>
      <c r="R35" s="120">
        <v>-1.075</v>
      </c>
      <c r="S35" s="120">
        <v>-1.046</v>
      </c>
      <c r="T35" s="120">
        <v>-1.075</v>
      </c>
      <c r="U35" s="120">
        <v>-1.075</v>
      </c>
      <c r="V35" s="120">
        <v>-1.046</v>
      </c>
      <c r="W35" s="120">
        <v>-1.046</v>
      </c>
      <c r="X35" s="120">
        <v>-1.034</v>
      </c>
      <c r="Y35" s="120">
        <v>-1.034</v>
      </c>
      <c r="AQ35" s="3"/>
    </row>
    <row r="36" spans="5:43" x14ac:dyDescent="0.3">
      <c r="E36" s="32"/>
      <c r="F36" t="s">
        <v>195</v>
      </c>
      <c r="G36" t="s">
        <v>285</v>
      </c>
      <c r="H36" s="89"/>
      <c r="I36" s="89"/>
      <c r="J36" s="120">
        <v>0.99432733158533149</v>
      </c>
      <c r="K36" s="120">
        <v>0.99432733158533149</v>
      </c>
      <c r="L36" s="120">
        <v>0.99432733158533149</v>
      </c>
      <c r="M36" s="120">
        <v>0.99432733158533149</v>
      </c>
      <c r="N36" s="120">
        <v>0.99432733158533149</v>
      </c>
      <c r="O36" s="120">
        <v>0.96750361752395975</v>
      </c>
      <c r="P36" s="120">
        <v>0.95640414963649567</v>
      </c>
      <c r="Q36" s="120">
        <v>0.99432733158533149</v>
      </c>
      <c r="R36" s="120">
        <v>-0.99432733158533149</v>
      </c>
      <c r="S36" s="120">
        <v>-0.96750361752395975</v>
      </c>
      <c r="T36" s="120">
        <v>-0.99432733158533149</v>
      </c>
      <c r="U36" s="120">
        <v>-0.99432733158533149</v>
      </c>
      <c r="V36" s="120">
        <v>-0.96750361752395975</v>
      </c>
      <c r="W36" s="120">
        <v>-0.96750361752395975</v>
      </c>
      <c r="X36" s="120">
        <v>-0.95640414963649567</v>
      </c>
      <c r="Y36" s="120">
        <v>-0.95640414963649567</v>
      </c>
      <c r="AQ36" s="3"/>
    </row>
    <row r="37" spans="5:43" x14ac:dyDescent="0.3">
      <c r="E37" s="32"/>
      <c r="F37" t="s">
        <v>196</v>
      </c>
      <c r="G37" t="s">
        <v>285</v>
      </c>
      <c r="H37" s="89"/>
      <c r="I37" s="89"/>
      <c r="J37" s="120">
        <v>0.99432733158533149</v>
      </c>
      <c r="K37" s="120">
        <v>0.99432733158533149</v>
      </c>
      <c r="L37" s="120">
        <v>0.99432733158533149</v>
      </c>
      <c r="M37" s="120">
        <v>0.99432733158533149</v>
      </c>
      <c r="N37" s="120">
        <v>0.99432733158533149</v>
      </c>
      <c r="O37" s="120">
        <v>0.96750361752395975</v>
      </c>
      <c r="P37" s="120">
        <v>0.95640414963649567</v>
      </c>
      <c r="Q37" s="120">
        <v>0.99432733158533149</v>
      </c>
      <c r="R37" s="120">
        <v>-0.99432733158533149</v>
      </c>
      <c r="S37" s="120">
        <v>-0.96750361752395975</v>
      </c>
      <c r="T37" s="120">
        <v>-0.99432733158533149</v>
      </c>
      <c r="U37" s="120">
        <v>-0.99432733158533149</v>
      </c>
      <c r="V37" s="120">
        <v>-0.96750361752395975</v>
      </c>
      <c r="W37" s="120">
        <v>-0.96750361752395975</v>
      </c>
      <c r="X37" s="120">
        <v>-0.95640414963649567</v>
      </c>
      <c r="Y37" s="120">
        <v>-0.95640414963649567</v>
      </c>
      <c r="AQ37" s="3"/>
    </row>
    <row r="38" spans="5:43" x14ac:dyDescent="0.3">
      <c r="E38" s="32"/>
      <c r="F38" t="s">
        <v>197</v>
      </c>
      <c r="G38" t="s">
        <v>285</v>
      </c>
      <c r="H38" s="89"/>
      <c r="I38" s="89"/>
      <c r="J38" s="120">
        <v>0.99432733158533149</v>
      </c>
      <c r="K38" s="120">
        <v>0.99432733158533149</v>
      </c>
      <c r="L38" s="120">
        <v>0.99432733158533149</v>
      </c>
      <c r="M38" s="120">
        <v>0.99432733158533149</v>
      </c>
      <c r="N38" s="120">
        <v>0.99432733158533149</v>
      </c>
      <c r="O38" s="120">
        <v>0.96750361752395975</v>
      </c>
      <c r="P38" s="120">
        <v>0.95640414963649567</v>
      </c>
      <c r="Q38" s="120">
        <v>0.99432733158533149</v>
      </c>
      <c r="R38" s="120">
        <v>-0.99432733158533149</v>
      </c>
      <c r="S38" s="120">
        <v>-0.96750361752395975</v>
      </c>
      <c r="T38" s="120">
        <v>-0.99432733158533149</v>
      </c>
      <c r="U38" s="120">
        <v>-0.99432733158533149</v>
      </c>
      <c r="V38" s="120">
        <v>-0.96750361752395975</v>
      </c>
      <c r="W38" s="120">
        <v>-0.96750361752395975</v>
      </c>
      <c r="X38" s="120">
        <v>-0.95640414963649567</v>
      </c>
      <c r="Y38" s="120">
        <v>-0.95640414963649567</v>
      </c>
      <c r="AQ38" s="3"/>
    </row>
    <row r="39" spans="5:43" x14ac:dyDescent="0.3">
      <c r="E39" s="32"/>
      <c r="F39" t="s">
        <v>198</v>
      </c>
      <c r="G39" t="s">
        <v>285</v>
      </c>
      <c r="H39" s="89"/>
      <c r="I39" s="89"/>
      <c r="J39" s="120">
        <v>8.0672668414668511E-2</v>
      </c>
      <c r="K39" s="120">
        <v>8.0672668414668511E-2</v>
      </c>
      <c r="L39" s="120">
        <v>8.0672668414668511E-2</v>
      </c>
      <c r="M39" s="120">
        <v>8.0672668414668511E-2</v>
      </c>
      <c r="N39" s="120">
        <v>8.0672668414668511E-2</v>
      </c>
      <c r="O39" s="120">
        <v>7.8496382476040252E-2</v>
      </c>
      <c r="P39" s="120">
        <v>7.7595850363504415E-2</v>
      </c>
      <c r="Q39" s="120">
        <v>8.0672668414668511E-2</v>
      </c>
      <c r="R39" s="120">
        <v>-8.0672668414668511E-2</v>
      </c>
      <c r="S39" s="120">
        <v>-7.8496382476040252E-2</v>
      </c>
      <c r="T39" s="120">
        <v>-8.0672668414668511E-2</v>
      </c>
      <c r="U39" s="120">
        <v>-8.0672668414668511E-2</v>
      </c>
      <c r="V39" s="120">
        <v>-7.8496382476040252E-2</v>
      </c>
      <c r="W39" s="120">
        <v>-7.8496382476040252E-2</v>
      </c>
      <c r="X39" s="120">
        <v>-7.7595850363504415E-2</v>
      </c>
      <c r="Y39" s="120">
        <v>-7.7595850363504415E-2</v>
      </c>
      <c r="AQ39" s="3"/>
    </row>
    <row r="40" spans="5:43" x14ac:dyDescent="0.3">
      <c r="E40" s="32"/>
      <c r="F40" t="s">
        <v>199</v>
      </c>
      <c r="G40" t="s">
        <v>285</v>
      </c>
      <c r="H40" s="89"/>
      <c r="I40" s="89"/>
      <c r="J40" s="120">
        <v>1.075</v>
      </c>
      <c r="K40" s="120">
        <v>1.075</v>
      </c>
      <c r="L40" s="120">
        <v>1.075</v>
      </c>
      <c r="M40" s="120">
        <v>1.075</v>
      </c>
      <c r="N40" s="120">
        <v>1.075</v>
      </c>
      <c r="O40" s="120">
        <v>1.046</v>
      </c>
      <c r="P40" s="120">
        <v>1.034</v>
      </c>
      <c r="Q40" s="120">
        <v>1.075</v>
      </c>
      <c r="R40" s="120">
        <v>-1.075</v>
      </c>
      <c r="S40" s="120">
        <v>-1.046</v>
      </c>
      <c r="T40" s="120">
        <v>-1.075</v>
      </c>
      <c r="U40" s="120">
        <v>-1.075</v>
      </c>
      <c r="V40" s="120">
        <v>-1.046</v>
      </c>
      <c r="W40" s="120">
        <v>-1.046</v>
      </c>
      <c r="X40" s="120">
        <v>0</v>
      </c>
      <c r="Y40" s="120">
        <v>0</v>
      </c>
      <c r="AQ40" s="3"/>
    </row>
    <row r="41" spans="5:43" x14ac:dyDescent="0.3">
      <c r="E41" s="32"/>
      <c r="F41" t="s">
        <v>200</v>
      </c>
      <c r="G41" t="s">
        <v>285</v>
      </c>
      <c r="H41" s="89"/>
      <c r="I41" s="89"/>
      <c r="J41" s="120">
        <v>1.075</v>
      </c>
      <c r="K41" s="120">
        <v>1.075</v>
      </c>
      <c r="L41" s="120">
        <v>1.075</v>
      </c>
      <c r="M41" s="120">
        <v>1.075</v>
      </c>
      <c r="N41" s="120">
        <v>1.075</v>
      </c>
      <c r="O41" s="120">
        <v>1.046</v>
      </c>
      <c r="P41" s="120">
        <v>0</v>
      </c>
      <c r="Q41" s="120">
        <v>1.075</v>
      </c>
      <c r="R41" s="120">
        <v>-1.075</v>
      </c>
      <c r="S41" s="120">
        <v>0</v>
      </c>
      <c r="T41" s="120">
        <v>-1.075</v>
      </c>
      <c r="U41" s="120">
        <v>-1.075</v>
      </c>
      <c r="V41" s="120">
        <v>0</v>
      </c>
      <c r="W41" s="120">
        <v>0</v>
      </c>
      <c r="X41" s="120">
        <v>0</v>
      </c>
      <c r="Y41" s="120">
        <v>0</v>
      </c>
      <c r="AQ41" s="3"/>
    </row>
    <row r="42" spans="5:43" x14ac:dyDescent="0.3">
      <c r="E42" s="32"/>
      <c r="F42" s="37" t="s">
        <v>201</v>
      </c>
      <c r="G42" s="37" t="s">
        <v>285</v>
      </c>
      <c r="H42" s="82"/>
      <c r="I42" s="82"/>
      <c r="J42" s="125">
        <v>1.075</v>
      </c>
      <c r="K42" s="125">
        <v>1.075</v>
      </c>
      <c r="L42" s="125">
        <v>1.075</v>
      </c>
      <c r="M42" s="125">
        <v>1.075</v>
      </c>
      <c r="N42" s="125">
        <v>1.075</v>
      </c>
      <c r="O42" s="125">
        <v>0</v>
      </c>
      <c r="P42" s="125">
        <v>0</v>
      </c>
      <c r="Q42" s="125">
        <v>1.075</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502</v>
      </c>
      <c r="H44" s="89"/>
      <c r="I44" s="89"/>
      <c r="J44" s="89"/>
      <c r="K44" s="89"/>
      <c r="L44" s="89"/>
      <c r="M44" s="89"/>
      <c r="N44" s="89"/>
      <c r="O44" s="89"/>
      <c r="P44" s="89"/>
      <c r="Q44" s="89"/>
      <c r="R44" s="89"/>
      <c r="S44" s="89"/>
      <c r="T44" s="89"/>
      <c r="U44" s="89"/>
      <c r="V44" s="89"/>
      <c r="W44" s="89"/>
      <c r="X44" s="89"/>
      <c r="Y44" s="89"/>
      <c r="AQ44" s="3"/>
    </row>
    <row r="45" spans="5:43" x14ac:dyDescent="0.3">
      <c r="E45" s="32"/>
      <c r="F45" s="23" t="s">
        <v>193</v>
      </c>
      <c r="G45" s="23" t="s">
        <v>285</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194</v>
      </c>
      <c r="G46" t="s">
        <v>285</v>
      </c>
      <c r="H46" s="120">
        <f>'Load &amp; loss characteristics'!L29</f>
        <v>1.002</v>
      </c>
      <c r="I46" s="89"/>
      <c r="J46" s="89"/>
      <c r="K46" s="89"/>
      <c r="L46" s="89"/>
      <c r="M46" s="89"/>
      <c r="N46" s="89"/>
      <c r="O46" s="89"/>
      <c r="P46" s="89"/>
      <c r="Q46" s="89"/>
      <c r="R46" s="89"/>
      <c r="S46" s="89"/>
      <c r="T46" s="89"/>
      <c r="U46" s="89"/>
      <c r="V46" s="89"/>
      <c r="W46" s="89"/>
      <c r="X46" s="89"/>
      <c r="Y46" s="89"/>
      <c r="AQ46" s="3"/>
    </row>
    <row r="47" spans="5:43" x14ac:dyDescent="0.3">
      <c r="E47" s="32"/>
      <c r="F47" t="s">
        <v>195</v>
      </c>
      <c r="G47" t="s">
        <v>285</v>
      </c>
      <c r="H47" s="120">
        <f>'Load &amp; loss characteristics'!M29</f>
        <v>1.006</v>
      </c>
      <c r="I47" s="89"/>
      <c r="J47" s="89"/>
      <c r="K47" s="89"/>
      <c r="L47" s="89"/>
      <c r="M47" s="89"/>
      <c r="N47" s="89"/>
      <c r="O47" s="89"/>
      <c r="P47" s="89"/>
      <c r="Q47" s="89"/>
      <c r="R47" s="89"/>
      <c r="S47" s="89"/>
      <c r="T47" s="89"/>
      <c r="U47" s="89"/>
      <c r="V47" s="89"/>
      <c r="W47" s="89"/>
      <c r="X47" s="89"/>
      <c r="Y47" s="89"/>
      <c r="AQ47" s="3"/>
    </row>
    <row r="48" spans="5:43" x14ac:dyDescent="0.3">
      <c r="E48" s="32"/>
      <c r="F48" t="s">
        <v>196</v>
      </c>
      <c r="G48" t="s">
        <v>285</v>
      </c>
      <c r="H48" s="120">
        <f>'Load &amp; loss characteristics'!N29</f>
        <v>1.0129999999999999</v>
      </c>
      <c r="I48" s="89"/>
      <c r="J48" s="89"/>
      <c r="K48" s="89"/>
      <c r="L48" s="89"/>
      <c r="M48" s="89"/>
      <c r="N48" s="89"/>
      <c r="O48" s="89"/>
      <c r="P48" s="89"/>
      <c r="Q48" s="89"/>
      <c r="R48" s="89"/>
      <c r="S48" s="89"/>
      <c r="T48" s="89"/>
      <c r="U48" s="89"/>
      <c r="V48" s="89"/>
      <c r="W48" s="89"/>
      <c r="X48" s="89"/>
      <c r="Y48" s="89"/>
      <c r="AQ48" s="3"/>
    </row>
    <row r="49" spans="2:43" x14ac:dyDescent="0.3">
      <c r="E49" s="32"/>
      <c r="F49" t="s">
        <v>197</v>
      </c>
      <c r="G49" t="s">
        <v>285</v>
      </c>
      <c r="H49" s="120">
        <f>'Load &amp; loss characteristics'!O29</f>
        <v>1.0189999999999999</v>
      </c>
      <c r="I49" s="89"/>
      <c r="J49" s="89"/>
      <c r="K49" s="89"/>
      <c r="L49" s="89"/>
      <c r="M49" s="89"/>
      <c r="N49" s="89"/>
      <c r="O49" s="89"/>
      <c r="P49" s="89"/>
      <c r="Q49" s="89"/>
      <c r="R49" s="89"/>
      <c r="S49" s="89"/>
      <c r="T49" s="89"/>
      <c r="U49" s="89"/>
      <c r="V49" s="89"/>
      <c r="W49" s="89"/>
      <c r="X49" s="89"/>
      <c r="Y49" s="89"/>
      <c r="AQ49" s="3"/>
    </row>
    <row r="50" spans="2:43" x14ac:dyDescent="0.3">
      <c r="E50" s="32"/>
      <c r="F50" t="s">
        <v>198</v>
      </c>
      <c r="G50" t="s">
        <v>285</v>
      </c>
      <c r="H50" s="120">
        <f>'Load &amp; loss characteristics'!P29</f>
        <v>1.0189999999999999</v>
      </c>
      <c r="I50" s="89"/>
      <c r="J50" s="89"/>
      <c r="K50" s="89"/>
      <c r="L50" s="89"/>
      <c r="M50" s="89"/>
      <c r="N50" s="89"/>
      <c r="O50" s="89"/>
      <c r="P50" s="89"/>
      <c r="Q50" s="89"/>
      <c r="R50" s="89"/>
      <c r="S50" s="89"/>
      <c r="T50" s="89"/>
      <c r="U50" s="89"/>
      <c r="V50" s="89"/>
      <c r="W50" s="89"/>
      <c r="X50" s="89"/>
      <c r="Y50" s="89"/>
      <c r="AQ50" s="3"/>
    </row>
    <row r="51" spans="2:43" x14ac:dyDescent="0.3">
      <c r="E51" s="32"/>
      <c r="F51" t="s">
        <v>199</v>
      </c>
      <c r="G51" t="s">
        <v>285</v>
      </c>
      <c r="H51" s="120">
        <f>'Load &amp; loss characteristics'!Q29</f>
        <v>1.034</v>
      </c>
      <c r="I51" s="89"/>
      <c r="J51" s="89"/>
      <c r="K51" s="89"/>
      <c r="L51" s="89"/>
      <c r="M51" s="89"/>
      <c r="N51" s="89"/>
      <c r="O51" s="89"/>
      <c r="P51" s="89"/>
      <c r="Q51" s="89"/>
      <c r="R51" s="89"/>
      <c r="S51" s="89"/>
      <c r="T51" s="89"/>
      <c r="U51" s="89"/>
      <c r="V51" s="89"/>
      <c r="W51" s="89"/>
      <c r="X51" s="89"/>
      <c r="Y51" s="89"/>
      <c r="AQ51" s="3"/>
    </row>
    <row r="52" spans="2:43" x14ac:dyDescent="0.3">
      <c r="E52" s="32"/>
      <c r="F52" t="s">
        <v>200</v>
      </c>
      <c r="G52" t="s">
        <v>285</v>
      </c>
      <c r="H52" s="120">
        <f>'Load &amp; loss characteristics'!R29</f>
        <v>1.046</v>
      </c>
      <c r="I52" s="89"/>
      <c r="J52" s="89"/>
      <c r="K52" s="89"/>
      <c r="L52" s="89"/>
      <c r="M52" s="89"/>
      <c r="N52" s="89"/>
      <c r="O52" s="89"/>
      <c r="P52" s="89"/>
      <c r="Q52" s="89"/>
      <c r="R52" s="89"/>
      <c r="S52" s="89"/>
      <c r="T52" s="89"/>
      <c r="U52" s="89"/>
      <c r="V52" s="89"/>
      <c r="W52" s="89"/>
      <c r="X52" s="89"/>
      <c r="Y52" s="89"/>
      <c r="AQ52" s="3"/>
    </row>
    <row r="53" spans="2:43" x14ac:dyDescent="0.3">
      <c r="E53" s="32"/>
      <c r="F53" s="37" t="s">
        <v>201</v>
      </c>
      <c r="G53" s="37" t="s">
        <v>285</v>
      </c>
      <c r="H53" s="125">
        <f>'Load &amp; loss characteristics'!S29</f>
        <v>1.075</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503</v>
      </c>
      <c r="H55" s="89"/>
      <c r="I55" s="89" t="s">
        <v>156</v>
      </c>
      <c r="J55" s="89"/>
      <c r="K55" s="89"/>
      <c r="L55" s="89"/>
      <c r="M55" s="89"/>
      <c r="N55" s="89"/>
      <c r="O55" s="89"/>
      <c r="P55" s="89"/>
      <c r="Q55" s="89"/>
      <c r="R55" s="89"/>
      <c r="S55" s="89"/>
      <c r="T55" s="89"/>
      <c r="U55" s="89"/>
      <c r="V55" s="89"/>
      <c r="W55" s="89"/>
      <c r="X55" s="89"/>
      <c r="Y55" s="89"/>
      <c r="AA55" t="s">
        <v>504</v>
      </c>
    </row>
    <row r="56" spans="2:43" x14ac:dyDescent="0.3">
      <c r="E56" s="32"/>
      <c r="F56" s="23" t="s">
        <v>158</v>
      </c>
      <c r="G56" s="23" t="s">
        <v>209</v>
      </c>
      <c r="H56" s="158"/>
      <c r="I56" s="158"/>
      <c r="J56" s="124">
        <f>'Volume adjustments'!J238</f>
        <v>996682.69564175408</v>
      </c>
      <c r="K56" s="124">
        <f>'Volume adjustments'!K238</f>
        <v>907.55296879515561</v>
      </c>
      <c r="L56" s="124">
        <f>'Volume adjustments'!L238</f>
        <v>319480.04249950446</v>
      </c>
      <c r="M56" s="124">
        <f>'Volume adjustments'!M238</f>
        <v>38.5327591755619</v>
      </c>
      <c r="N56" s="124">
        <f>'Volume adjustments'!N238</f>
        <v>338672.85822073149</v>
      </c>
      <c r="O56" s="124">
        <f>'Volume adjustments'!O238</f>
        <v>28168.862149032549</v>
      </c>
      <c r="P56" s="124">
        <f>'Volume adjustments'!P238</f>
        <v>672163.67236341641</v>
      </c>
      <c r="Q56" s="124">
        <f>'Volume adjustments'!Q238</f>
        <v>8816.224920714214</v>
      </c>
      <c r="R56" s="124">
        <f>'Volume adjustments'!R238</f>
        <v>70.204805753113575</v>
      </c>
      <c r="S56" s="124">
        <f>'Volume adjustments'!S238</f>
        <v>0</v>
      </c>
      <c r="T56" s="124">
        <f>'Volume adjustments'!T238</f>
        <v>4784.6093633622941</v>
      </c>
      <c r="U56" s="124">
        <f>'Volume adjustments'!U238</f>
        <v>0</v>
      </c>
      <c r="V56" s="124">
        <f>'Volume adjustments'!V238</f>
        <v>643.59278860763663</v>
      </c>
      <c r="W56" s="124">
        <f>'Volume adjustments'!W238</f>
        <v>0</v>
      </c>
      <c r="X56" s="124">
        <f>'Volume adjustments'!X238</f>
        <v>278149.15352828434</v>
      </c>
      <c r="Y56" s="124">
        <f>'Volume adjustments'!Y238</f>
        <v>0</v>
      </c>
      <c r="AQ56" s="3"/>
    </row>
    <row r="57" spans="2:43" x14ac:dyDescent="0.3">
      <c r="E57" s="32"/>
      <c r="F57" t="s">
        <v>159</v>
      </c>
      <c r="G57" t="s">
        <v>209</v>
      </c>
      <c r="H57" s="89"/>
      <c r="I57" s="89"/>
      <c r="J57" s="120">
        <f>'Volume adjustments'!J249</f>
        <v>2953123.9288298711</v>
      </c>
      <c r="K57" s="120">
        <f>'Volume adjustments'!K249</f>
        <v>5824.4312721126043</v>
      </c>
      <c r="L57" s="120">
        <f>'Volume adjustments'!L249</f>
        <v>1315823.7063759596</v>
      </c>
      <c r="M57" s="120">
        <f>'Volume adjustments'!M249</f>
        <v>502.36485110192183</v>
      </c>
      <c r="N57" s="120">
        <f>'Volume adjustments'!N249</f>
        <v>1427028.5224543314</v>
      </c>
      <c r="O57" s="120">
        <f>'Volume adjustments'!O249</f>
        <v>109373.43586272706</v>
      </c>
      <c r="P57" s="120">
        <f>'Volume adjustments'!P249</f>
        <v>2568513.2082473766</v>
      </c>
      <c r="Q57" s="120">
        <f>'Volume adjustments'!Q249</f>
        <v>49603.561201843237</v>
      </c>
      <c r="R57" s="120">
        <f>'Volume adjustments'!R249</f>
        <v>459.38403586007723</v>
      </c>
      <c r="S57" s="120">
        <f>'Volume adjustments'!S249</f>
        <v>0</v>
      </c>
      <c r="T57" s="120">
        <f>'Volume adjustments'!T249</f>
        <v>23831.708677412124</v>
      </c>
      <c r="U57" s="120">
        <f>'Volume adjustments'!U249</f>
        <v>0</v>
      </c>
      <c r="V57" s="120">
        <f>'Volume adjustments'!V249</f>
        <v>2524.6060767726581</v>
      </c>
      <c r="W57" s="120">
        <f>'Volume adjustments'!W249</f>
        <v>0</v>
      </c>
      <c r="X57" s="120">
        <f>'Volume adjustments'!X249</f>
        <v>600091.23989919515</v>
      </c>
      <c r="Y57" s="120">
        <f>'Volume adjustments'!Y249</f>
        <v>0</v>
      </c>
      <c r="AQ57" s="3"/>
    </row>
    <row r="58" spans="2:43" x14ac:dyDescent="0.3">
      <c r="E58" s="32"/>
      <c r="F58" s="37" t="s">
        <v>160</v>
      </c>
      <c r="G58" s="37" t="s">
        <v>209</v>
      </c>
      <c r="H58" s="82"/>
      <c r="I58" s="82"/>
      <c r="J58" s="125">
        <f>'Volume adjustments'!J260</f>
        <v>4878763.9763329094</v>
      </c>
      <c r="K58" s="125">
        <f>'Volume adjustments'!K260</f>
        <v>10388.832210240402</v>
      </c>
      <c r="L58" s="125">
        <f>'Volume adjustments'!L260</f>
        <v>1443706.9020502518</v>
      </c>
      <c r="M58" s="125">
        <f>'Volume adjustments'!M260</f>
        <v>1825.2777420810467</v>
      </c>
      <c r="N58" s="125">
        <f>'Volume adjustments'!N260</f>
        <v>1563674.4608768637</v>
      </c>
      <c r="O58" s="125">
        <f>'Volume adjustments'!O260</f>
        <v>125725.67651936569</v>
      </c>
      <c r="P58" s="125">
        <f>'Volume adjustments'!P260</f>
        <v>3665913.7434230014</v>
      </c>
      <c r="Q58" s="125">
        <f>'Volume adjustments'!Q260</f>
        <v>160108.74333476496</v>
      </c>
      <c r="R58" s="125">
        <f>'Volume adjustments'!R260</f>
        <v>257.78882983990695</v>
      </c>
      <c r="S58" s="125">
        <f>'Volume adjustments'!S260</f>
        <v>0</v>
      </c>
      <c r="T58" s="125">
        <f>'Volume adjustments'!T260</f>
        <v>24299.787303789228</v>
      </c>
      <c r="U58" s="125">
        <f>'Volume adjustments'!U260</f>
        <v>0</v>
      </c>
      <c r="V58" s="125">
        <f>'Volume adjustments'!V260</f>
        <v>4216.2054199370059</v>
      </c>
      <c r="W58" s="125">
        <f>'Volume adjustments'!W260</f>
        <v>0</v>
      </c>
      <c r="X58" s="125">
        <f>'Volume adjustments'!X260</f>
        <v>673152.99157943716</v>
      </c>
      <c r="Y58" s="125">
        <f>'Volume adjustments'!Y260</f>
        <v>0</v>
      </c>
      <c r="AQ58" s="3"/>
    </row>
    <row r="59" spans="2:43" x14ac:dyDescent="0.3">
      <c r="E59" s="32"/>
      <c r="F59" s="108" t="s">
        <v>505</v>
      </c>
      <c r="G59" s="108" t="s">
        <v>209</v>
      </c>
      <c r="H59" s="167"/>
      <c r="I59" s="167"/>
      <c r="J59" s="167">
        <f t="shared" ref="J59:Y59" si="0">SUM(J56:J58)</f>
        <v>8828570.6008045338</v>
      </c>
      <c r="K59" s="167">
        <f t="shared" si="0"/>
        <v>17120.816451148163</v>
      </c>
      <c r="L59" s="167">
        <f t="shared" si="0"/>
        <v>3079010.6509257159</v>
      </c>
      <c r="M59" s="167">
        <f t="shared" si="0"/>
        <v>2366.1753523585303</v>
      </c>
      <c r="N59" s="167">
        <f t="shared" si="0"/>
        <v>3329375.8415519269</v>
      </c>
      <c r="O59" s="167">
        <f t="shared" si="0"/>
        <v>263267.97453112528</v>
      </c>
      <c r="P59" s="167">
        <f t="shared" si="0"/>
        <v>6906590.6240337938</v>
      </c>
      <c r="Q59" s="167">
        <f t="shared" si="0"/>
        <v>218528.52945732241</v>
      </c>
      <c r="R59" s="167">
        <f t="shared" si="0"/>
        <v>787.37767145309772</v>
      </c>
      <c r="S59" s="167">
        <f t="shared" si="0"/>
        <v>0</v>
      </c>
      <c r="T59" s="167">
        <f t="shared" si="0"/>
        <v>52916.10534456365</v>
      </c>
      <c r="U59" s="167">
        <f t="shared" si="0"/>
        <v>0</v>
      </c>
      <c r="V59" s="167">
        <f t="shared" si="0"/>
        <v>7384.4042853173005</v>
      </c>
      <c r="W59" s="167">
        <f t="shared" si="0"/>
        <v>0</v>
      </c>
      <c r="X59" s="167">
        <f t="shared" si="0"/>
        <v>1551393.3850069167</v>
      </c>
      <c r="Y59" s="167">
        <f t="shared" si="0"/>
        <v>0</v>
      </c>
      <c r="AQ59" s="3"/>
    </row>
    <row r="60" spans="2:43" x14ac:dyDescent="0.3">
      <c r="D60" s="32"/>
      <c r="J60" s="63"/>
      <c r="L60" s="63"/>
      <c r="AQ60" s="3"/>
    </row>
    <row r="61" spans="2:43" x14ac:dyDescent="0.3">
      <c r="C61" s="32"/>
      <c r="E61" s="28" t="s">
        <v>243</v>
      </c>
      <c r="F61" s="28"/>
      <c r="G61" s="28" t="s">
        <v>169</v>
      </c>
      <c r="I61" t="s">
        <v>156</v>
      </c>
      <c r="J61" s="25">
        <f>'Inputs by customer type'!J15</f>
        <v>0.44796837710480569</v>
      </c>
      <c r="K61" s="25">
        <f>'Inputs by customer type'!K15</f>
        <v>0.12678758597226766</v>
      </c>
      <c r="L61" s="25">
        <f>'Inputs by customer type'!L15</f>
        <v>0.43768798874811282</v>
      </c>
      <c r="M61" s="25">
        <f>'Inputs by customer type'!M15</f>
        <v>0.23185795849877822</v>
      </c>
      <c r="N61" s="25">
        <f>'Inputs by customer type'!N15</f>
        <v>0.54123214231902228</v>
      </c>
      <c r="O61" s="25">
        <f>'Inputs by customer type'!O15</f>
        <v>0.58771536453392137</v>
      </c>
      <c r="P61" s="25">
        <f>'Inputs by customer type'!P15</f>
        <v>0.7285680308107656</v>
      </c>
      <c r="Q61" s="25">
        <f>'Inputs by customer type'!Q15</f>
        <v>0.4904377895334277</v>
      </c>
      <c r="R61" s="70"/>
      <c r="S61" s="70"/>
      <c r="T61" s="70"/>
      <c r="U61" s="70"/>
      <c r="V61" s="70"/>
      <c r="W61" s="70"/>
      <c r="X61" s="70"/>
      <c r="Y61" s="70"/>
      <c r="AA61" t="s">
        <v>506</v>
      </c>
      <c r="AQ61" s="3"/>
    </row>
    <row r="63" spans="2:43" x14ac:dyDescent="0.3">
      <c r="B63" s="30" t="s">
        <v>507</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508</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509</v>
      </c>
      <c r="J69" s="63"/>
      <c r="L69" s="63"/>
      <c r="AQ69" s="3"/>
    </row>
    <row r="70" spans="3:43" x14ac:dyDescent="0.3">
      <c r="E70" s="32"/>
      <c r="F70" s="23" t="s">
        <v>193</v>
      </c>
      <c r="G70" s="23" t="s">
        <v>285</v>
      </c>
      <c r="H70" s="23"/>
      <c r="I70" s="23"/>
      <c r="J70" s="124">
        <f>'Pseudo-load coefficients'!J272</f>
        <v>15.824117204777245</v>
      </c>
      <c r="K70" s="124">
        <f>'Pseudo-load coefficients'!K272</f>
        <v>15.824117204777245</v>
      </c>
      <c r="L70" s="124">
        <f>'Pseudo-load coefficients'!L272</f>
        <v>13.840076180538738</v>
      </c>
      <c r="M70" s="124">
        <f>'Pseudo-load coefficients'!M272</f>
        <v>13.840076180538738</v>
      </c>
      <c r="N70" s="124">
        <f>'Pseudo-load coefficients'!N272</f>
        <v>11.761895903478191</v>
      </c>
      <c r="O70" s="124">
        <f>'Pseudo-load coefficients'!O272</f>
        <v>11.072184034591185</v>
      </c>
      <c r="P70" s="124">
        <f>'Pseudo-load coefficients'!P272</f>
        <v>9.8602515077830919</v>
      </c>
      <c r="Q70" s="124">
        <f>'Pseudo-load coefficients'!Q272</f>
        <v>34.196447562264005</v>
      </c>
      <c r="R70" s="124">
        <f>'Pseudo-load coefficients'!R272</f>
        <v>9.66398982153828</v>
      </c>
      <c r="S70" s="124">
        <f>'Pseudo-load coefficients'!S272</f>
        <v>9.66398982153828</v>
      </c>
      <c r="T70" s="124">
        <f>'Pseudo-load coefficients'!T272</f>
        <v>9.66398982153828</v>
      </c>
      <c r="U70" s="124">
        <f>'Pseudo-load coefficients'!U272</f>
        <v>9.66398982153828</v>
      </c>
      <c r="V70" s="124">
        <f>'Pseudo-load coefficients'!V272</f>
        <v>9.66398982153828</v>
      </c>
      <c r="W70" s="124">
        <f>'Pseudo-load coefficients'!W272</f>
        <v>9.66398982153828</v>
      </c>
      <c r="X70" s="124">
        <f>'Pseudo-load coefficients'!X272</f>
        <v>9.66398982153828</v>
      </c>
      <c r="Y70" s="124">
        <f>'Pseudo-load coefficients'!Y272</f>
        <v>9.66398982153828</v>
      </c>
      <c r="AQ70" s="3"/>
    </row>
    <row r="71" spans="3:43" x14ac:dyDescent="0.3">
      <c r="E71" s="32"/>
      <c r="F71" t="s">
        <v>194</v>
      </c>
      <c r="G71" t="s">
        <v>285</v>
      </c>
      <c r="J71" s="120">
        <f>'Pseudo-load coefficients'!J273</f>
        <v>11.861381636673123</v>
      </c>
      <c r="K71" s="120">
        <f>'Pseudo-load coefficients'!K273</f>
        <v>11.861381636673123</v>
      </c>
      <c r="L71" s="120">
        <f>'Pseudo-load coefficients'!L273</f>
        <v>10.374191705837417</v>
      </c>
      <c r="M71" s="120">
        <f>'Pseudo-load coefficients'!M273</f>
        <v>10.374191705837417</v>
      </c>
      <c r="N71" s="120">
        <f>'Pseudo-load coefficients'!N273</f>
        <v>8.816437231636451</v>
      </c>
      <c r="O71" s="120">
        <f>'Pseudo-load coefficients'!O273</f>
        <v>8.2994456301244224</v>
      </c>
      <c r="P71" s="120">
        <f>'Pseudo-load coefficients'!P273</f>
        <v>7.3910098524856842</v>
      </c>
      <c r="Q71" s="120">
        <f>'Pseudo-load coefficients'!Q273</f>
        <v>28.269641682128224</v>
      </c>
      <c r="R71" s="120">
        <f>'Pseudo-load coefficients'!R273</f>
        <v>7.2438967635795981</v>
      </c>
      <c r="S71" s="120">
        <f>'Pseudo-load coefficients'!S273</f>
        <v>7.2438967635795981</v>
      </c>
      <c r="T71" s="120">
        <f>'Pseudo-load coefficients'!T273</f>
        <v>7.2438967635795981</v>
      </c>
      <c r="U71" s="120">
        <f>'Pseudo-load coefficients'!U273</f>
        <v>7.2438967635795981</v>
      </c>
      <c r="V71" s="120">
        <f>'Pseudo-load coefficients'!V273</f>
        <v>7.2438967635795981</v>
      </c>
      <c r="W71" s="120">
        <f>'Pseudo-load coefficients'!W273</f>
        <v>7.2438967635795981</v>
      </c>
      <c r="X71" s="120">
        <f>'Pseudo-load coefficients'!X273</f>
        <v>7.2438967635795981</v>
      </c>
      <c r="Y71" s="120">
        <f>'Pseudo-load coefficients'!Y273</f>
        <v>7.2438967635795981</v>
      </c>
      <c r="AQ71" s="3"/>
    </row>
    <row r="72" spans="3:43" x14ac:dyDescent="0.3">
      <c r="E72" s="32"/>
      <c r="F72" t="s">
        <v>195</v>
      </c>
      <c r="G72" t="s">
        <v>285</v>
      </c>
      <c r="J72" s="120">
        <f>'Pseudo-load coefficients'!J274</f>
        <v>11.861381636673123</v>
      </c>
      <c r="K72" s="120">
        <f>'Pseudo-load coefficients'!K274</f>
        <v>11.861381636673123</v>
      </c>
      <c r="L72" s="120">
        <f>'Pseudo-load coefficients'!L274</f>
        <v>10.374191705837417</v>
      </c>
      <c r="M72" s="120">
        <f>'Pseudo-load coefficients'!M274</f>
        <v>10.374191705837417</v>
      </c>
      <c r="N72" s="120">
        <f>'Pseudo-load coefficients'!N274</f>
        <v>8.816437231636451</v>
      </c>
      <c r="O72" s="120">
        <f>'Pseudo-load coefficients'!O274</f>
        <v>8.2994456301244224</v>
      </c>
      <c r="P72" s="120">
        <f>'Pseudo-load coefficients'!P274</f>
        <v>7.3910098524856842</v>
      </c>
      <c r="Q72" s="120">
        <f>'Pseudo-load coefficients'!Q274</f>
        <v>28.269641682128224</v>
      </c>
      <c r="R72" s="120">
        <f>'Pseudo-load coefficients'!R274</f>
        <v>7.2438967635795981</v>
      </c>
      <c r="S72" s="120">
        <f>'Pseudo-load coefficients'!S274</f>
        <v>7.2438967635795981</v>
      </c>
      <c r="T72" s="120">
        <f>'Pseudo-load coefficients'!T274</f>
        <v>7.2438967635795981</v>
      </c>
      <c r="U72" s="120">
        <f>'Pseudo-load coefficients'!U274</f>
        <v>7.2438967635795981</v>
      </c>
      <c r="V72" s="120">
        <f>'Pseudo-load coefficients'!V274</f>
        <v>7.2438967635795981</v>
      </c>
      <c r="W72" s="120">
        <f>'Pseudo-load coefficients'!W274</f>
        <v>7.2438967635795981</v>
      </c>
      <c r="X72" s="120">
        <f>'Pseudo-load coefficients'!X274</f>
        <v>7.2438967635795981</v>
      </c>
      <c r="Y72" s="120">
        <f>'Pseudo-load coefficients'!Y274</f>
        <v>7.2438967635795981</v>
      </c>
      <c r="AQ72" s="3"/>
    </row>
    <row r="73" spans="3:43" x14ac:dyDescent="0.3">
      <c r="E73" s="32"/>
      <c r="F73" t="s">
        <v>196</v>
      </c>
      <c r="G73" t="s">
        <v>285</v>
      </c>
      <c r="J73" s="120">
        <f>'Pseudo-load coefficients'!J275</f>
        <v>9.8622329948021186</v>
      </c>
      <c r="K73" s="120">
        <f>'Pseudo-load coefficients'!K275</f>
        <v>9.8622329948021186</v>
      </c>
      <c r="L73" s="120">
        <f>'Pseudo-load coefficients'!L275</f>
        <v>8.625697989463637</v>
      </c>
      <c r="M73" s="120">
        <f>'Pseudo-load coefficients'!M275</f>
        <v>8.625697989463637</v>
      </c>
      <c r="N73" s="120">
        <f>'Pseudo-load coefficients'!N275</f>
        <v>7.3304915755863416</v>
      </c>
      <c r="O73" s="120">
        <f>'Pseudo-load coefficients'!O275</f>
        <v>6.9006351063615989</v>
      </c>
      <c r="P73" s="120">
        <f>'Pseudo-load coefficients'!P275</f>
        <v>6.1453094980709633</v>
      </c>
      <c r="Q73" s="120">
        <f>'Pseudo-load coefficients'!Q275</f>
        <v>24.125295339028813</v>
      </c>
      <c r="R73" s="120">
        <f>'Pseudo-load coefficients'!R275</f>
        <v>6.0229912383758988</v>
      </c>
      <c r="S73" s="120">
        <f>'Pseudo-load coefficients'!S275</f>
        <v>6.0229912383758988</v>
      </c>
      <c r="T73" s="120">
        <f>'Pseudo-load coefficients'!T275</f>
        <v>6.0229912383758988</v>
      </c>
      <c r="U73" s="120">
        <f>'Pseudo-load coefficients'!U275</f>
        <v>6.0229912383758988</v>
      </c>
      <c r="V73" s="120">
        <f>'Pseudo-load coefficients'!V275</f>
        <v>6.0229912383758988</v>
      </c>
      <c r="W73" s="120">
        <f>'Pseudo-load coefficients'!W275</f>
        <v>6.0229912383758988</v>
      </c>
      <c r="X73" s="120">
        <f>'Pseudo-load coefficients'!X275</f>
        <v>6.0229912383758988</v>
      </c>
      <c r="Y73" s="120">
        <f>'Pseudo-load coefficients'!Y275</f>
        <v>6.0229912383758988</v>
      </c>
      <c r="AQ73" s="3"/>
    </row>
    <row r="74" spans="3:43" x14ac:dyDescent="0.3">
      <c r="E74" s="32"/>
      <c r="F74" t="s">
        <v>197</v>
      </c>
      <c r="G74" t="s">
        <v>285</v>
      </c>
      <c r="J74" s="120">
        <f>'Pseudo-load coefficients'!J276</f>
        <v>9.8622329948021186</v>
      </c>
      <c r="K74" s="120">
        <f>'Pseudo-load coefficients'!K276</f>
        <v>9.8622329948021186</v>
      </c>
      <c r="L74" s="120">
        <f>'Pseudo-load coefficients'!L276</f>
        <v>8.625697989463637</v>
      </c>
      <c r="M74" s="120">
        <f>'Pseudo-load coefficients'!M276</f>
        <v>8.625697989463637</v>
      </c>
      <c r="N74" s="120">
        <f>'Pseudo-load coefficients'!N276</f>
        <v>7.3304915755863416</v>
      </c>
      <c r="O74" s="120">
        <f>'Pseudo-load coefficients'!O276</f>
        <v>6.9006351063615989</v>
      </c>
      <c r="P74" s="120">
        <f>'Pseudo-load coefficients'!P276</f>
        <v>6.1453094980709633</v>
      </c>
      <c r="Q74" s="120">
        <f>'Pseudo-load coefficients'!Q276</f>
        <v>24.125295339028813</v>
      </c>
      <c r="R74" s="120">
        <f>'Pseudo-load coefficients'!R276</f>
        <v>6.0229912383758988</v>
      </c>
      <c r="S74" s="120">
        <f>'Pseudo-load coefficients'!S276</f>
        <v>6.0229912383758988</v>
      </c>
      <c r="T74" s="120">
        <f>'Pseudo-load coefficients'!T276</f>
        <v>6.0229912383758988</v>
      </c>
      <c r="U74" s="120">
        <f>'Pseudo-load coefficients'!U276</f>
        <v>6.0229912383758988</v>
      </c>
      <c r="V74" s="120">
        <f>'Pseudo-load coefficients'!V276</f>
        <v>6.0229912383758988</v>
      </c>
      <c r="W74" s="120">
        <f>'Pseudo-load coefficients'!W276</f>
        <v>6.0229912383758988</v>
      </c>
      <c r="X74" s="120">
        <f>'Pseudo-load coefficients'!X276</f>
        <v>6.0229912383758988</v>
      </c>
      <c r="Y74" s="120">
        <f>'Pseudo-load coefficients'!Y276</f>
        <v>6.0229912383758988</v>
      </c>
      <c r="AQ74" s="3"/>
    </row>
    <row r="75" spans="3:43" x14ac:dyDescent="0.3">
      <c r="E75" s="32"/>
      <c r="F75" t="s">
        <v>198</v>
      </c>
      <c r="G75" t="s">
        <v>285</v>
      </c>
      <c r="J75" s="120">
        <f>'Pseudo-load coefficients'!J277</f>
        <v>11.861381636673123</v>
      </c>
      <c r="K75" s="120">
        <f>'Pseudo-load coefficients'!K277</f>
        <v>11.861381636673123</v>
      </c>
      <c r="L75" s="120">
        <f>'Pseudo-load coefficients'!L277</f>
        <v>10.374191705837417</v>
      </c>
      <c r="M75" s="120">
        <f>'Pseudo-load coefficients'!M277</f>
        <v>10.374191705837417</v>
      </c>
      <c r="N75" s="120">
        <f>'Pseudo-load coefficients'!N277</f>
        <v>8.816437231636451</v>
      </c>
      <c r="O75" s="120">
        <f>'Pseudo-load coefficients'!O277</f>
        <v>8.2994456301244224</v>
      </c>
      <c r="P75" s="120">
        <f>'Pseudo-load coefficients'!P277</f>
        <v>7.3910098524856842</v>
      </c>
      <c r="Q75" s="120">
        <f>'Pseudo-load coefficients'!Q277</f>
        <v>28.269641682128224</v>
      </c>
      <c r="R75" s="120">
        <f>'Pseudo-load coefficients'!R277</f>
        <v>7.2438967635795981</v>
      </c>
      <c r="S75" s="120">
        <f>'Pseudo-load coefficients'!S277</f>
        <v>7.2438967635795981</v>
      </c>
      <c r="T75" s="120">
        <f>'Pseudo-load coefficients'!T277</f>
        <v>7.2438967635795981</v>
      </c>
      <c r="U75" s="120">
        <f>'Pseudo-load coefficients'!U277</f>
        <v>7.2438967635795981</v>
      </c>
      <c r="V75" s="120">
        <f>'Pseudo-load coefficients'!V277</f>
        <v>7.2438967635795981</v>
      </c>
      <c r="W75" s="120">
        <f>'Pseudo-load coefficients'!W277</f>
        <v>7.2438967635795981</v>
      </c>
      <c r="X75" s="120">
        <f>'Pseudo-load coefficients'!X277</f>
        <v>7.2438967635795981</v>
      </c>
      <c r="Y75" s="120">
        <f>'Pseudo-load coefficients'!Y277</f>
        <v>7.2438967635795981</v>
      </c>
      <c r="AQ75" s="3"/>
    </row>
    <row r="76" spans="3:43" x14ac:dyDescent="0.3">
      <c r="E76" s="32"/>
      <c r="F76" t="s">
        <v>199</v>
      </c>
      <c r="G76" t="s">
        <v>285</v>
      </c>
      <c r="J76" s="120">
        <f>'Pseudo-load coefficients'!J278</f>
        <v>9.8622329948021186</v>
      </c>
      <c r="K76" s="120">
        <f>'Pseudo-load coefficients'!K278</f>
        <v>9.8622329948021186</v>
      </c>
      <c r="L76" s="120">
        <f>'Pseudo-load coefficients'!L278</f>
        <v>8.625697989463637</v>
      </c>
      <c r="M76" s="120">
        <f>'Pseudo-load coefficients'!M278</f>
        <v>8.625697989463637</v>
      </c>
      <c r="N76" s="120">
        <f>'Pseudo-load coefficients'!N278</f>
        <v>7.3304915755863416</v>
      </c>
      <c r="O76" s="120">
        <f>'Pseudo-load coefficients'!O278</f>
        <v>6.9006351063615989</v>
      </c>
      <c r="P76" s="120">
        <f>'Pseudo-load coefficients'!P278</f>
        <v>6.1453094980709633</v>
      </c>
      <c r="Q76" s="120">
        <f>'Pseudo-load coefficients'!Q278</f>
        <v>24.125295339028813</v>
      </c>
      <c r="R76" s="120">
        <f>'Pseudo-load coefficients'!R278</f>
        <v>6.0229912383758988</v>
      </c>
      <c r="S76" s="120">
        <f>'Pseudo-load coefficients'!S278</f>
        <v>6.0229912383758988</v>
      </c>
      <c r="T76" s="120">
        <f>'Pseudo-load coefficients'!T278</f>
        <v>6.0229912383758988</v>
      </c>
      <c r="U76" s="120">
        <f>'Pseudo-load coefficients'!U278</f>
        <v>6.0229912383758988</v>
      </c>
      <c r="V76" s="120">
        <f>'Pseudo-load coefficients'!V278</f>
        <v>6.0229912383758988</v>
      </c>
      <c r="W76" s="120">
        <f>'Pseudo-load coefficients'!W278</f>
        <v>6.0229912383758988</v>
      </c>
      <c r="X76" s="120">
        <f>'Pseudo-load coefficients'!X278</f>
        <v>6.0229912383758988</v>
      </c>
      <c r="Y76" s="120">
        <f>'Pseudo-load coefficients'!Y278</f>
        <v>6.0229912383758988</v>
      </c>
      <c r="AQ76" s="3"/>
    </row>
    <row r="77" spans="3:43" x14ac:dyDescent="0.3">
      <c r="E77" s="32"/>
      <c r="F77" t="s">
        <v>200</v>
      </c>
      <c r="G77" t="s">
        <v>285</v>
      </c>
      <c r="J77" s="120">
        <f>'Pseudo-load coefficients'!J279</f>
        <v>9.8622329948021186</v>
      </c>
      <c r="K77" s="120">
        <f>'Pseudo-load coefficients'!K279</f>
        <v>9.8622329948021186</v>
      </c>
      <c r="L77" s="120">
        <f>'Pseudo-load coefficients'!L279</f>
        <v>8.625697989463637</v>
      </c>
      <c r="M77" s="120">
        <f>'Pseudo-load coefficients'!M279</f>
        <v>8.625697989463637</v>
      </c>
      <c r="N77" s="120">
        <f>'Pseudo-load coefficients'!N279</f>
        <v>7.3304915755863416</v>
      </c>
      <c r="O77" s="120">
        <f>'Pseudo-load coefficients'!O279</f>
        <v>6.9006351063615989</v>
      </c>
      <c r="P77" s="120">
        <f>'Pseudo-load coefficients'!P279</f>
        <v>6.1453094980709633</v>
      </c>
      <c r="Q77" s="120">
        <f>'Pseudo-load coefficients'!Q279</f>
        <v>24.125295339028813</v>
      </c>
      <c r="R77" s="120">
        <f>'Pseudo-load coefficients'!R279</f>
        <v>6.0229912383758988</v>
      </c>
      <c r="S77" s="120">
        <f>'Pseudo-load coefficients'!S279</f>
        <v>6.0229912383758988</v>
      </c>
      <c r="T77" s="120">
        <f>'Pseudo-load coefficients'!T279</f>
        <v>6.0229912383758988</v>
      </c>
      <c r="U77" s="120">
        <f>'Pseudo-load coefficients'!U279</f>
        <v>6.0229912383758988</v>
      </c>
      <c r="V77" s="120">
        <f>'Pseudo-load coefficients'!V279</f>
        <v>6.0229912383758988</v>
      </c>
      <c r="W77" s="120">
        <f>'Pseudo-load coefficients'!W279</f>
        <v>6.0229912383758988</v>
      </c>
      <c r="X77" s="120">
        <f>'Pseudo-load coefficients'!X279</f>
        <v>6.0229912383758988</v>
      </c>
      <c r="Y77" s="120">
        <f>'Pseudo-load coefficients'!Y279</f>
        <v>6.0229912383758988</v>
      </c>
      <c r="AQ77" s="3"/>
    </row>
    <row r="78" spans="3:43" x14ac:dyDescent="0.3">
      <c r="E78" s="32"/>
      <c r="F78" s="37" t="s">
        <v>201</v>
      </c>
      <c r="G78" s="37" t="s">
        <v>285</v>
      </c>
      <c r="H78" s="37"/>
      <c r="I78" s="37"/>
      <c r="J78" s="125">
        <f>'Pseudo-load coefficients'!J280</f>
        <v>9.8622329948021186</v>
      </c>
      <c r="K78" s="125">
        <f>'Pseudo-load coefficients'!K280</f>
        <v>9.8622329948021186</v>
      </c>
      <c r="L78" s="125">
        <f>'Pseudo-load coefficients'!L280</f>
        <v>8.625697989463637</v>
      </c>
      <c r="M78" s="125">
        <f>'Pseudo-load coefficients'!M280</f>
        <v>8.625697989463637</v>
      </c>
      <c r="N78" s="125">
        <f>'Pseudo-load coefficients'!N280</f>
        <v>7.3304915755863416</v>
      </c>
      <c r="O78" s="125">
        <f>'Pseudo-load coefficients'!O280</f>
        <v>6.9006351063615989</v>
      </c>
      <c r="P78" s="125">
        <f>'Pseudo-load coefficients'!P280</f>
        <v>6.1453094980709633</v>
      </c>
      <c r="Q78" s="125">
        <f>'Pseudo-load coefficients'!Q280</f>
        <v>24.125295339028813</v>
      </c>
      <c r="R78" s="125">
        <f>'Pseudo-load coefficients'!R280</f>
        <v>6.0229912383758988</v>
      </c>
      <c r="S78" s="125">
        <f>'Pseudo-load coefficients'!S280</f>
        <v>6.0229912383758988</v>
      </c>
      <c r="T78" s="125">
        <f>'Pseudo-load coefficients'!T280</f>
        <v>6.0229912383758988</v>
      </c>
      <c r="U78" s="125">
        <f>'Pseudo-load coefficients'!U280</f>
        <v>6.0229912383758988</v>
      </c>
      <c r="V78" s="125">
        <f>'Pseudo-load coefficients'!V280</f>
        <v>6.0229912383758988</v>
      </c>
      <c r="W78" s="125">
        <f>'Pseudo-load coefficients'!W280</f>
        <v>6.0229912383758988</v>
      </c>
      <c r="X78" s="125">
        <f>'Pseudo-load coefficients'!X280</f>
        <v>6.0229912383758988</v>
      </c>
      <c r="Y78" s="125">
        <f>'Pseudo-load coefficients'!Y280</f>
        <v>6.0229912383758988</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510</v>
      </c>
      <c r="J80" s="89"/>
      <c r="K80" s="89"/>
      <c r="L80" s="89"/>
      <c r="M80" s="89"/>
      <c r="N80" s="89"/>
      <c r="O80" s="89"/>
      <c r="P80" s="89"/>
      <c r="Q80" s="89"/>
      <c r="R80" s="89"/>
      <c r="S80" s="89"/>
      <c r="T80" s="89"/>
      <c r="U80" s="89"/>
      <c r="V80" s="89"/>
      <c r="W80" s="89"/>
      <c r="X80" s="89"/>
      <c r="Y80" s="89"/>
      <c r="AQ80" s="3"/>
    </row>
    <row r="81" spans="5:43" x14ac:dyDescent="0.3">
      <c r="E81" s="29" t="s">
        <v>511</v>
      </c>
      <c r="J81" s="89"/>
      <c r="K81" s="89"/>
      <c r="L81" s="89"/>
      <c r="M81" s="89"/>
      <c r="N81" s="89"/>
      <c r="O81" s="89"/>
      <c r="P81" s="89"/>
      <c r="Q81" s="89"/>
      <c r="R81" s="89"/>
      <c r="S81" s="89"/>
      <c r="T81" s="89"/>
      <c r="U81" s="89"/>
      <c r="V81" s="89"/>
      <c r="W81" s="89"/>
      <c r="X81" s="89"/>
      <c r="Y81" s="89"/>
      <c r="AQ81" s="3"/>
    </row>
    <row r="82" spans="5:43" x14ac:dyDescent="0.3">
      <c r="E82" s="32"/>
      <c r="F82" s="23" t="s">
        <v>193</v>
      </c>
      <c r="G82" s="23" t="s">
        <v>174</v>
      </c>
      <c r="H82" s="23"/>
      <c r="I82" s="23"/>
      <c r="J82" s="158">
        <f t="shared" ref="J82:Y82" si="1">J$56 * J34 * J70 / hours_in_year / $H45</f>
        <v>1935.4447004787755</v>
      </c>
      <c r="K82" s="158">
        <f t="shared" si="1"/>
        <v>1.7623648845707698</v>
      </c>
      <c r="L82" s="158">
        <f t="shared" si="1"/>
        <v>542.60847440998998</v>
      </c>
      <c r="M82" s="158">
        <f t="shared" si="1"/>
        <v>6.5444468792104957E-2</v>
      </c>
      <c r="N82" s="158">
        <f t="shared" si="1"/>
        <v>488.83476272889231</v>
      </c>
      <c r="O82" s="158">
        <f t="shared" si="1"/>
        <v>37.241758418269129</v>
      </c>
      <c r="P82" s="158">
        <f t="shared" si="1"/>
        <v>782.31104580718522</v>
      </c>
      <c r="Q82" s="158">
        <f t="shared" si="1"/>
        <v>36.997127989520934</v>
      </c>
      <c r="R82" s="158">
        <f t="shared" si="1"/>
        <v>-8.3258323954080921E-2</v>
      </c>
      <c r="S82" s="158">
        <f t="shared" si="1"/>
        <v>0</v>
      </c>
      <c r="T82" s="158">
        <f t="shared" si="1"/>
        <v>-5.6742348632006516</v>
      </c>
      <c r="U82" s="158">
        <f t="shared" si="1"/>
        <v>0</v>
      </c>
      <c r="V82" s="158">
        <f t="shared" si="1"/>
        <v>-0.74266885497743629</v>
      </c>
      <c r="W82" s="158">
        <f t="shared" si="1"/>
        <v>0</v>
      </c>
      <c r="X82" s="158">
        <f t="shared" si="1"/>
        <v>-317.28580234909822</v>
      </c>
      <c r="Y82" s="158">
        <f t="shared" si="1"/>
        <v>0</v>
      </c>
      <c r="AQ82" s="3"/>
    </row>
    <row r="83" spans="5:43" x14ac:dyDescent="0.3">
      <c r="E83" s="32"/>
      <c r="F83" t="s">
        <v>194</v>
      </c>
      <c r="G83" t="s">
        <v>174</v>
      </c>
      <c r="J83" s="89">
        <f t="shared" ref="J83:Y83" si="2">J$56 * J35 * J71 / hours_in_year / $H46</f>
        <v>1447.8675480603395</v>
      </c>
      <c r="K83" s="89">
        <f t="shared" si="2"/>
        <v>1.3183899925324194</v>
      </c>
      <c r="L83" s="89">
        <f t="shared" si="2"/>
        <v>405.91456899099802</v>
      </c>
      <c r="M83" s="89">
        <f t="shared" si="2"/>
        <v>4.8957700801627993E-2</v>
      </c>
      <c r="N83" s="89">
        <f t="shared" si="2"/>
        <v>365.68752863042636</v>
      </c>
      <c r="O83" s="89">
        <f t="shared" si="2"/>
        <v>27.859816110052751</v>
      </c>
      <c r="P83" s="89">
        <f t="shared" si="2"/>
        <v>585.23127807948981</v>
      </c>
      <c r="Q83" s="89">
        <f t="shared" si="2"/>
        <v>30.523870462267602</v>
      </c>
      <c r="R83" s="89">
        <f t="shared" si="2"/>
        <v>-6.2283890275546767E-2</v>
      </c>
      <c r="S83" s="89">
        <f t="shared" si="2"/>
        <v>0</v>
      </c>
      <c r="T83" s="89">
        <f t="shared" si="2"/>
        <v>-4.2447818408185585</v>
      </c>
      <c r="U83" s="89">
        <f t="shared" si="2"/>
        <v>0</v>
      </c>
      <c r="V83" s="89">
        <f t="shared" si="2"/>
        <v>-0.55557574639614571</v>
      </c>
      <c r="W83" s="89">
        <f t="shared" si="2"/>
        <v>0</v>
      </c>
      <c r="X83" s="89">
        <f t="shared" si="2"/>
        <v>-237.35517556657985</v>
      </c>
      <c r="Y83" s="89">
        <f t="shared" si="2"/>
        <v>0</v>
      </c>
      <c r="AQ83" s="3"/>
    </row>
    <row r="84" spans="5:43" x14ac:dyDescent="0.3">
      <c r="E84" s="32"/>
      <c r="F84" t="s">
        <v>195</v>
      </c>
      <c r="G84" t="s">
        <v>174</v>
      </c>
      <c r="J84" s="89">
        <f t="shared" ref="J84:Y84" si="3">J$56 * J36 * J72 / hours_in_year / $H47</f>
        <v>1333.8883758869461</v>
      </c>
      <c r="K84" s="89">
        <f t="shared" si="3"/>
        <v>1.2146035652781848</v>
      </c>
      <c r="L84" s="89">
        <f t="shared" si="3"/>
        <v>373.96012218493865</v>
      </c>
      <c r="M84" s="89">
        <f t="shared" si="3"/>
        <v>4.5103647841909546E-2</v>
      </c>
      <c r="N84" s="89">
        <f t="shared" si="3"/>
        <v>336.89983887022106</v>
      </c>
      <c r="O84" s="89">
        <f t="shared" si="3"/>
        <v>25.666632913578173</v>
      </c>
      <c r="P84" s="89">
        <f t="shared" si="3"/>
        <v>539.16064358337269</v>
      </c>
      <c r="Q84" s="89">
        <f t="shared" si="3"/>
        <v>28.120967315858959</v>
      </c>
      <c r="R84" s="89">
        <f t="shared" si="3"/>
        <v>-5.7380771711382755E-2</v>
      </c>
      <c r="S84" s="89">
        <f t="shared" si="3"/>
        <v>0</v>
      </c>
      <c r="T84" s="89">
        <f t="shared" si="3"/>
        <v>-3.9106237053445612</v>
      </c>
      <c r="U84" s="89">
        <f t="shared" si="3"/>
        <v>0</v>
      </c>
      <c r="V84" s="89">
        <f t="shared" si="3"/>
        <v>-0.51183965759528738</v>
      </c>
      <c r="W84" s="89">
        <f t="shared" si="3"/>
        <v>0</v>
      </c>
      <c r="X84" s="89">
        <f t="shared" si="3"/>
        <v>-218.67007798400607</v>
      </c>
      <c r="Y84" s="89">
        <f t="shared" si="3"/>
        <v>0</v>
      </c>
      <c r="AQ84" s="3"/>
    </row>
    <row r="85" spans="5:43" x14ac:dyDescent="0.3">
      <c r="E85" s="32"/>
      <c r="F85" t="s">
        <v>196</v>
      </c>
      <c r="G85" t="s">
        <v>174</v>
      </c>
      <c r="J85" s="89">
        <f t="shared" ref="J85:Y85" si="4">J$56 * J37 * J73 / hours_in_year / $H48</f>
        <v>1101.4074312341627</v>
      </c>
      <c r="K85" s="89">
        <f t="shared" si="4"/>
        <v>1.0029125502434726</v>
      </c>
      <c r="L85" s="89">
        <f t="shared" si="4"/>
        <v>308.78330226534348</v>
      </c>
      <c r="M85" s="89">
        <f t="shared" si="4"/>
        <v>3.7242616254014274E-2</v>
      </c>
      <c r="N85" s="89">
        <f t="shared" si="4"/>
        <v>278.18218737120407</v>
      </c>
      <c r="O85" s="89">
        <f t="shared" si="4"/>
        <v>21.193242805626138</v>
      </c>
      <c r="P85" s="89">
        <f t="shared" si="4"/>
        <v>445.19132950450944</v>
      </c>
      <c r="Q85" s="89">
        <f t="shared" si="4"/>
        <v>23.832583636654704</v>
      </c>
      <c r="R85" s="89">
        <f t="shared" si="4"/>
        <v>-4.7379982849647742E-2</v>
      </c>
      <c r="S85" s="89">
        <f t="shared" si="4"/>
        <v>0</v>
      </c>
      <c r="T85" s="89">
        <f t="shared" si="4"/>
        <v>-3.2290483129542111</v>
      </c>
      <c r="U85" s="89">
        <f t="shared" si="4"/>
        <v>0</v>
      </c>
      <c r="V85" s="89">
        <f t="shared" si="4"/>
        <v>-0.42263206777024881</v>
      </c>
      <c r="W85" s="89">
        <f t="shared" si="4"/>
        <v>0</v>
      </c>
      <c r="X85" s="89">
        <f t="shared" si="4"/>
        <v>-180.55847343297563</v>
      </c>
      <c r="Y85" s="89">
        <f t="shared" si="4"/>
        <v>0</v>
      </c>
      <c r="AQ85" s="3"/>
    </row>
    <row r="86" spans="5:43" x14ac:dyDescent="0.3">
      <c r="E86" s="32"/>
      <c r="F86" t="s">
        <v>197</v>
      </c>
      <c r="G86" t="s">
        <v>174</v>
      </c>
      <c r="J86" s="89">
        <f t="shared" ref="J86:Y86" si="5">J$56 * J38 * J74 / hours_in_year / $H49</f>
        <v>1094.9222059275828</v>
      </c>
      <c r="K86" s="89">
        <f t="shared" si="5"/>
        <v>0.99700727516843746</v>
      </c>
      <c r="L86" s="89">
        <f t="shared" si="5"/>
        <v>306.9651473943012</v>
      </c>
      <c r="M86" s="89">
        <f t="shared" si="5"/>
        <v>3.7023327051340982E-2</v>
      </c>
      <c r="N86" s="89">
        <f t="shared" si="5"/>
        <v>276.54421570856692</v>
      </c>
      <c r="O86" s="89">
        <f t="shared" si="5"/>
        <v>21.068454329832459</v>
      </c>
      <c r="P86" s="89">
        <f t="shared" si="5"/>
        <v>442.56998703441417</v>
      </c>
      <c r="Q86" s="89">
        <f t="shared" si="5"/>
        <v>23.692254390511497</v>
      </c>
      <c r="R86" s="89">
        <f t="shared" si="5"/>
        <v>-4.710100355907082E-2</v>
      </c>
      <c r="S86" s="89">
        <f t="shared" si="5"/>
        <v>0</v>
      </c>
      <c r="T86" s="89">
        <f t="shared" si="5"/>
        <v>-3.2100352708759723</v>
      </c>
      <c r="U86" s="89">
        <f t="shared" si="5"/>
        <v>0</v>
      </c>
      <c r="V86" s="89">
        <f t="shared" si="5"/>
        <v>-0.42014355706698925</v>
      </c>
      <c r="W86" s="89">
        <f t="shared" si="5"/>
        <v>0</v>
      </c>
      <c r="X86" s="89">
        <f t="shared" si="5"/>
        <v>-179.4953224608482</v>
      </c>
      <c r="Y86" s="89">
        <f t="shared" si="5"/>
        <v>0</v>
      </c>
      <c r="AQ86" s="3"/>
    </row>
    <row r="87" spans="5:43" x14ac:dyDescent="0.3">
      <c r="E87" s="32"/>
      <c r="F87" t="s">
        <v>198</v>
      </c>
      <c r="G87" t="s">
        <v>174</v>
      </c>
      <c r="J87" s="89">
        <f t="shared" ref="J87:Y87" si="6">J$56 * J39 * J75 / hours_in_year / $H50</f>
        <v>106.84158686378069</v>
      </c>
      <c r="K87" s="89">
        <f t="shared" si="6"/>
        <v>9.7287130370589253E-2</v>
      </c>
      <c r="L87" s="89">
        <f t="shared" si="6"/>
        <v>29.953400599540512</v>
      </c>
      <c r="M87" s="89">
        <f t="shared" si="6"/>
        <v>3.6127050777921949E-3</v>
      </c>
      <c r="N87" s="89">
        <f t="shared" si="6"/>
        <v>26.984951701908528</v>
      </c>
      <c r="O87" s="89">
        <f t="shared" si="6"/>
        <v>2.0558420325939299</v>
      </c>
      <c r="P87" s="89">
        <f t="shared" si="6"/>
        <v>43.185606664156964</v>
      </c>
      <c r="Q87" s="89">
        <f t="shared" si="6"/>
        <v>2.252428933697769</v>
      </c>
      <c r="R87" s="89">
        <f t="shared" si="6"/>
        <v>-4.5960762654041415E-3</v>
      </c>
      <c r="S87" s="89">
        <f t="shared" si="6"/>
        <v>0</v>
      </c>
      <c r="T87" s="89">
        <f t="shared" si="6"/>
        <v>-0.31323253868848694</v>
      </c>
      <c r="U87" s="89">
        <f t="shared" si="6"/>
        <v>0</v>
      </c>
      <c r="V87" s="89">
        <f t="shared" si="6"/>
        <v>-4.0997254512344282E-2</v>
      </c>
      <c r="W87" s="89">
        <f t="shared" si="6"/>
        <v>0</v>
      </c>
      <c r="X87" s="89">
        <f t="shared" si="6"/>
        <v>-17.515002419826189</v>
      </c>
      <c r="Y87" s="89">
        <f t="shared" si="6"/>
        <v>0</v>
      </c>
      <c r="AQ87" s="3"/>
    </row>
    <row r="88" spans="5:43" x14ac:dyDescent="0.3">
      <c r="E88" s="32"/>
      <c r="F88" t="s">
        <v>199</v>
      </c>
      <c r="G88" t="s">
        <v>174</v>
      </c>
      <c r="J88" s="89">
        <f t="shared" ref="J88:Y88" si="7">J$56 * J40 * J76 / hours_in_year / $H51</f>
        <v>1166.5839470314561</v>
      </c>
      <c r="K88" s="89">
        <f t="shared" si="7"/>
        <v>1.0622605660826274</v>
      </c>
      <c r="L88" s="89">
        <f t="shared" si="7"/>
        <v>327.05575913036245</v>
      </c>
      <c r="M88" s="89">
        <f t="shared" si="7"/>
        <v>3.9446472790457279E-2</v>
      </c>
      <c r="N88" s="89">
        <f>N$56 * N40 * N76 / hours_in_year / $H51</f>
        <v>294.64380295101603</v>
      </c>
      <c r="O88" s="89">
        <f t="shared" si="7"/>
        <v>22.447367015564492</v>
      </c>
      <c r="P88" s="89">
        <f t="shared" si="7"/>
        <v>471.53582192159382</v>
      </c>
      <c r="Q88" s="89">
        <f t="shared" si="7"/>
        <v>25.242892592119258</v>
      </c>
      <c r="R88" s="89">
        <f t="shared" si="7"/>
        <v>-5.0183724783016845E-2</v>
      </c>
      <c r="S88" s="89">
        <f t="shared" si="7"/>
        <v>0</v>
      </c>
      <c r="T88" s="89">
        <f t="shared" si="7"/>
        <v>-3.420129390138936</v>
      </c>
      <c r="U88" s="89">
        <f t="shared" si="7"/>
        <v>0</v>
      </c>
      <c r="V88" s="89">
        <f t="shared" si="7"/>
        <v>-0.44764160090060434</v>
      </c>
      <c r="W88" s="89">
        <f t="shared" si="7"/>
        <v>0</v>
      </c>
      <c r="X88" s="89">
        <f t="shared" si="7"/>
        <v>0</v>
      </c>
      <c r="Y88" s="89">
        <f t="shared" si="7"/>
        <v>0</v>
      </c>
      <c r="AQ88" s="3"/>
    </row>
    <row r="89" spans="5:43" x14ac:dyDescent="0.3">
      <c r="E89" s="32"/>
      <c r="F89" t="s">
        <v>200</v>
      </c>
      <c r="G89" t="s">
        <v>174</v>
      </c>
      <c r="J89" s="89">
        <f t="shared" ref="J89:Y89" si="8">J$56 * J41 * J77 / hours_in_year / $H52</f>
        <v>1153.2005747901776</v>
      </c>
      <c r="K89" s="89">
        <f t="shared" si="8"/>
        <v>1.0500740203914309</v>
      </c>
      <c r="L89" s="89">
        <f t="shared" si="8"/>
        <v>323.3036854118497</v>
      </c>
      <c r="M89" s="89">
        <f t="shared" si="8"/>
        <v>3.8993931993626031E-2</v>
      </c>
      <c r="N89" s="89">
        <f t="shared" si="8"/>
        <v>291.26356811792596</v>
      </c>
      <c r="O89" s="89">
        <f t="shared" si="8"/>
        <v>22.189844640624937</v>
      </c>
      <c r="P89" s="89">
        <f t="shared" si="8"/>
        <v>0</v>
      </c>
      <c r="Q89" s="89">
        <f t="shared" si="8"/>
        <v>24.953299178060526</v>
      </c>
      <c r="R89" s="89">
        <f t="shared" si="8"/>
        <v>-4.9608003274989883E-2</v>
      </c>
      <c r="S89" s="89">
        <f t="shared" si="8"/>
        <v>0</v>
      </c>
      <c r="T89" s="89">
        <f t="shared" si="8"/>
        <v>-3.3808927240952769</v>
      </c>
      <c r="U89" s="89">
        <f t="shared" si="8"/>
        <v>0</v>
      </c>
      <c r="V89" s="89">
        <f t="shared" si="8"/>
        <v>0</v>
      </c>
      <c r="W89" s="89">
        <f t="shared" si="8"/>
        <v>0</v>
      </c>
      <c r="X89" s="89">
        <f t="shared" si="8"/>
        <v>0</v>
      </c>
      <c r="Y89" s="89">
        <f t="shared" si="8"/>
        <v>0</v>
      </c>
      <c r="AQ89" s="3"/>
    </row>
    <row r="90" spans="5:43" x14ac:dyDescent="0.3">
      <c r="E90" s="32"/>
      <c r="F90" s="37" t="s">
        <v>201</v>
      </c>
      <c r="G90" s="37" t="s">
        <v>174</v>
      </c>
      <c r="H90" s="37"/>
      <c r="I90" s="37"/>
      <c r="J90" s="82">
        <f t="shared" ref="J90:Y90" si="9">J$56 * J42 * J78 / hours_in_year / $H53</f>
        <v>1122.0909778888613</v>
      </c>
      <c r="K90" s="82">
        <f t="shared" si="9"/>
        <v>1.021746442166918</v>
      </c>
      <c r="L90" s="82">
        <f t="shared" si="9"/>
        <v>314.58200459608821</v>
      </c>
      <c r="M90" s="82">
        <f t="shared" si="9"/>
        <v>3.794200266542589E-2</v>
      </c>
      <c r="N90" s="82">
        <f t="shared" si="9"/>
        <v>283.40622535009356</v>
      </c>
      <c r="O90" s="82">
        <f t="shared" si="9"/>
        <v>0</v>
      </c>
      <c r="P90" s="82">
        <f t="shared" si="9"/>
        <v>0</v>
      </c>
      <c r="Q90" s="82">
        <f t="shared" si="9"/>
        <v>24.280140409536106</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512</v>
      </c>
      <c r="J92" s="89"/>
      <c r="K92" s="89"/>
      <c r="L92" s="89"/>
      <c r="M92" s="89"/>
      <c r="N92" s="89"/>
      <c r="O92" s="89"/>
      <c r="P92" s="89"/>
      <c r="Q92" s="89"/>
      <c r="R92" s="89"/>
      <c r="S92" s="89"/>
      <c r="T92" s="89"/>
      <c r="U92" s="89"/>
      <c r="V92" s="89"/>
      <c r="W92" s="89"/>
      <c r="X92" s="89"/>
      <c r="Y92" s="89"/>
      <c r="AQ92" s="3"/>
    </row>
    <row r="93" spans="5:43" x14ac:dyDescent="0.3">
      <c r="E93" s="32"/>
      <c r="F93" s="23" t="s">
        <v>193</v>
      </c>
      <c r="G93" s="23" t="s">
        <v>285</v>
      </c>
      <c r="H93" s="23"/>
      <c r="I93" s="23"/>
      <c r="J93" s="124">
        <f>'Pseudo-load coefficients'!J283</f>
        <v>0.71286714529223738</v>
      </c>
      <c r="K93" s="124">
        <f>'Pseudo-load coefficients'!K283</f>
        <v>0.71286714529223738</v>
      </c>
      <c r="L93" s="124">
        <f>'Pseudo-load coefficients'!L283</f>
        <v>0.62348726755317441</v>
      </c>
      <c r="M93" s="124">
        <f>'Pseudo-load coefficients'!M283</f>
        <v>0.62348726755317441</v>
      </c>
      <c r="N93" s="124">
        <f>'Pseudo-load coefficients'!N283</f>
        <v>0.52986647200803438</v>
      </c>
      <c r="O93" s="124">
        <f>'Pseudo-load coefficients'!O283</f>
        <v>0.49879535918164436</v>
      </c>
      <c r="P93" s="124">
        <f>'Pseudo-load coefficients'!P283</f>
        <v>0.44419851377837155</v>
      </c>
      <c r="Q93" s="124">
        <f>'Pseudo-load coefficients'!Q283</f>
        <v>1.0940711204794933</v>
      </c>
      <c r="R93" s="124">
        <f>'Pseudo-load coefficients'!R283</f>
        <v>0.4353570405895012</v>
      </c>
      <c r="S93" s="124">
        <f>'Pseudo-load coefficients'!S283</f>
        <v>0.4353570405895012</v>
      </c>
      <c r="T93" s="124">
        <f>'Pseudo-load coefficients'!T283</f>
        <v>0.4353570405895012</v>
      </c>
      <c r="U93" s="124">
        <f>'Pseudo-load coefficients'!U283</f>
        <v>0.4353570405895012</v>
      </c>
      <c r="V93" s="124">
        <f>'Pseudo-load coefficients'!V283</f>
        <v>0.4353570405895012</v>
      </c>
      <c r="W93" s="124">
        <f>'Pseudo-load coefficients'!W283</f>
        <v>0.4353570405895012</v>
      </c>
      <c r="X93" s="124">
        <f>'Pseudo-load coefficients'!X283</f>
        <v>0.4353570405895012</v>
      </c>
      <c r="Y93" s="124">
        <f>'Pseudo-load coefficients'!Y283</f>
        <v>0.4353570405895012</v>
      </c>
      <c r="AQ93" s="3"/>
    </row>
    <row r="94" spans="5:43" x14ac:dyDescent="0.3">
      <c r="E94" s="32"/>
      <c r="F94" t="s">
        <v>194</v>
      </c>
      <c r="G94" t="s">
        <v>285</v>
      </c>
      <c r="J94" s="120">
        <f>'Pseudo-load coefficients'!J284</f>
        <v>1.6235578587856365</v>
      </c>
      <c r="K94" s="120">
        <f>'Pseudo-load coefficients'!K284</f>
        <v>1.6235578587856365</v>
      </c>
      <c r="L94" s="120">
        <f>'Pseudo-load coefficients'!L284</f>
        <v>1.4199948191942044</v>
      </c>
      <c r="M94" s="120">
        <f>'Pseudo-load coefficients'!M284</f>
        <v>1.4199948191942044</v>
      </c>
      <c r="N94" s="120">
        <f>'Pseudo-load coefficients'!N284</f>
        <v>1.2067730718365477</v>
      </c>
      <c r="O94" s="120">
        <f>'Pseudo-load coefficients'!O284</f>
        <v>1.136008484432508</v>
      </c>
      <c r="P94" s="120">
        <f>'Pseudo-load coefficients'!P284</f>
        <v>1.0116639442123947</v>
      </c>
      <c r="Q94" s="120">
        <f>'Pseudo-load coefficients'!Q284</f>
        <v>1.4016836955203626</v>
      </c>
      <c r="R94" s="120">
        <f>'Pseudo-load coefficients'!R284</f>
        <v>0.99152745261809017</v>
      </c>
      <c r="S94" s="120">
        <f>'Pseudo-load coefficients'!S284</f>
        <v>0.99152745261809017</v>
      </c>
      <c r="T94" s="120">
        <f>'Pseudo-load coefficients'!T284</f>
        <v>0.99152745261809017</v>
      </c>
      <c r="U94" s="120">
        <f>'Pseudo-load coefficients'!U284</f>
        <v>0.99152745261809017</v>
      </c>
      <c r="V94" s="120">
        <f>'Pseudo-load coefficients'!V284</f>
        <v>0.99152745261809017</v>
      </c>
      <c r="W94" s="120">
        <f>'Pseudo-load coefficients'!W284</f>
        <v>0.99152745261809017</v>
      </c>
      <c r="X94" s="120">
        <f>'Pseudo-load coefficients'!X284</f>
        <v>0.99152745261809017</v>
      </c>
      <c r="Y94" s="120">
        <f>'Pseudo-load coefficients'!Y284</f>
        <v>0.99152745261809017</v>
      </c>
      <c r="AQ94" s="3"/>
    </row>
    <row r="95" spans="5:43" x14ac:dyDescent="0.3">
      <c r="E95" s="32"/>
      <c r="F95" t="s">
        <v>195</v>
      </c>
      <c r="G95" t="s">
        <v>285</v>
      </c>
      <c r="J95" s="120">
        <f>'Pseudo-load coefficients'!J285</f>
        <v>1.6235578587856365</v>
      </c>
      <c r="K95" s="120">
        <f>'Pseudo-load coefficients'!K285</f>
        <v>1.6235578587856365</v>
      </c>
      <c r="L95" s="120">
        <f>'Pseudo-load coefficients'!L285</f>
        <v>1.4199948191942044</v>
      </c>
      <c r="M95" s="120">
        <f>'Pseudo-load coefficients'!M285</f>
        <v>1.4199948191942044</v>
      </c>
      <c r="N95" s="120">
        <f>'Pseudo-load coefficients'!N285</f>
        <v>1.2067730718365477</v>
      </c>
      <c r="O95" s="120">
        <f>'Pseudo-load coefficients'!O285</f>
        <v>1.136008484432508</v>
      </c>
      <c r="P95" s="120">
        <f>'Pseudo-load coefficients'!P285</f>
        <v>1.0116639442123947</v>
      </c>
      <c r="Q95" s="120">
        <f>'Pseudo-load coefficients'!Q285</f>
        <v>1.4016836955203626</v>
      </c>
      <c r="R95" s="120">
        <f>'Pseudo-load coefficients'!R285</f>
        <v>0.99152745261809017</v>
      </c>
      <c r="S95" s="120">
        <f>'Pseudo-load coefficients'!S285</f>
        <v>0.99152745261809017</v>
      </c>
      <c r="T95" s="120">
        <f>'Pseudo-load coefficients'!T285</f>
        <v>0.99152745261809017</v>
      </c>
      <c r="U95" s="120">
        <f>'Pseudo-load coefficients'!U285</f>
        <v>0.99152745261809017</v>
      </c>
      <c r="V95" s="120">
        <f>'Pseudo-load coefficients'!V285</f>
        <v>0.99152745261809017</v>
      </c>
      <c r="W95" s="120">
        <f>'Pseudo-load coefficients'!W285</f>
        <v>0.99152745261809017</v>
      </c>
      <c r="X95" s="120">
        <f>'Pseudo-load coefficients'!X285</f>
        <v>0.99152745261809017</v>
      </c>
      <c r="Y95" s="120">
        <f>'Pseudo-load coefficients'!Y285</f>
        <v>0.99152745261809017</v>
      </c>
      <c r="AQ95" s="3"/>
    </row>
    <row r="96" spans="5:43" x14ac:dyDescent="0.3">
      <c r="E96" s="32"/>
      <c r="F96" t="s">
        <v>196</v>
      </c>
      <c r="G96" t="s">
        <v>285</v>
      </c>
      <c r="J96" s="120">
        <f>'Pseudo-load coefficients'!J286</f>
        <v>2.1099819033762928</v>
      </c>
      <c r="K96" s="120">
        <f>'Pseudo-load coefficients'!K286</f>
        <v>2.1099819033762928</v>
      </c>
      <c r="L96" s="120">
        <f>'Pseudo-load coefficients'!L286</f>
        <v>1.8454306110340197</v>
      </c>
      <c r="M96" s="120">
        <f>'Pseudo-load coefficients'!M286</f>
        <v>1.8454306110340197</v>
      </c>
      <c r="N96" s="120">
        <f>'Pseudo-load coefficients'!N286</f>
        <v>1.5683268257291756</v>
      </c>
      <c r="O96" s="120">
        <f>'Pseudo-load coefficients'!O286</f>
        <v>1.4763609016234012</v>
      </c>
      <c r="P96" s="120">
        <f>'Pseudo-load coefficients'!P286</f>
        <v>1.3147622691950351</v>
      </c>
      <c r="Q96" s="120">
        <f>'Pseudo-load coefficients'!Q286</f>
        <v>1.6676484460892242</v>
      </c>
      <c r="R96" s="120">
        <f>'Pseudo-load coefficients'!R286</f>
        <v>1.2885928089373944</v>
      </c>
      <c r="S96" s="120">
        <f>'Pseudo-load coefficients'!S286</f>
        <v>1.2885928089373944</v>
      </c>
      <c r="T96" s="120">
        <f>'Pseudo-load coefficients'!T286</f>
        <v>1.2885928089373944</v>
      </c>
      <c r="U96" s="120">
        <f>'Pseudo-load coefficients'!U286</f>
        <v>1.2885928089373944</v>
      </c>
      <c r="V96" s="120">
        <f>'Pseudo-load coefficients'!V286</f>
        <v>1.2885928089373944</v>
      </c>
      <c r="W96" s="120">
        <f>'Pseudo-load coefficients'!W286</f>
        <v>1.2885928089373944</v>
      </c>
      <c r="X96" s="120">
        <f>'Pseudo-load coefficients'!X286</f>
        <v>1.2885928089373944</v>
      </c>
      <c r="Y96" s="120">
        <f>'Pseudo-load coefficients'!Y286</f>
        <v>1.2885928089373944</v>
      </c>
      <c r="AQ96" s="3"/>
    </row>
    <row r="97" spans="5:43" x14ac:dyDescent="0.3">
      <c r="E97" s="32"/>
      <c r="F97" t="s">
        <v>197</v>
      </c>
      <c r="G97" t="s">
        <v>285</v>
      </c>
      <c r="J97" s="120">
        <f>'Pseudo-load coefficients'!J287</f>
        <v>2.1099819033762928</v>
      </c>
      <c r="K97" s="120">
        <f>'Pseudo-load coefficients'!K287</f>
        <v>2.1099819033762928</v>
      </c>
      <c r="L97" s="120">
        <f>'Pseudo-load coefficients'!L287</f>
        <v>1.8454306110340197</v>
      </c>
      <c r="M97" s="120">
        <f>'Pseudo-load coefficients'!M287</f>
        <v>1.8454306110340197</v>
      </c>
      <c r="N97" s="120">
        <f>'Pseudo-load coefficients'!N287</f>
        <v>1.5683268257291756</v>
      </c>
      <c r="O97" s="120">
        <f>'Pseudo-load coefficients'!O287</f>
        <v>1.4763609016234012</v>
      </c>
      <c r="P97" s="120">
        <f>'Pseudo-load coefficients'!P287</f>
        <v>1.3147622691950351</v>
      </c>
      <c r="Q97" s="120">
        <f>'Pseudo-load coefficients'!Q287</f>
        <v>1.6676484460892242</v>
      </c>
      <c r="R97" s="120">
        <f>'Pseudo-load coefficients'!R287</f>
        <v>1.2885928089373944</v>
      </c>
      <c r="S97" s="120">
        <f>'Pseudo-load coefficients'!S287</f>
        <v>1.2885928089373944</v>
      </c>
      <c r="T97" s="120">
        <f>'Pseudo-load coefficients'!T287</f>
        <v>1.2885928089373944</v>
      </c>
      <c r="U97" s="120">
        <f>'Pseudo-load coefficients'!U287</f>
        <v>1.2885928089373944</v>
      </c>
      <c r="V97" s="120">
        <f>'Pseudo-load coefficients'!V287</f>
        <v>1.2885928089373944</v>
      </c>
      <c r="W97" s="120">
        <f>'Pseudo-load coefficients'!W287</f>
        <v>1.2885928089373944</v>
      </c>
      <c r="X97" s="120">
        <f>'Pseudo-load coefficients'!X287</f>
        <v>1.2885928089373944</v>
      </c>
      <c r="Y97" s="120">
        <f>'Pseudo-load coefficients'!Y287</f>
        <v>1.2885928089373944</v>
      </c>
      <c r="AQ97" s="3"/>
    </row>
    <row r="98" spans="5:43" x14ac:dyDescent="0.3">
      <c r="E98" s="32"/>
      <c r="F98" t="s">
        <v>198</v>
      </c>
      <c r="G98" t="s">
        <v>285</v>
      </c>
      <c r="J98" s="120">
        <f>'Pseudo-load coefficients'!J288</f>
        <v>1.6235578587856365</v>
      </c>
      <c r="K98" s="120">
        <f>'Pseudo-load coefficients'!K288</f>
        <v>1.6235578587856365</v>
      </c>
      <c r="L98" s="120">
        <f>'Pseudo-load coefficients'!L288</f>
        <v>1.4199948191942044</v>
      </c>
      <c r="M98" s="120">
        <f>'Pseudo-load coefficients'!M288</f>
        <v>1.4199948191942044</v>
      </c>
      <c r="N98" s="120">
        <f>'Pseudo-load coefficients'!N288</f>
        <v>1.2067730718365477</v>
      </c>
      <c r="O98" s="120">
        <f>'Pseudo-load coefficients'!O288</f>
        <v>1.136008484432508</v>
      </c>
      <c r="P98" s="120">
        <f>'Pseudo-load coefficients'!P288</f>
        <v>1.0116639442123947</v>
      </c>
      <c r="Q98" s="120">
        <f>'Pseudo-load coefficients'!Q288</f>
        <v>1.4016836955203626</v>
      </c>
      <c r="R98" s="120">
        <f>'Pseudo-load coefficients'!R288</f>
        <v>0.99152745261809017</v>
      </c>
      <c r="S98" s="120">
        <f>'Pseudo-load coefficients'!S288</f>
        <v>0.99152745261809017</v>
      </c>
      <c r="T98" s="120">
        <f>'Pseudo-load coefficients'!T288</f>
        <v>0.99152745261809017</v>
      </c>
      <c r="U98" s="120">
        <f>'Pseudo-load coefficients'!U288</f>
        <v>0.99152745261809017</v>
      </c>
      <c r="V98" s="120">
        <f>'Pseudo-load coefficients'!V288</f>
        <v>0.99152745261809017</v>
      </c>
      <c r="W98" s="120">
        <f>'Pseudo-load coefficients'!W288</f>
        <v>0.99152745261809017</v>
      </c>
      <c r="X98" s="120">
        <f>'Pseudo-load coefficients'!X288</f>
        <v>0.99152745261809017</v>
      </c>
      <c r="Y98" s="120">
        <f>'Pseudo-load coefficients'!Y288</f>
        <v>0.99152745261809017</v>
      </c>
      <c r="AQ98" s="3"/>
    </row>
    <row r="99" spans="5:43" x14ac:dyDescent="0.3">
      <c r="E99" s="32"/>
      <c r="F99" t="s">
        <v>199</v>
      </c>
      <c r="G99" t="s">
        <v>285</v>
      </c>
      <c r="J99" s="120">
        <f>'Pseudo-load coefficients'!J289</f>
        <v>2.1099819033762928</v>
      </c>
      <c r="K99" s="120">
        <f>'Pseudo-load coefficients'!K289</f>
        <v>2.1099819033762928</v>
      </c>
      <c r="L99" s="120">
        <f>'Pseudo-load coefficients'!L289</f>
        <v>1.8454306110340197</v>
      </c>
      <c r="M99" s="120">
        <f>'Pseudo-load coefficients'!M289</f>
        <v>1.8454306110340197</v>
      </c>
      <c r="N99" s="120">
        <f>'Pseudo-load coefficients'!N289</f>
        <v>1.5683268257291756</v>
      </c>
      <c r="O99" s="120">
        <f>'Pseudo-load coefficients'!O289</f>
        <v>1.4763609016234012</v>
      </c>
      <c r="P99" s="120">
        <f>'Pseudo-load coefficients'!P289</f>
        <v>1.3147622691950351</v>
      </c>
      <c r="Q99" s="120">
        <f>'Pseudo-load coefficients'!Q289</f>
        <v>1.6676484460892242</v>
      </c>
      <c r="R99" s="120">
        <f>'Pseudo-load coefficients'!R289</f>
        <v>1.2885928089373944</v>
      </c>
      <c r="S99" s="120">
        <f>'Pseudo-load coefficients'!S289</f>
        <v>1.2885928089373944</v>
      </c>
      <c r="T99" s="120">
        <f>'Pseudo-load coefficients'!T289</f>
        <v>1.2885928089373944</v>
      </c>
      <c r="U99" s="120">
        <f>'Pseudo-load coefficients'!U289</f>
        <v>1.2885928089373944</v>
      </c>
      <c r="V99" s="120">
        <f>'Pseudo-load coefficients'!V289</f>
        <v>1.2885928089373944</v>
      </c>
      <c r="W99" s="120">
        <f>'Pseudo-load coefficients'!W289</f>
        <v>1.2885928089373944</v>
      </c>
      <c r="X99" s="120">
        <f>'Pseudo-load coefficients'!X289</f>
        <v>1.2885928089373944</v>
      </c>
      <c r="Y99" s="120">
        <f>'Pseudo-load coefficients'!Y289</f>
        <v>1.2885928089373944</v>
      </c>
      <c r="AQ99" s="3"/>
    </row>
    <row r="100" spans="5:43" x14ac:dyDescent="0.3">
      <c r="E100" s="32"/>
      <c r="F100" t="s">
        <v>200</v>
      </c>
      <c r="G100" t="s">
        <v>285</v>
      </c>
      <c r="J100" s="120">
        <f>'Pseudo-load coefficients'!J290</f>
        <v>2.1099819033762928</v>
      </c>
      <c r="K100" s="120">
        <f>'Pseudo-load coefficients'!K290</f>
        <v>2.1099819033762928</v>
      </c>
      <c r="L100" s="120">
        <f>'Pseudo-load coefficients'!L290</f>
        <v>1.8454306110340197</v>
      </c>
      <c r="M100" s="120">
        <f>'Pseudo-load coefficients'!M290</f>
        <v>1.8454306110340197</v>
      </c>
      <c r="N100" s="120">
        <f>'Pseudo-load coefficients'!N290</f>
        <v>1.5683268257291756</v>
      </c>
      <c r="O100" s="120">
        <f>'Pseudo-load coefficients'!O290</f>
        <v>1.4763609016234012</v>
      </c>
      <c r="P100" s="120">
        <f>'Pseudo-load coefficients'!P290</f>
        <v>1.3147622691950351</v>
      </c>
      <c r="Q100" s="120">
        <f>'Pseudo-load coefficients'!Q290</f>
        <v>1.6676484460892242</v>
      </c>
      <c r="R100" s="120">
        <f>'Pseudo-load coefficients'!R290</f>
        <v>1.2885928089373944</v>
      </c>
      <c r="S100" s="120">
        <f>'Pseudo-load coefficients'!S290</f>
        <v>1.2885928089373944</v>
      </c>
      <c r="T100" s="120">
        <f>'Pseudo-load coefficients'!T290</f>
        <v>1.2885928089373944</v>
      </c>
      <c r="U100" s="120">
        <f>'Pseudo-load coefficients'!U290</f>
        <v>1.2885928089373944</v>
      </c>
      <c r="V100" s="120">
        <f>'Pseudo-load coefficients'!V290</f>
        <v>1.2885928089373944</v>
      </c>
      <c r="W100" s="120">
        <f>'Pseudo-load coefficients'!W290</f>
        <v>1.2885928089373944</v>
      </c>
      <c r="X100" s="120">
        <f>'Pseudo-load coefficients'!X290</f>
        <v>1.2885928089373944</v>
      </c>
      <c r="Y100" s="120">
        <f>'Pseudo-load coefficients'!Y290</f>
        <v>1.2885928089373944</v>
      </c>
      <c r="AQ100" s="3"/>
    </row>
    <row r="101" spans="5:43" x14ac:dyDescent="0.3">
      <c r="E101" s="32"/>
      <c r="F101" s="37" t="s">
        <v>201</v>
      </c>
      <c r="G101" s="37" t="s">
        <v>285</v>
      </c>
      <c r="H101" s="37"/>
      <c r="I101" s="37"/>
      <c r="J101" s="125">
        <f>'Pseudo-load coefficients'!J291</f>
        <v>2.1099819033762928</v>
      </c>
      <c r="K101" s="125">
        <f>'Pseudo-load coefficients'!K291</f>
        <v>2.1099819033762928</v>
      </c>
      <c r="L101" s="125">
        <f>'Pseudo-load coefficients'!L291</f>
        <v>1.8454306110340197</v>
      </c>
      <c r="M101" s="125">
        <f>'Pseudo-load coefficients'!M291</f>
        <v>1.8454306110340197</v>
      </c>
      <c r="N101" s="125">
        <f>'Pseudo-load coefficients'!N291</f>
        <v>1.5683268257291756</v>
      </c>
      <c r="O101" s="125">
        <f>'Pseudo-load coefficients'!O291</f>
        <v>1.4763609016234012</v>
      </c>
      <c r="P101" s="125">
        <f>'Pseudo-load coefficients'!P291</f>
        <v>1.3147622691950351</v>
      </c>
      <c r="Q101" s="125">
        <f>'Pseudo-load coefficients'!Q291</f>
        <v>1.6676484460892242</v>
      </c>
      <c r="R101" s="125">
        <f>'Pseudo-load coefficients'!R291</f>
        <v>1.2885928089373944</v>
      </c>
      <c r="S101" s="125">
        <f>'Pseudo-load coefficients'!S291</f>
        <v>1.2885928089373944</v>
      </c>
      <c r="T101" s="125">
        <f>'Pseudo-load coefficients'!T291</f>
        <v>1.2885928089373944</v>
      </c>
      <c r="U101" s="125">
        <f>'Pseudo-load coefficients'!U291</f>
        <v>1.2885928089373944</v>
      </c>
      <c r="V101" s="125">
        <f>'Pseudo-load coefficients'!V291</f>
        <v>1.2885928089373944</v>
      </c>
      <c r="W101" s="125">
        <f>'Pseudo-load coefficients'!W291</f>
        <v>1.2885928089373944</v>
      </c>
      <c r="X101" s="125">
        <f>'Pseudo-load coefficients'!X291</f>
        <v>1.2885928089373944</v>
      </c>
      <c r="Y101" s="125">
        <f>'Pseudo-load coefficients'!Y291</f>
        <v>1.2885928089373944</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513</v>
      </c>
      <c r="J103" s="89"/>
      <c r="K103" s="89"/>
      <c r="L103" s="89"/>
      <c r="M103" s="89"/>
      <c r="N103" s="89"/>
      <c r="O103" s="89"/>
      <c r="P103" s="89"/>
      <c r="Q103" s="89"/>
      <c r="R103" s="89"/>
      <c r="S103" s="89"/>
      <c r="T103" s="89"/>
      <c r="U103" s="89"/>
      <c r="V103" s="89"/>
      <c r="W103" s="89"/>
      <c r="X103" s="89"/>
      <c r="Y103" s="89"/>
      <c r="AQ103" s="3"/>
    </row>
    <row r="104" spans="5:43" x14ac:dyDescent="0.3">
      <c r="E104" s="29" t="s">
        <v>514</v>
      </c>
      <c r="J104" s="89"/>
      <c r="K104" s="89"/>
      <c r="L104" s="89"/>
      <c r="M104" s="89"/>
      <c r="N104" s="89"/>
      <c r="O104" s="89"/>
      <c r="P104" s="89"/>
      <c r="Q104" s="89"/>
      <c r="R104" s="89"/>
      <c r="S104" s="89"/>
      <c r="T104" s="89"/>
      <c r="U104" s="89"/>
      <c r="V104" s="89"/>
      <c r="W104" s="89"/>
      <c r="X104" s="89"/>
      <c r="Y104" s="89"/>
      <c r="AQ104" s="3"/>
    </row>
    <row r="105" spans="5:43" x14ac:dyDescent="0.3">
      <c r="E105" s="32"/>
      <c r="F105" s="23" t="s">
        <v>193</v>
      </c>
      <c r="G105" s="23" t="s">
        <v>174</v>
      </c>
      <c r="H105" s="23"/>
      <c r="I105" s="23"/>
      <c r="J105" s="158">
        <f t="shared" ref="J105:Y105" si="10">J$57 * J34 * J93 / hours_in_year / $H45</f>
        <v>258.34176960069436</v>
      </c>
      <c r="K105" s="158">
        <f t="shared" si="10"/>
        <v>0.50952615535894719</v>
      </c>
      <c r="L105" s="158">
        <f t="shared" si="10"/>
        <v>100.67685808393725</v>
      </c>
      <c r="M105" s="158">
        <f t="shared" si="10"/>
        <v>3.8437151250332945E-2</v>
      </c>
      <c r="N105" s="158">
        <f t="shared" si="10"/>
        <v>92.790486449348535</v>
      </c>
      <c r="O105" s="158">
        <f t="shared" si="10"/>
        <v>6.5142112429770709</v>
      </c>
      <c r="P105" s="158">
        <f t="shared" si="10"/>
        <v>134.67138826646166</v>
      </c>
      <c r="Q105" s="158">
        <f t="shared" si="10"/>
        <v>6.6598242657151001</v>
      </c>
      <c r="R105" s="158">
        <f t="shared" si="10"/>
        <v>-2.4542897251376983E-2</v>
      </c>
      <c r="S105" s="158">
        <f t="shared" si="10"/>
        <v>0</v>
      </c>
      <c r="T105" s="158">
        <f t="shared" si="10"/>
        <v>-1.2732248657692322</v>
      </c>
      <c r="U105" s="158">
        <f t="shared" si="10"/>
        <v>0</v>
      </c>
      <c r="V105" s="158">
        <f t="shared" si="10"/>
        <v>-0.13124016685262149</v>
      </c>
      <c r="W105" s="158">
        <f t="shared" si="10"/>
        <v>0</v>
      </c>
      <c r="X105" s="158">
        <f t="shared" si="10"/>
        <v>-30.83750918492337</v>
      </c>
      <c r="Y105" s="158">
        <f t="shared" si="10"/>
        <v>0</v>
      </c>
      <c r="AQ105" s="3"/>
    </row>
    <row r="106" spans="5:43" x14ac:dyDescent="0.3">
      <c r="E106" s="32"/>
      <c r="F106" t="s">
        <v>194</v>
      </c>
      <c r="G106" t="s">
        <v>174</v>
      </c>
      <c r="J106" s="89">
        <f t="shared" ref="J106:Y106" si="11">J$57 * J35 * J94 / hours_in_year / $H46</f>
        <v>587.20004395502667</v>
      </c>
      <c r="K106" s="89">
        <f t="shared" si="11"/>
        <v>1.1581316536054469</v>
      </c>
      <c r="L106" s="89">
        <f t="shared" si="11"/>
        <v>228.8342902640822</v>
      </c>
      <c r="M106" s="89">
        <f t="shared" si="11"/>
        <v>8.7366038169465463E-2</v>
      </c>
      <c r="N106" s="89">
        <f t="shared" si="11"/>
        <v>210.90889717865946</v>
      </c>
      <c r="O106" s="89">
        <f t="shared" si="11"/>
        <v>14.806529869795336</v>
      </c>
      <c r="P106" s="89">
        <f t="shared" si="11"/>
        <v>306.10243644215637</v>
      </c>
      <c r="Q106" s="89">
        <f t="shared" si="11"/>
        <v>8.5152914148413057</v>
      </c>
      <c r="R106" s="89">
        <f t="shared" si="11"/>
        <v>-5.5784979591444024E-2</v>
      </c>
      <c r="S106" s="89">
        <f t="shared" si="11"/>
        <v>0</v>
      </c>
      <c r="T106" s="89">
        <f t="shared" si="11"/>
        <v>-2.8939869007629366</v>
      </c>
      <c r="U106" s="89">
        <f t="shared" si="11"/>
        <v>0</v>
      </c>
      <c r="V106" s="89">
        <f t="shared" si="11"/>
        <v>-0.29830341358905538</v>
      </c>
      <c r="W106" s="89">
        <f t="shared" si="11"/>
        <v>0</v>
      </c>
      <c r="X106" s="89">
        <f t="shared" si="11"/>
        <v>-70.09236940986672</v>
      </c>
      <c r="Y106" s="89">
        <f t="shared" si="11"/>
        <v>0</v>
      </c>
      <c r="AQ106" s="3"/>
    </row>
    <row r="107" spans="5:43" x14ac:dyDescent="0.3">
      <c r="E107" s="32"/>
      <c r="F107" t="s">
        <v>195</v>
      </c>
      <c r="G107" t="s">
        <v>174</v>
      </c>
      <c r="J107" s="89">
        <f t="shared" ref="J107:Y107" si="12">J$57 * J36 * J95 / hours_in_year / $H47</f>
        <v>540.97442407713368</v>
      </c>
      <c r="K107" s="89">
        <f t="shared" si="12"/>
        <v>1.0669610991423735</v>
      </c>
      <c r="L107" s="89">
        <f t="shared" si="12"/>
        <v>210.81997465618858</v>
      </c>
      <c r="M107" s="89">
        <f t="shared" si="12"/>
        <v>8.0488400280581893E-2</v>
      </c>
      <c r="N107" s="89">
        <f t="shared" si="12"/>
        <v>194.30570613633552</v>
      </c>
      <c r="O107" s="89">
        <f t="shared" si="12"/>
        <v>13.640928762442133</v>
      </c>
      <c r="P107" s="89">
        <f t="shared" si="12"/>
        <v>282.0054101964368</v>
      </c>
      <c r="Q107" s="89">
        <f t="shared" si="12"/>
        <v>7.8449498027380082</v>
      </c>
      <c r="R107" s="89">
        <f t="shared" si="12"/>
        <v>-5.1393468916271778E-2</v>
      </c>
      <c r="S107" s="89">
        <f t="shared" si="12"/>
        <v>0</v>
      </c>
      <c r="T107" s="89">
        <f t="shared" si="12"/>
        <v>-2.6661661780238304</v>
      </c>
      <c r="U107" s="89">
        <f t="shared" si="12"/>
        <v>0</v>
      </c>
      <c r="V107" s="89">
        <f t="shared" si="12"/>
        <v>-0.27482034279095158</v>
      </c>
      <c r="W107" s="89">
        <f t="shared" si="12"/>
        <v>0</v>
      </c>
      <c r="X107" s="89">
        <f t="shared" si="12"/>
        <v>-64.57455097978243</v>
      </c>
      <c r="Y107" s="89">
        <f t="shared" si="12"/>
        <v>0</v>
      </c>
      <c r="AQ107" s="3"/>
    </row>
    <row r="108" spans="5:43" x14ac:dyDescent="0.3">
      <c r="E108" s="32"/>
      <c r="F108" t="s">
        <v>196</v>
      </c>
      <c r="G108" t="s">
        <v>174</v>
      </c>
      <c r="J108" s="89">
        <f t="shared" ref="J108:Y108" si="13">J$57 * J37 * J96 / hours_in_year / $H48</f>
        <v>698.19418738269781</v>
      </c>
      <c r="K108" s="89">
        <f t="shared" si="13"/>
        <v>1.3770448369264179</v>
      </c>
      <c r="L108" s="89">
        <f t="shared" si="13"/>
        <v>272.08916787558007</v>
      </c>
      <c r="M108" s="89">
        <f t="shared" si="13"/>
        <v>0.10388020343753165</v>
      </c>
      <c r="N108" s="89">
        <f t="shared" si="13"/>
        <v>250.77546841722187</v>
      </c>
      <c r="O108" s="89">
        <f t="shared" si="13"/>
        <v>17.605300266617768</v>
      </c>
      <c r="P108" s="89">
        <f t="shared" si="13"/>
        <v>363.96274841553634</v>
      </c>
      <c r="Q108" s="89">
        <f t="shared" si="13"/>
        <v>9.2690064822871729</v>
      </c>
      <c r="R108" s="89">
        <f t="shared" si="13"/>
        <v>-6.6329607592794562E-2</v>
      </c>
      <c r="S108" s="89">
        <f t="shared" si="13"/>
        <v>0</v>
      </c>
      <c r="T108" s="89">
        <f t="shared" si="13"/>
        <v>-3.441016146499309</v>
      </c>
      <c r="U108" s="89">
        <f t="shared" si="13"/>
        <v>0</v>
      </c>
      <c r="V108" s="89">
        <f t="shared" si="13"/>
        <v>-0.35468953312995133</v>
      </c>
      <c r="W108" s="89">
        <f t="shared" si="13"/>
        <v>0</v>
      </c>
      <c r="X108" s="89">
        <f t="shared" si="13"/>
        <v>-83.341419003023603</v>
      </c>
      <c r="Y108" s="89">
        <f t="shared" si="13"/>
        <v>0</v>
      </c>
      <c r="AQ108" s="3"/>
    </row>
    <row r="109" spans="5:43" x14ac:dyDescent="0.3">
      <c r="E109" s="32"/>
      <c r="F109" t="s">
        <v>197</v>
      </c>
      <c r="G109" t="s">
        <v>174</v>
      </c>
      <c r="J109" s="89">
        <f t="shared" ref="J109:Y109" si="14">J$57 * J38 * J97 / hours_in_year / $H49</f>
        <v>694.08313230488011</v>
      </c>
      <c r="K109" s="89">
        <f t="shared" si="14"/>
        <v>1.3689366239513849</v>
      </c>
      <c r="L109" s="89">
        <f t="shared" si="14"/>
        <v>270.48707267709779</v>
      </c>
      <c r="M109" s="89">
        <f t="shared" si="14"/>
        <v>0.1032685437509515</v>
      </c>
      <c r="N109" s="89">
        <f t="shared" si="14"/>
        <v>249.29887095843549</v>
      </c>
      <c r="O109" s="89">
        <f t="shared" si="14"/>
        <v>17.501638047187242</v>
      </c>
      <c r="P109" s="89">
        <f t="shared" si="14"/>
        <v>361.81969003428691</v>
      </c>
      <c r="Q109" s="89">
        <f t="shared" si="14"/>
        <v>9.2144294078085451</v>
      </c>
      <c r="R109" s="89">
        <f t="shared" si="14"/>
        <v>-6.5939050531404211E-2</v>
      </c>
      <c r="S109" s="89">
        <f t="shared" si="14"/>
        <v>0</v>
      </c>
      <c r="T109" s="89">
        <f t="shared" si="14"/>
        <v>-3.4207550111911678</v>
      </c>
      <c r="U109" s="89">
        <f t="shared" si="14"/>
        <v>0</v>
      </c>
      <c r="V109" s="89">
        <f t="shared" si="14"/>
        <v>-0.35260107660514295</v>
      </c>
      <c r="W109" s="89">
        <f t="shared" si="14"/>
        <v>0</v>
      </c>
      <c r="X109" s="89">
        <f t="shared" si="14"/>
        <v>-82.85069425913926</v>
      </c>
      <c r="Y109" s="89">
        <f t="shared" si="14"/>
        <v>0</v>
      </c>
      <c r="AQ109" s="3"/>
    </row>
    <row r="110" spans="5:43" x14ac:dyDescent="0.3">
      <c r="E110" s="32"/>
      <c r="F110" t="s">
        <v>198</v>
      </c>
      <c r="G110" t="s">
        <v>174</v>
      </c>
      <c r="J110" s="89">
        <f t="shared" ref="J110:Y110" si="15">J$57 * J39 * J98 / hours_in_year / $H50</f>
        <v>43.33088657638887</v>
      </c>
      <c r="K110" s="89">
        <f t="shared" si="15"/>
        <v>8.546128672760589E-2</v>
      </c>
      <c r="L110" s="89">
        <f t="shared" si="15"/>
        <v>16.886226045617978</v>
      </c>
      <c r="M110" s="89">
        <f t="shared" si="15"/>
        <v>6.4469475599009144E-3</v>
      </c>
      <c r="N110" s="89">
        <f t="shared" si="15"/>
        <v>15.563468694664635</v>
      </c>
      <c r="O110" s="89">
        <f t="shared" si="15"/>
        <v>1.0926090230796268</v>
      </c>
      <c r="P110" s="89">
        <f t="shared" si="15"/>
        <v>22.588026160378181</v>
      </c>
      <c r="Q110" s="89">
        <f t="shared" si="15"/>
        <v>0.62836358794558622</v>
      </c>
      <c r="R110" s="89">
        <f t="shared" si="15"/>
        <v>-4.1165062030004912E-3</v>
      </c>
      <c r="S110" s="89">
        <f t="shared" si="15"/>
        <v>0</v>
      </c>
      <c r="T110" s="89">
        <f t="shared" si="15"/>
        <v>-0.21355417023796783</v>
      </c>
      <c r="U110" s="89">
        <f t="shared" si="15"/>
        <v>0</v>
      </c>
      <c r="V110" s="89">
        <f t="shared" si="15"/>
        <v>-2.2012517731635168E-2</v>
      </c>
      <c r="W110" s="89">
        <f t="shared" si="15"/>
        <v>0</v>
      </c>
      <c r="X110" s="89">
        <f t="shared" si="15"/>
        <v>-5.1722824956087674</v>
      </c>
      <c r="Y110" s="89">
        <f t="shared" si="15"/>
        <v>0</v>
      </c>
      <c r="AQ110" s="3"/>
    </row>
    <row r="111" spans="5:43" x14ac:dyDescent="0.3">
      <c r="E111" s="32"/>
      <c r="F111" t="s">
        <v>199</v>
      </c>
      <c r="G111" t="s">
        <v>174</v>
      </c>
      <c r="J111" s="89">
        <f t="shared" ref="J111:Y111" si="16">J$57 * J40 * J99 / hours_in_year / $H51</f>
        <v>739.51029184418337</v>
      </c>
      <c r="K111" s="89">
        <f t="shared" si="16"/>
        <v>1.4585323791585847</v>
      </c>
      <c r="L111" s="89">
        <f t="shared" si="16"/>
        <v>288.19022498252542</v>
      </c>
      <c r="M111" s="89">
        <f t="shared" si="16"/>
        <v>0.11002738342594497</v>
      </c>
      <c r="N111" s="89">
        <f t="shared" si="16"/>
        <v>265.61527321185093</v>
      </c>
      <c r="O111" s="89">
        <f t="shared" si="16"/>
        <v>18.647105595330281</v>
      </c>
      <c r="P111" s="89">
        <f t="shared" si="16"/>
        <v>385.50048563159146</v>
      </c>
      <c r="Q111" s="89">
        <f t="shared" si="16"/>
        <v>9.8175060931360605</v>
      </c>
      <c r="R111" s="89">
        <f t="shared" si="16"/>
        <v>-7.0254706148063839E-2</v>
      </c>
      <c r="S111" s="89">
        <f t="shared" si="16"/>
        <v>0</v>
      </c>
      <c r="T111" s="89">
        <f t="shared" si="16"/>
        <v>-3.6446405609267183</v>
      </c>
      <c r="U111" s="89">
        <f t="shared" si="16"/>
        <v>0</v>
      </c>
      <c r="V111" s="89">
        <f t="shared" si="16"/>
        <v>-0.37567852167642879</v>
      </c>
      <c r="W111" s="89">
        <f t="shared" si="16"/>
        <v>0</v>
      </c>
      <c r="X111" s="89">
        <f t="shared" si="16"/>
        <v>0</v>
      </c>
      <c r="Y111" s="89">
        <f t="shared" si="16"/>
        <v>0</v>
      </c>
      <c r="AQ111" s="3"/>
    </row>
    <row r="112" spans="5:43" x14ac:dyDescent="0.3">
      <c r="E112" s="32"/>
      <c r="F112" t="s">
        <v>200</v>
      </c>
      <c r="G112" t="s">
        <v>174</v>
      </c>
      <c r="J112" s="89">
        <f t="shared" ref="J112:Y112" si="17">J$57 * J41 * J100 / hours_in_year / $H52</f>
        <v>731.0264261633705</v>
      </c>
      <c r="K112" s="89">
        <f t="shared" si="17"/>
        <v>1.4417996941204365</v>
      </c>
      <c r="L112" s="89">
        <f t="shared" si="17"/>
        <v>284.88402737278329</v>
      </c>
      <c r="M112" s="89">
        <f t="shared" si="17"/>
        <v>0.10876511898893602</v>
      </c>
      <c r="N112" s="89">
        <f t="shared" si="17"/>
        <v>262.5680616644874</v>
      </c>
      <c r="O112" s="89">
        <f t="shared" si="17"/>
        <v>18.43318086574714</v>
      </c>
      <c r="P112" s="89">
        <f t="shared" si="17"/>
        <v>0</v>
      </c>
      <c r="Q112" s="89">
        <f t="shared" si="17"/>
        <v>9.70487696013641</v>
      </c>
      <c r="R112" s="89">
        <f t="shared" si="17"/>
        <v>-6.9448724815581273E-2</v>
      </c>
      <c r="S112" s="89">
        <f t="shared" si="17"/>
        <v>0</v>
      </c>
      <c r="T112" s="89">
        <f t="shared" si="17"/>
        <v>-3.6028282409160868</v>
      </c>
      <c r="U112" s="89">
        <f t="shared" si="17"/>
        <v>0</v>
      </c>
      <c r="V112" s="89">
        <f t="shared" si="17"/>
        <v>0</v>
      </c>
      <c r="W112" s="89">
        <f t="shared" si="17"/>
        <v>0</v>
      </c>
      <c r="X112" s="89">
        <f t="shared" si="17"/>
        <v>0</v>
      </c>
      <c r="Y112" s="89">
        <f t="shared" si="17"/>
        <v>0</v>
      </c>
      <c r="AQ112" s="3"/>
    </row>
    <row r="113" spans="5:43" x14ac:dyDescent="0.3">
      <c r="E113" s="32"/>
      <c r="F113" s="37" t="s">
        <v>201</v>
      </c>
      <c r="G113" s="37" t="s">
        <v>174</v>
      </c>
      <c r="H113" s="37"/>
      <c r="I113" s="37"/>
      <c r="J113" s="82">
        <f t="shared" ref="J113:Y113" si="18">J$57 * J42 * J101 / hours_in_year / $H53</f>
        <v>711.30571327152154</v>
      </c>
      <c r="K113" s="82">
        <f t="shared" si="18"/>
        <v>1.4029046326046295</v>
      </c>
      <c r="L113" s="82">
        <f t="shared" si="18"/>
        <v>277.19878384365705</v>
      </c>
      <c r="M113" s="82">
        <f t="shared" si="18"/>
        <v>0.1058309901976066</v>
      </c>
      <c r="N113" s="82">
        <f t="shared" si="18"/>
        <v>255.48483023353847</v>
      </c>
      <c r="O113" s="82">
        <f t="shared" si="18"/>
        <v>0</v>
      </c>
      <c r="P113" s="82">
        <f t="shared" si="18"/>
        <v>0</v>
      </c>
      <c r="Q113" s="82">
        <f t="shared" si="18"/>
        <v>9.443070977025755</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515</v>
      </c>
      <c r="J115" s="89"/>
      <c r="K115" s="89"/>
      <c r="L115" s="89"/>
      <c r="M115" s="89"/>
      <c r="N115" s="89"/>
      <c r="O115" s="89"/>
      <c r="P115" s="89"/>
      <c r="Q115" s="89"/>
      <c r="R115" s="89"/>
      <c r="S115" s="89"/>
      <c r="T115" s="89"/>
      <c r="U115" s="89"/>
      <c r="V115" s="89"/>
      <c r="W115" s="89"/>
      <c r="X115" s="89"/>
      <c r="Y115" s="89"/>
      <c r="AQ115" s="3"/>
    </row>
    <row r="116" spans="5:43" x14ac:dyDescent="0.3">
      <c r="E116" s="32"/>
      <c r="F116" s="23" t="s">
        <v>193</v>
      </c>
      <c r="G116" s="23" t="s">
        <v>285</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3">
      <c r="E117" s="32"/>
      <c r="F117" t="s">
        <v>194</v>
      </c>
      <c r="G117" t="s">
        <v>285</v>
      </c>
      <c r="J117" s="120">
        <f>'Pseudo-load coefficients'!J295</f>
        <v>0.11593126124259819</v>
      </c>
      <c r="K117" s="120">
        <f>'Pseudo-load coefficients'!K295</f>
        <v>0.11593126124259819</v>
      </c>
      <c r="L117" s="120">
        <f>'Pseudo-load coefficients'!L295</f>
        <v>0.10139570293495453</v>
      </c>
      <c r="M117" s="120">
        <f>'Pseudo-load coefficients'!M295</f>
        <v>0.10139570293495453</v>
      </c>
      <c r="N117" s="120">
        <f>'Pseudo-load coefficients'!N295</f>
        <v>8.6170457981865678E-2</v>
      </c>
      <c r="O117" s="120">
        <f>'Pseudo-load coefficients'!O295</f>
        <v>8.1117464135869594E-2</v>
      </c>
      <c r="P117" s="120">
        <f>'Pseudo-load coefficients'!P295</f>
        <v>7.2238557050210858E-2</v>
      </c>
      <c r="Q117" s="120">
        <f>'Pseudo-load coefficients'!Q295</f>
        <v>0.10018276583196245</v>
      </c>
      <c r="R117" s="120">
        <f>'Pseudo-load coefficients'!R295</f>
        <v>7.0800697071956201E-2</v>
      </c>
      <c r="S117" s="120">
        <f>'Pseudo-load coefficients'!S295</f>
        <v>7.0800697071956201E-2</v>
      </c>
      <c r="T117" s="120">
        <f>'Pseudo-load coefficients'!T295</f>
        <v>7.0800697071956201E-2</v>
      </c>
      <c r="U117" s="120">
        <f>'Pseudo-load coefficients'!U295</f>
        <v>7.0800697071956201E-2</v>
      </c>
      <c r="V117" s="120">
        <f>'Pseudo-load coefficients'!V295</f>
        <v>7.0800697071956201E-2</v>
      </c>
      <c r="W117" s="120">
        <f>'Pseudo-load coefficients'!W295</f>
        <v>7.0800697071956201E-2</v>
      </c>
      <c r="X117" s="120">
        <f>'Pseudo-load coefficients'!X295</f>
        <v>7.0800697071956201E-2</v>
      </c>
      <c r="Y117" s="120">
        <f>'Pseudo-load coefficients'!Y295</f>
        <v>7.0800697071956201E-2</v>
      </c>
      <c r="AQ117" s="3"/>
    </row>
    <row r="118" spans="5:43" x14ac:dyDescent="0.3">
      <c r="E118" s="32"/>
      <c r="F118" t="s">
        <v>195</v>
      </c>
      <c r="G118" t="s">
        <v>285</v>
      </c>
      <c r="J118" s="120">
        <f>'Pseudo-load coefficients'!J296</f>
        <v>0.11593126124259819</v>
      </c>
      <c r="K118" s="120">
        <f>'Pseudo-load coefficients'!K296</f>
        <v>0.11593126124259819</v>
      </c>
      <c r="L118" s="120">
        <f>'Pseudo-load coefficients'!L296</f>
        <v>0.10139570293495453</v>
      </c>
      <c r="M118" s="120">
        <f>'Pseudo-load coefficients'!M296</f>
        <v>0.10139570293495453</v>
      </c>
      <c r="N118" s="120">
        <f>'Pseudo-load coefficients'!N296</f>
        <v>8.6170457981865678E-2</v>
      </c>
      <c r="O118" s="120">
        <f>'Pseudo-load coefficients'!O296</f>
        <v>8.1117464135869594E-2</v>
      </c>
      <c r="P118" s="120">
        <f>'Pseudo-load coefficients'!P296</f>
        <v>7.2238557050210858E-2</v>
      </c>
      <c r="Q118" s="120">
        <f>'Pseudo-load coefficients'!Q296</f>
        <v>0.10018276583196245</v>
      </c>
      <c r="R118" s="120">
        <f>'Pseudo-load coefficients'!R296</f>
        <v>7.0800697071956201E-2</v>
      </c>
      <c r="S118" s="120">
        <f>'Pseudo-load coefficients'!S296</f>
        <v>7.0800697071956201E-2</v>
      </c>
      <c r="T118" s="120">
        <f>'Pseudo-load coefficients'!T296</f>
        <v>7.0800697071956201E-2</v>
      </c>
      <c r="U118" s="120">
        <f>'Pseudo-load coefficients'!U296</f>
        <v>7.0800697071956201E-2</v>
      </c>
      <c r="V118" s="120">
        <f>'Pseudo-load coefficients'!V296</f>
        <v>7.0800697071956201E-2</v>
      </c>
      <c r="W118" s="120">
        <f>'Pseudo-load coefficients'!W296</f>
        <v>7.0800697071956201E-2</v>
      </c>
      <c r="X118" s="120">
        <f>'Pseudo-load coefficients'!X296</f>
        <v>7.0800697071956201E-2</v>
      </c>
      <c r="Y118" s="120">
        <f>'Pseudo-load coefficients'!Y296</f>
        <v>7.0800697071956201E-2</v>
      </c>
      <c r="AQ118" s="3"/>
    </row>
    <row r="119" spans="5:43" x14ac:dyDescent="0.3">
      <c r="E119" s="32"/>
      <c r="F119" t="s">
        <v>196</v>
      </c>
      <c r="G119" t="s">
        <v>285</v>
      </c>
      <c r="J119" s="120">
        <f>'Pseudo-load coefficients'!J297</f>
        <v>0.16029071744126216</v>
      </c>
      <c r="K119" s="120">
        <f>'Pseudo-load coefficients'!K297</f>
        <v>0.16029071744126216</v>
      </c>
      <c r="L119" s="120">
        <f>'Pseudo-load coefficients'!L297</f>
        <v>0.14019333348659346</v>
      </c>
      <c r="M119" s="120">
        <f>'Pseudo-load coefficients'!M297</f>
        <v>0.14019333348659346</v>
      </c>
      <c r="N119" s="120">
        <f>'Pseudo-load coefficients'!N297</f>
        <v>0.11914236405357193</v>
      </c>
      <c r="O119" s="120">
        <f>'Pseudo-load coefficients'!O297</f>
        <v>0.11215591363355887</v>
      </c>
      <c r="P119" s="120">
        <f>'Pseudo-load coefficients'!P297</f>
        <v>9.9879618425518818E-2</v>
      </c>
      <c r="Q119" s="120">
        <f>'Pseudo-load coefficients'!Q297</f>
        <v>0.13851628316931211</v>
      </c>
      <c r="R119" s="120">
        <f>'Pseudo-load coefficients'!R297</f>
        <v>9.7891581678362052E-2</v>
      </c>
      <c r="S119" s="120">
        <f>'Pseudo-load coefficients'!S297</f>
        <v>9.7891581678362052E-2</v>
      </c>
      <c r="T119" s="120">
        <f>'Pseudo-load coefficients'!T297</f>
        <v>9.7891581678362052E-2</v>
      </c>
      <c r="U119" s="120">
        <f>'Pseudo-load coefficients'!U297</f>
        <v>9.7891581678362052E-2</v>
      </c>
      <c r="V119" s="120">
        <f>'Pseudo-load coefficients'!V297</f>
        <v>9.7891581678362052E-2</v>
      </c>
      <c r="W119" s="120">
        <f>'Pseudo-load coefficients'!W297</f>
        <v>9.7891581678362052E-2</v>
      </c>
      <c r="X119" s="120">
        <f>'Pseudo-load coefficients'!X297</f>
        <v>9.7891581678362052E-2</v>
      </c>
      <c r="Y119" s="120">
        <f>'Pseudo-load coefficients'!Y297</f>
        <v>9.7891581678362052E-2</v>
      </c>
      <c r="AQ119" s="3"/>
    </row>
    <row r="120" spans="5:43" x14ac:dyDescent="0.3">
      <c r="E120" s="32"/>
      <c r="F120" t="s">
        <v>197</v>
      </c>
      <c r="G120" t="s">
        <v>285</v>
      </c>
      <c r="J120" s="120">
        <f>'Pseudo-load coefficients'!J298</f>
        <v>0.16029071744126216</v>
      </c>
      <c r="K120" s="120">
        <f>'Pseudo-load coefficients'!K298</f>
        <v>0.16029071744126216</v>
      </c>
      <c r="L120" s="120">
        <f>'Pseudo-load coefficients'!L298</f>
        <v>0.14019333348659346</v>
      </c>
      <c r="M120" s="120">
        <f>'Pseudo-load coefficients'!M298</f>
        <v>0.14019333348659346</v>
      </c>
      <c r="N120" s="120">
        <f>'Pseudo-load coefficients'!N298</f>
        <v>0.11914236405357193</v>
      </c>
      <c r="O120" s="120">
        <f>'Pseudo-load coefficients'!O298</f>
        <v>0.11215591363355887</v>
      </c>
      <c r="P120" s="120">
        <f>'Pseudo-load coefficients'!P298</f>
        <v>9.9879618425518818E-2</v>
      </c>
      <c r="Q120" s="120">
        <f>'Pseudo-load coefficients'!Q298</f>
        <v>0.13851628316931211</v>
      </c>
      <c r="R120" s="120">
        <f>'Pseudo-load coefficients'!R298</f>
        <v>9.7891581678362052E-2</v>
      </c>
      <c r="S120" s="120">
        <f>'Pseudo-load coefficients'!S298</f>
        <v>9.7891581678362052E-2</v>
      </c>
      <c r="T120" s="120">
        <f>'Pseudo-load coefficients'!T298</f>
        <v>9.7891581678362052E-2</v>
      </c>
      <c r="U120" s="120">
        <f>'Pseudo-load coefficients'!U298</f>
        <v>9.7891581678362052E-2</v>
      </c>
      <c r="V120" s="120">
        <f>'Pseudo-load coefficients'!V298</f>
        <v>9.7891581678362052E-2</v>
      </c>
      <c r="W120" s="120">
        <f>'Pseudo-load coefficients'!W298</f>
        <v>9.7891581678362052E-2</v>
      </c>
      <c r="X120" s="120">
        <f>'Pseudo-load coefficients'!X298</f>
        <v>9.7891581678362052E-2</v>
      </c>
      <c r="Y120" s="120">
        <f>'Pseudo-load coefficients'!Y298</f>
        <v>9.7891581678362052E-2</v>
      </c>
      <c r="AQ120" s="3"/>
    </row>
    <row r="121" spans="5:43" x14ac:dyDescent="0.3">
      <c r="E121" s="32"/>
      <c r="F121" t="s">
        <v>198</v>
      </c>
      <c r="G121" t="s">
        <v>285</v>
      </c>
      <c r="J121" s="120">
        <f>'Pseudo-load coefficients'!J299</f>
        <v>0.11593126124259819</v>
      </c>
      <c r="K121" s="120">
        <f>'Pseudo-load coefficients'!K299</f>
        <v>0.11593126124259819</v>
      </c>
      <c r="L121" s="120">
        <f>'Pseudo-load coefficients'!L299</f>
        <v>0.10139570293495453</v>
      </c>
      <c r="M121" s="120">
        <f>'Pseudo-load coefficients'!M299</f>
        <v>0.10139570293495453</v>
      </c>
      <c r="N121" s="120">
        <f>'Pseudo-load coefficients'!N299</f>
        <v>8.6170457981865678E-2</v>
      </c>
      <c r="O121" s="120">
        <f>'Pseudo-load coefficients'!O299</f>
        <v>8.1117464135869594E-2</v>
      </c>
      <c r="P121" s="120">
        <f>'Pseudo-load coefficients'!P299</f>
        <v>7.2238557050210858E-2</v>
      </c>
      <c r="Q121" s="120">
        <f>'Pseudo-load coefficients'!Q299</f>
        <v>0.10018276583196245</v>
      </c>
      <c r="R121" s="120">
        <f>'Pseudo-load coefficients'!R299</f>
        <v>7.0800697071956201E-2</v>
      </c>
      <c r="S121" s="120">
        <f>'Pseudo-load coefficients'!S299</f>
        <v>7.0800697071956201E-2</v>
      </c>
      <c r="T121" s="120">
        <f>'Pseudo-load coefficients'!T299</f>
        <v>7.0800697071956201E-2</v>
      </c>
      <c r="U121" s="120">
        <f>'Pseudo-load coefficients'!U299</f>
        <v>7.0800697071956201E-2</v>
      </c>
      <c r="V121" s="120">
        <f>'Pseudo-load coefficients'!V299</f>
        <v>7.0800697071956201E-2</v>
      </c>
      <c r="W121" s="120">
        <f>'Pseudo-load coefficients'!W299</f>
        <v>7.0800697071956201E-2</v>
      </c>
      <c r="X121" s="120">
        <f>'Pseudo-load coefficients'!X299</f>
        <v>7.0800697071956201E-2</v>
      </c>
      <c r="Y121" s="120">
        <f>'Pseudo-load coefficients'!Y299</f>
        <v>7.0800697071956201E-2</v>
      </c>
      <c r="AQ121" s="3"/>
    </row>
    <row r="122" spans="5:43" x14ac:dyDescent="0.3">
      <c r="E122" s="32"/>
      <c r="F122" t="s">
        <v>199</v>
      </c>
      <c r="G122" t="s">
        <v>285</v>
      </c>
      <c r="J122" s="120">
        <f>'Pseudo-load coefficients'!J300</f>
        <v>0.16029071744126216</v>
      </c>
      <c r="K122" s="120">
        <f>'Pseudo-load coefficients'!K300</f>
        <v>0.16029071744126216</v>
      </c>
      <c r="L122" s="120">
        <f>'Pseudo-load coefficients'!L300</f>
        <v>0.14019333348659346</v>
      </c>
      <c r="M122" s="120">
        <f>'Pseudo-load coefficients'!M300</f>
        <v>0.14019333348659346</v>
      </c>
      <c r="N122" s="120">
        <f>'Pseudo-load coefficients'!N300</f>
        <v>0.11914236405357193</v>
      </c>
      <c r="O122" s="120">
        <f>'Pseudo-load coefficients'!O300</f>
        <v>0.11215591363355887</v>
      </c>
      <c r="P122" s="120">
        <f>'Pseudo-load coefficients'!P300</f>
        <v>9.9879618425518818E-2</v>
      </c>
      <c r="Q122" s="120">
        <f>'Pseudo-load coefficients'!Q300</f>
        <v>0.13851628316931211</v>
      </c>
      <c r="R122" s="120">
        <f>'Pseudo-load coefficients'!R300</f>
        <v>9.7891581678362052E-2</v>
      </c>
      <c r="S122" s="120">
        <f>'Pseudo-load coefficients'!S300</f>
        <v>9.7891581678362052E-2</v>
      </c>
      <c r="T122" s="120">
        <f>'Pseudo-load coefficients'!T300</f>
        <v>9.7891581678362052E-2</v>
      </c>
      <c r="U122" s="120">
        <f>'Pseudo-load coefficients'!U300</f>
        <v>9.7891581678362052E-2</v>
      </c>
      <c r="V122" s="120">
        <f>'Pseudo-load coefficients'!V300</f>
        <v>9.7891581678362052E-2</v>
      </c>
      <c r="W122" s="120">
        <f>'Pseudo-load coefficients'!W300</f>
        <v>9.7891581678362052E-2</v>
      </c>
      <c r="X122" s="120">
        <f>'Pseudo-load coefficients'!X300</f>
        <v>9.7891581678362052E-2</v>
      </c>
      <c r="Y122" s="120">
        <f>'Pseudo-load coefficients'!Y300</f>
        <v>9.7891581678362052E-2</v>
      </c>
      <c r="AQ122" s="3"/>
    </row>
    <row r="123" spans="5:43" x14ac:dyDescent="0.3">
      <c r="E123" s="32"/>
      <c r="F123" t="s">
        <v>200</v>
      </c>
      <c r="G123" t="s">
        <v>285</v>
      </c>
      <c r="J123" s="120">
        <f>'Pseudo-load coefficients'!J301</f>
        <v>0.16029071744126216</v>
      </c>
      <c r="K123" s="120">
        <f>'Pseudo-load coefficients'!K301</f>
        <v>0.16029071744126216</v>
      </c>
      <c r="L123" s="120">
        <f>'Pseudo-load coefficients'!L301</f>
        <v>0.14019333348659346</v>
      </c>
      <c r="M123" s="120">
        <f>'Pseudo-load coefficients'!M301</f>
        <v>0.14019333348659346</v>
      </c>
      <c r="N123" s="120">
        <f>'Pseudo-load coefficients'!N301</f>
        <v>0.11914236405357193</v>
      </c>
      <c r="O123" s="120">
        <f>'Pseudo-load coefficients'!O301</f>
        <v>0.11215591363355887</v>
      </c>
      <c r="P123" s="120">
        <f>'Pseudo-load coefficients'!P301</f>
        <v>9.9879618425518818E-2</v>
      </c>
      <c r="Q123" s="120">
        <f>'Pseudo-load coefficients'!Q301</f>
        <v>0.13851628316931211</v>
      </c>
      <c r="R123" s="120">
        <f>'Pseudo-load coefficients'!R301</f>
        <v>9.7891581678362052E-2</v>
      </c>
      <c r="S123" s="120">
        <f>'Pseudo-load coefficients'!S301</f>
        <v>9.7891581678362052E-2</v>
      </c>
      <c r="T123" s="120">
        <f>'Pseudo-load coefficients'!T301</f>
        <v>9.7891581678362052E-2</v>
      </c>
      <c r="U123" s="120">
        <f>'Pseudo-load coefficients'!U301</f>
        <v>9.7891581678362052E-2</v>
      </c>
      <c r="V123" s="120">
        <f>'Pseudo-load coefficients'!V301</f>
        <v>9.7891581678362052E-2</v>
      </c>
      <c r="W123" s="120">
        <f>'Pseudo-load coefficients'!W301</f>
        <v>9.7891581678362052E-2</v>
      </c>
      <c r="X123" s="120">
        <f>'Pseudo-load coefficients'!X301</f>
        <v>9.7891581678362052E-2</v>
      </c>
      <c r="Y123" s="120">
        <f>'Pseudo-load coefficients'!Y301</f>
        <v>9.7891581678362052E-2</v>
      </c>
      <c r="AQ123" s="3"/>
    </row>
    <row r="124" spans="5:43" x14ac:dyDescent="0.3">
      <c r="E124" s="32"/>
      <c r="F124" s="37" t="s">
        <v>201</v>
      </c>
      <c r="G124" s="37" t="s">
        <v>285</v>
      </c>
      <c r="H124" s="37"/>
      <c r="I124" s="37"/>
      <c r="J124" s="125">
        <f>'Pseudo-load coefficients'!J302</f>
        <v>0.16029071744126216</v>
      </c>
      <c r="K124" s="125">
        <f>'Pseudo-load coefficients'!K302</f>
        <v>0.16029071744126216</v>
      </c>
      <c r="L124" s="125">
        <f>'Pseudo-load coefficients'!L302</f>
        <v>0.14019333348659346</v>
      </c>
      <c r="M124" s="125">
        <f>'Pseudo-load coefficients'!M302</f>
        <v>0.14019333348659346</v>
      </c>
      <c r="N124" s="125">
        <f>'Pseudo-load coefficients'!N302</f>
        <v>0.11914236405357193</v>
      </c>
      <c r="O124" s="125">
        <f>'Pseudo-load coefficients'!O302</f>
        <v>0.11215591363355887</v>
      </c>
      <c r="P124" s="125">
        <f>'Pseudo-load coefficients'!P302</f>
        <v>9.9879618425518818E-2</v>
      </c>
      <c r="Q124" s="125">
        <f>'Pseudo-load coefficients'!Q302</f>
        <v>0.13851628316931211</v>
      </c>
      <c r="R124" s="125">
        <f>'Pseudo-load coefficients'!R302</f>
        <v>9.7891581678362052E-2</v>
      </c>
      <c r="S124" s="125">
        <f>'Pseudo-load coefficients'!S302</f>
        <v>9.7891581678362052E-2</v>
      </c>
      <c r="T124" s="125">
        <f>'Pseudo-load coefficients'!T302</f>
        <v>9.7891581678362052E-2</v>
      </c>
      <c r="U124" s="125">
        <f>'Pseudo-load coefficients'!U302</f>
        <v>9.7891581678362052E-2</v>
      </c>
      <c r="V124" s="125">
        <f>'Pseudo-load coefficients'!V302</f>
        <v>9.7891581678362052E-2</v>
      </c>
      <c r="W124" s="125">
        <f>'Pseudo-load coefficients'!W302</f>
        <v>9.7891581678362052E-2</v>
      </c>
      <c r="X124" s="125">
        <f>'Pseudo-load coefficients'!X302</f>
        <v>9.7891581678362052E-2</v>
      </c>
      <c r="Y124" s="125">
        <f>'Pseudo-load coefficients'!Y302</f>
        <v>9.7891581678362052E-2</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516</v>
      </c>
      <c r="J126" s="89"/>
      <c r="K126" s="89"/>
      <c r="L126" s="89"/>
      <c r="M126" s="89"/>
      <c r="N126" s="89"/>
      <c r="O126" s="89"/>
      <c r="P126" s="89"/>
      <c r="Q126" s="89"/>
      <c r="R126" s="89"/>
      <c r="S126" s="89"/>
      <c r="T126" s="89"/>
      <c r="U126" s="89"/>
      <c r="V126" s="89"/>
      <c r="W126" s="89"/>
      <c r="X126" s="89"/>
      <c r="Y126" s="89"/>
      <c r="AQ126" s="3"/>
    </row>
    <row r="127" spans="5:43" x14ac:dyDescent="0.3">
      <c r="E127" s="29" t="s">
        <v>517</v>
      </c>
      <c r="J127" s="89"/>
      <c r="K127" s="89"/>
      <c r="L127" s="89"/>
      <c r="M127" s="89"/>
      <c r="N127" s="89"/>
      <c r="O127" s="89"/>
      <c r="P127" s="89"/>
      <c r="Q127" s="89"/>
      <c r="R127" s="89"/>
      <c r="S127" s="89"/>
      <c r="T127" s="89"/>
      <c r="U127" s="89"/>
      <c r="V127" s="89"/>
      <c r="W127" s="89"/>
      <c r="X127" s="89"/>
      <c r="Y127" s="89"/>
      <c r="AQ127" s="3"/>
    </row>
    <row r="128" spans="5:43" x14ac:dyDescent="0.3">
      <c r="E128" s="32"/>
      <c r="F128" s="23" t="s">
        <v>193</v>
      </c>
      <c r="G128" s="23" t="s">
        <v>174</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3">
      <c r="E129" s="32"/>
      <c r="F129" t="s">
        <v>194</v>
      </c>
      <c r="G129" t="s">
        <v>174</v>
      </c>
      <c r="J129" s="89">
        <f t="shared" ref="J129:Y129" si="20">J$58 * J35 * J117 / hours_in_year / $H46</f>
        <v>69.270289975109108</v>
      </c>
      <c r="K129" s="89">
        <f t="shared" si="20"/>
        <v>0.14750404471236933</v>
      </c>
      <c r="L129" s="89">
        <f t="shared" si="20"/>
        <v>17.928139369416204</v>
      </c>
      <c r="M129" s="89">
        <f t="shared" si="20"/>
        <v>2.2666535500696316E-2</v>
      </c>
      <c r="N129" s="89">
        <f t="shared" si="20"/>
        <v>16.502182308947084</v>
      </c>
      <c r="O129" s="89">
        <f t="shared" si="20"/>
        <v>1.2153411517825534</v>
      </c>
      <c r="P129" s="89">
        <f t="shared" si="20"/>
        <v>31.196079296277158</v>
      </c>
      <c r="Q129" s="89">
        <f t="shared" si="20"/>
        <v>1.9644668421995368</v>
      </c>
      <c r="R129" s="89">
        <f t="shared" si="20"/>
        <v>-2.2353125955601933E-3</v>
      </c>
      <c r="S129" s="89">
        <f t="shared" si="20"/>
        <v>0</v>
      </c>
      <c r="T129" s="89">
        <f t="shared" si="20"/>
        <v>-0.2107058737313261</v>
      </c>
      <c r="U129" s="89">
        <f t="shared" si="20"/>
        <v>0</v>
      </c>
      <c r="V129" s="89">
        <f t="shared" si="20"/>
        <v>-3.5572890262361628E-2</v>
      </c>
      <c r="W129" s="89">
        <f t="shared" si="20"/>
        <v>0</v>
      </c>
      <c r="X129" s="89">
        <f t="shared" si="20"/>
        <v>-5.6143570023484202</v>
      </c>
      <c r="Y129" s="89">
        <f t="shared" si="20"/>
        <v>0</v>
      </c>
      <c r="AQ129" s="3"/>
    </row>
    <row r="130" spans="3:43" x14ac:dyDescent="0.3">
      <c r="E130" s="32"/>
      <c r="F130" t="s">
        <v>195</v>
      </c>
      <c r="G130" t="s">
        <v>174</v>
      </c>
      <c r="J130" s="89">
        <f t="shared" ref="J130:Y130" si="21">J$58 * J36 * J118 / hours_in_year / $H47</f>
        <v>63.817187363512467</v>
      </c>
      <c r="K130" s="89">
        <f t="shared" si="21"/>
        <v>0.13589221673054455</v>
      </c>
      <c r="L130" s="89">
        <f t="shared" si="21"/>
        <v>16.516798610606603</v>
      </c>
      <c r="M130" s="89">
        <f t="shared" si="21"/>
        <v>2.088217825346797E-2</v>
      </c>
      <c r="N130" s="89">
        <f t="shared" si="21"/>
        <v>15.203095882741874</v>
      </c>
      <c r="O130" s="89">
        <f t="shared" si="21"/>
        <v>1.1196669455514587</v>
      </c>
      <c r="P130" s="89">
        <f t="shared" si="21"/>
        <v>28.74025845962074</v>
      </c>
      <c r="Q130" s="89">
        <f t="shared" si="21"/>
        <v>1.8098198893508828</v>
      </c>
      <c r="R130" s="89">
        <f t="shared" si="21"/>
        <v>-2.0593440965548607E-3</v>
      </c>
      <c r="S130" s="89">
        <f t="shared" si="21"/>
        <v>0</v>
      </c>
      <c r="T130" s="89">
        <f t="shared" si="21"/>
        <v>-0.19411866512088266</v>
      </c>
      <c r="U130" s="89">
        <f t="shared" si="21"/>
        <v>0</v>
      </c>
      <c r="V130" s="89">
        <f t="shared" si="21"/>
        <v>-3.2772517680387039E-2</v>
      </c>
      <c r="W130" s="89">
        <f t="shared" si="21"/>
        <v>0</v>
      </c>
      <c r="X130" s="89">
        <f t="shared" si="21"/>
        <v>-5.1723830356890756</v>
      </c>
      <c r="Y130" s="89">
        <f t="shared" si="21"/>
        <v>0</v>
      </c>
      <c r="AQ130" s="3"/>
    </row>
    <row r="131" spans="3:43" x14ac:dyDescent="0.3">
      <c r="E131" s="32"/>
      <c r="F131" t="s">
        <v>196</v>
      </c>
      <c r="G131" t="s">
        <v>174</v>
      </c>
      <c r="J131" s="89">
        <f t="shared" ref="J131:Y131" si="22">J$58 * J37 * J119 / hours_in_year / $H48</f>
        <v>87.626205736451865</v>
      </c>
      <c r="K131" s="89">
        <f t="shared" si="22"/>
        <v>0.18659110238414317</v>
      </c>
      <c r="L131" s="89">
        <f t="shared" si="22"/>
        <v>22.678912264128613</v>
      </c>
      <c r="M131" s="89">
        <f t="shared" si="22"/>
        <v>2.8672934729020196E-2</v>
      </c>
      <c r="N131" s="89">
        <f t="shared" si="22"/>
        <v>20.875091220548278</v>
      </c>
      <c r="O131" s="89">
        <f t="shared" si="22"/>
        <v>1.5373940811326401</v>
      </c>
      <c r="P131" s="89">
        <f t="shared" si="22"/>
        <v>39.462720071888121</v>
      </c>
      <c r="Q131" s="89">
        <f t="shared" si="22"/>
        <v>2.4850303894912114</v>
      </c>
      <c r="R131" s="89">
        <f t="shared" si="22"/>
        <v>-2.8276474871726746E-3</v>
      </c>
      <c r="S131" s="89">
        <f t="shared" si="22"/>
        <v>0</v>
      </c>
      <c r="T131" s="89">
        <f t="shared" si="22"/>
        <v>-0.26654076730578824</v>
      </c>
      <c r="U131" s="89">
        <f t="shared" si="22"/>
        <v>0</v>
      </c>
      <c r="V131" s="89">
        <f t="shared" si="22"/>
        <v>-4.4999341014596572E-2</v>
      </c>
      <c r="W131" s="89">
        <f t="shared" si="22"/>
        <v>0</v>
      </c>
      <c r="X131" s="89">
        <f t="shared" si="22"/>
        <v>-7.1021039747696975</v>
      </c>
      <c r="Y131" s="89">
        <f t="shared" si="22"/>
        <v>0</v>
      </c>
      <c r="AQ131" s="3"/>
    </row>
    <row r="132" spans="3:43" x14ac:dyDescent="0.3">
      <c r="E132" s="32"/>
      <c r="F132" t="s">
        <v>197</v>
      </c>
      <c r="G132" t="s">
        <v>174</v>
      </c>
      <c r="J132" s="89">
        <f t="shared" ref="J132:Y132" si="23">J$58 * J38 * J120 / hours_in_year / $H49</f>
        <v>87.110251630054705</v>
      </c>
      <c r="K132" s="89">
        <f t="shared" si="23"/>
        <v>0.18549243053497255</v>
      </c>
      <c r="L132" s="89">
        <f t="shared" si="23"/>
        <v>22.545375979943358</v>
      </c>
      <c r="M132" s="89">
        <f t="shared" si="23"/>
        <v>2.8504104887632442E-2</v>
      </c>
      <c r="N132" s="89">
        <f t="shared" si="23"/>
        <v>20.752176061251625</v>
      </c>
      <c r="O132" s="89">
        <f t="shared" si="23"/>
        <v>1.5283417116657159</v>
      </c>
      <c r="P132" s="89">
        <f t="shared" si="23"/>
        <v>39.23035861906051</v>
      </c>
      <c r="Q132" s="89">
        <f t="shared" si="23"/>
        <v>2.4703982184049038</v>
      </c>
      <c r="R132" s="89">
        <f t="shared" si="23"/>
        <v>-2.8109979435779384E-3</v>
      </c>
      <c r="S132" s="89">
        <f t="shared" si="23"/>
        <v>0</v>
      </c>
      <c r="T132" s="89">
        <f t="shared" si="23"/>
        <v>-0.26497134178681403</v>
      </c>
      <c r="U132" s="89">
        <f t="shared" si="23"/>
        <v>0</v>
      </c>
      <c r="V132" s="89">
        <f t="shared" si="23"/>
        <v>-4.4734379242184812E-2</v>
      </c>
      <c r="W132" s="89">
        <f t="shared" si="23"/>
        <v>0</v>
      </c>
      <c r="X132" s="89">
        <f t="shared" si="23"/>
        <v>-7.0602858944472064</v>
      </c>
      <c r="Y132" s="89">
        <f t="shared" si="23"/>
        <v>0</v>
      </c>
      <c r="AQ132" s="3"/>
    </row>
    <row r="133" spans="3:43" x14ac:dyDescent="0.3">
      <c r="E133" s="32"/>
      <c r="F133" t="s">
        <v>198</v>
      </c>
      <c r="G133" t="s">
        <v>174</v>
      </c>
      <c r="J133" s="89">
        <f t="shared" ref="J133:Y133" si="24">J$58 * J39 * J121 / hours_in_year / $H50</f>
        <v>5.1116193006533654</v>
      </c>
      <c r="K133" s="89">
        <f t="shared" si="24"/>
        <v>1.0884673965521344E-2</v>
      </c>
      <c r="L133" s="89">
        <f t="shared" si="24"/>
        <v>1.3229600057750732</v>
      </c>
      <c r="M133" s="89">
        <f t="shared" si="24"/>
        <v>1.6726175159067034E-3</v>
      </c>
      <c r="N133" s="89">
        <f t="shared" si="24"/>
        <v>1.2177352458554018</v>
      </c>
      <c r="O133" s="89">
        <f t="shared" si="24"/>
        <v>8.9682911542051866E-2</v>
      </c>
      <c r="P133" s="89">
        <f t="shared" si="24"/>
        <v>2.3020328208942513</v>
      </c>
      <c r="Q133" s="89">
        <f t="shared" si="24"/>
        <v>0.14496267634636686</v>
      </c>
      <c r="R133" s="89">
        <f t="shared" si="24"/>
        <v>-1.6494902808353754E-4</v>
      </c>
      <c r="S133" s="89">
        <f t="shared" si="24"/>
        <v>0</v>
      </c>
      <c r="T133" s="89">
        <f t="shared" si="24"/>
        <v>-1.5548487112051838E-2</v>
      </c>
      <c r="U133" s="89">
        <f t="shared" si="24"/>
        <v>0</v>
      </c>
      <c r="V133" s="89">
        <f t="shared" si="24"/>
        <v>-2.6250081024700588E-3</v>
      </c>
      <c r="W133" s="89">
        <f t="shared" si="24"/>
        <v>0</v>
      </c>
      <c r="X133" s="89">
        <f t="shared" si="24"/>
        <v>-0.41429674430805441</v>
      </c>
      <c r="Y133" s="89">
        <f t="shared" si="24"/>
        <v>0</v>
      </c>
      <c r="AQ133" s="3"/>
    </row>
    <row r="134" spans="3:43" x14ac:dyDescent="0.3">
      <c r="E134" s="32"/>
      <c r="F134" t="s">
        <v>199</v>
      </c>
      <c r="G134" t="s">
        <v>174</v>
      </c>
      <c r="J134" s="89">
        <f t="shared" ref="J134:Y134" si="25">J$58 * J40 * J122 / hours_in_year / $H51</f>
        <v>92.811544622389107</v>
      </c>
      <c r="K134" s="89">
        <f t="shared" si="25"/>
        <v>0.19763275471669312</v>
      </c>
      <c r="L134" s="89">
        <f t="shared" si="25"/>
        <v>24.020951950379974</v>
      </c>
      <c r="M134" s="89">
        <f t="shared" si="25"/>
        <v>3.0369674673135789E-2</v>
      </c>
      <c r="N134" s="89">
        <f t="shared" si="25"/>
        <v>22.110388599268024</v>
      </c>
      <c r="O134" s="89">
        <f t="shared" si="25"/>
        <v>1.6283703963217686</v>
      </c>
      <c r="P134" s="89">
        <f t="shared" si="25"/>
        <v>41.797952725337296</v>
      </c>
      <c r="Q134" s="89">
        <f t="shared" si="25"/>
        <v>2.632083712216609</v>
      </c>
      <c r="R134" s="89">
        <f t="shared" si="25"/>
        <v>-2.9949754040638631E-3</v>
      </c>
      <c r="S134" s="89">
        <f t="shared" si="25"/>
        <v>0</v>
      </c>
      <c r="T134" s="89">
        <f t="shared" si="25"/>
        <v>-0.28231349412629125</v>
      </c>
      <c r="U134" s="89">
        <f t="shared" si="25"/>
        <v>0</v>
      </c>
      <c r="V134" s="89">
        <f t="shared" si="25"/>
        <v>-4.7662206887236686E-2</v>
      </c>
      <c r="W134" s="89">
        <f t="shared" si="25"/>
        <v>0</v>
      </c>
      <c r="X134" s="89">
        <f t="shared" si="25"/>
        <v>0</v>
      </c>
      <c r="Y134" s="89">
        <f t="shared" si="25"/>
        <v>0</v>
      </c>
      <c r="AQ134" s="3"/>
    </row>
    <row r="135" spans="3:43" x14ac:dyDescent="0.3">
      <c r="E135" s="32"/>
      <c r="F135" t="s">
        <v>200</v>
      </c>
      <c r="G135" t="s">
        <v>174</v>
      </c>
      <c r="J135" s="89">
        <f t="shared" ref="J135:Y135" si="26">J$58 * J41 * J123 / hours_in_year / $H52</f>
        <v>91.746785028250798</v>
      </c>
      <c r="K135" s="89">
        <f t="shared" si="26"/>
        <v>0.19536545733944616</v>
      </c>
      <c r="L135" s="89">
        <f t="shared" si="26"/>
        <v>23.745376975805826</v>
      </c>
      <c r="M135" s="89">
        <f t="shared" si="26"/>
        <v>3.0021265403463105E-2</v>
      </c>
      <c r="N135" s="89">
        <f t="shared" si="26"/>
        <v>21.856732133502042</v>
      </c>
      <c r="O135" s="89">
        <f t="shared" si="26"/>
        <v>1.6096892827884406</v>
      </c>
      <c r="P135" s="89">
        <f t="shared" si="26"/>
        <v>0</v>
      </c>
      <c r="Q135" s="89">
        <f t="shared" si="26"/>
        <v>2.6018877231663229</v>
      </c>
      <c r="R135" s="89">
        <f t="shared" si="26"/>
        <v>-2.9606162216080636E-3</v>
      </c>
      <c r="S135" s="89">
        <f t="shared" si="26"/>
        <v>0</v>
      </c>
      <c r="T135" s="89">
        <f t="shared" si="26"/>
        <v>-0.2790747159909992</v>
      </c>
      <c r="U135" s="89">
        <f t="shared" si="26"/>
        <v>0</v>
      </c>
      <c r="V135" s="89">
        <f t="shared" si="26"/>
        <v>0</v>
      </c>
      <c r="W135" s="89">
        <f t="shared" si="26"/>
        <v>0</v>
      </c>
      <c r="X135" s="89">
        <f t="shared" si="26"/>
        <v>0</v>
      </c>
      <c r="Y135" s="89">
        <f t="shared" si="26"/>
        <v>0</v>
      </c>
      <c r="AQ135" s="3"/>
    </row>
    <row r="136" spans="3:43" x14ac:dyDescent="0.3">
      <c r="E136" s="32"/>
      <c r="F136" s="37" t="s">
        <v>201</v>
      </c>
      <c r="G136" s="37" t="s">
        <v>174</v>
      </c>
      <c r="H136" s="37"/>
      <c r="I136" s="37"/>
      <c r="J136" s="82">
        <f t="shared" ref="J136:Y136" si="27">J$58 * J42 * J124 / hours_in_year / $H53</f>
        <v>89.271755478651485</v>
      </c>
      <c r="K136" s="82">
        <f t="shared" si="27"/>
        <v>0.19009513337400996</v>
      </c>
      <c r="L136" s="82">
        <f t="shared" si="27"/>
        <v>23.104804015528273</v>
      </c>
      <c r="M136" s="82">
        <f t="shared" si="27"/>
        <v>2.9211389406532475E-2</v>
      </c>
      <c r="N136" s="82">
        <f t="shared" si="27"/>
        <v>21.267108661993618</v>
      </c>
      <c r="O136" s="82">
        <f t="shared" si="27"/>
        <v>0</v>
      </c>
      <c r="P136" s="82">
        <f t="shared" si="27"/>
        <v>0</v>
      </c>
      <c r="Q136" s="82">
        <f t="shared" si="27"/>
        <v>2.5316972636576502</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518</v>
      </c>
      <c r="J140" s="89"/>
      <c r="K140" s="89"/>
      <c r="L140" s="89"/>
      <c r="M140" s="89"/>
      <c r="N140" s="89"/>
      <c r="O140" s="89"/>
      <c r="P140" s="89"/>
      <c r="Q140" s="89"/>
      <c r="R140" s="89"/>
      <c r="S140" s="89"/>
      <c r="T140" s="89"/>
      <c r="U140" s="89"/>
      <c r="V140" s="89"/>
      <c r="W140" s="89"/>
      <c r="X140" s="89"/>
      <c r="Y140" s="89"/>
      <c r="AQ140" s="3"/>
    </row>
    <row r="141" spans="3:43" x14ac:dyDescent="0.3">
      <c r="E141" s="29" t="s">
        <v>519</v>
      </c>
      <c r="J141" s="89"/>
      <c r="K141" s="89"/>
      <c r="L141" s="89"/>
      <c r="M141" s="89"/>
      <c r="N141" s="89"/>
      <c r="O141" s="89"/>
      <c r="P141" s="89"/>
      <c r="Q141" s="89"/>
      <c r="R141" s="89"/>
      <c r="S141" s="89"/>
      <c r="T141" s="89"/>
      <c r="U141" s="89"/>
      <c r="V141" s="89"/>
      <c r="W141" s="89"/>
      <c r="X141" s="89"/>
      <c r="Y141" s="89"/>
      <c r="AQ141" s="3"/>
    </row>
    <row r="142" spans="3:43" x14ac:dyDescent="0.3">
      <c r="C142" s="32"/>
      <c r="F142" s="23" t="s">
        <v>193</v>
      </c>
      <c r="G142" s="23" t="s">
        <v>174</v>
      </c>
      <c r="H142" s="23"/>
      <c r="I142" s="23"/>
      <c r="J142" s="158">
        <f t="shared" ref="J142:Y142" si="28">J82 + J105 + J128</f>
        <v>2193.7864700794698</v>
      </c>
      <c r="K142" s="158">
        <f t="shared" si="28"/>
        <v>2.271891039929717</v>
      </c>
      <c r="L142" s="158">
        <f t="shared" si="28"/>
        <v>643.28533249392717</v>
      </c>
      <c r="M142" s="158">
        <f t="shared" si="28"/>
        <v>0.10388162004243789</v>
      </c>
      <c r="N142" s="158">
        <f t="shared" si="28"/>
        <v>581.62524917824089</v>
      </c>
      <c r="O142" s="158">
        <f t="shared" si="28"/>
        <v>43.755969661246198</v>
      </c>
      <c r="P142" s="158">
        <f t="shared" si="28"/>
        <v>916.98243407364691</v>
      </c>
      <c r="Q142" s="158">
        <f t="shared" si="28"/>
        <v>43.656952255236035</v>
      </c>
      <c r="R142" s="158">
        <f t="shared" si="28"/>
        <v>-0.1078012212054579</v>
      </c>
      <c r="S142" s="158">
        <f t="shared" si="28"/>
        <v>0</v>
      </c>
      <c r="T142" s="158">
        <f t="shared" si="28"/>
        <v>-6.9474597289698838</v>
      </c>
      <c r="U142" s="158">
        <f t="shared" si="28"/>
        <v>0</v>
      </c>
      <c r="V142" s="158">
        <f t="shared" si="28"/>
        <v>-0.87390902183005781</v>
      </c>
      <c r="W142" s="158">
        <f t="shared" si="28"/>
        <v>0</v>
      </c>
      <c r="X142" s="158">
        <f t="shared" si="28"/>
        <v>-348.12331153402158</v>
      </c>
      <c r="Y142" s="158">
        <f t="shared" si="28"/>
        <v>0</v>
      </c>
      <c r="AQ142" s="3"/>
    </row>
    <row r="143" spans="3:43" x14ac:dyDescent="0.3">
      <c r="C143" s="32"/>
      <c r="F143" t="s">
        <v>194</v>
      </c>
      <c r="G143" t="s">
        <v>174</v>
      </c>
      <c r="J143" s="89">
        <f t="shared" ref="J143:Y143" si="29">J83 + J106 + J129</f>
        <v>2104.3378819904756</v>
      </c>
      <c r="K143" s="89">
        <f t="shared" si="29"/>
        <v>2.6240256908502357</v>
      </c>
      <c r="L143" s="89">
        <f t="shared" si="29"/>
        <v>652.67699862449638</v>
      </c>
      <c r="M143" s="89">
        <f t="shared" si="29"/>
        <v>0.15899027447178976</v>
      </c>
      <c r="N143" s="89">
        <f t="shared" si="29"/>
        <v>593.09860811803287</v>
      </c>
      <c r="O143" s="89">
        <f t="shared" si="29"/>
        <v>43.881687131630642</v>
      </c>
      <c r="P143" s="89">
        <f t="shared" si="29"/>
        <v>922.52979381792341</v>
      </c>
      <c r="Q143" s="89">
        <f t="shared" si="29"/>
        <v>41.003628719308445</v>
      </c>
      <c r="R143" s="89">
        <f t="shared" si="29"/>
        <v>-0.12030418246255098</v>
      </c>
      <c r="S143" s="89">
        <f t="shared" si="29"/>
        <v>0</v>
      </c>
      <c r="T143" s="89">
        <f t="shared" si="29"/>
        <v>-7.3494746153128219</v>
      </c>
      <c r="U143" s="89">
        <f t="shared" si="29"/>
        <v>0</v>
      </c>
      <c r="V143" s="89">
        <f t="shared" si="29"/>
        <v>-0.8894520502475628</v>
      </c>
      <c r="W143" s="89">
        <f t="shared" si="29"/>
        <v>0</v>
      </c>
      <c r="X143" s="89">
        <f t="shared" si="29"/>
        <v>-313.06190197879499</v>
      </c>
      <c r="Y143" s="89">
        <f t="shared" si="29"/>
        <v>0</v>
      </c>
      <c r="AQ143" s="3"/>
    </row>
    <row r="144" spans="3:43" x14ac:dyDescent="0.3">
      <c r="C144" s="32"/>
      <c r="F144" t="s">
        <v>195</v>
      </c>
      <c r="G144" t="s">
        <v>174</v>
      </c>
      <c r="J144" s="89">
        <f t="shared" ref="J144:Y144" si="30">J84 + J107 + J130</f>
        <v>1938.6799873275922</v>
      </c>
      <c r="K144" s="89">
        <f t="shared" si="30"/>
        <v>2.4174568811511028</v>
      </c>
      <c r="L144" s="89">
        <f t="shared" si="30"/>
        <v>601.29689545173392</v>
      </c>
      <c r="M144" s="89">
        <f t="shared" si="30"/>
        <v>0.14647422637595942</v>
      </c>
      <c r="N144" s="89">
        <f t="shared" si="30"/>
        <v>546.40864088929845</v>
      </c>
      <c r="O144" s="89">
        <f t="shared" si="30"/>
        <v>40.427228621571764</v>
      </c>
      <c r="P144" s="89">
        <f t="shared" si="30"/>
        <v>849.90631223943024</v>
      </c>
      <c r="Q144" s="89">
        <f t="shared" si="30"/>
        <v>37.775737007947853</v>
      </c>
      <c r="R144" s="89">
        <f t="shared" si="30"/>
        <v>-0.1108335847242094</v>
      </c>
      <c r="S144" s="89">
        <f t="shared" si="30"/>
        <v>0</v>
      </c>
      <c r="T144" s="89">
        <f t="shared" si="30"/>
        <v>-6.7709085484892739</v>
      </c>
      <c r="U144" s="89">
        <f t="shared" si="30"/>
        <v>0</v>
      </c>
      <c r="V144" s="89">
        <f t="shared" si="30"/>
        <v>-0.81943251806662598</v>
      </c>
      <c r="W144" s="89">
        <f t="shared" si="30"/>
        <v>0</v>
      </c>
      <c r="X144" s="89">
        <f t="shared" si="30"/>
        <v>-288.41701199947755</v>
      </c>
      <c r="Y144" s="89">
        <f t="shared" si="30"/>
        <v>0</v>
      </c>
      <c r="AQ144" s="3"/>
    </row>
    <row r="145" spans="3:43" x14ac:dyDescent="0.3">
      <c r="C145" s="32"/>
      <c r="F145" t="s">
        <v>196</v>
      </c>
      <c r="G145" t="s">
        <v>174</v>
      </c>
      <c r="J145" s="89">
        <f t="shared" ref="J145:Y145" si="31">J85 + J108 + J131</f>
        <v>1887.2278243533121</v>
      </c>
      <c r="K145" s="89">
        <f t="shared" si="31"/>
        <v>2.5665484895540338</v>
      </c>
      <c r="L145" s="89">
        <f t="shared" si="31"/>
        <v>603.5513824050521</v>
      </c>
      <c r="M145" s="89">
        <f t="shared" si="31"/>
        <v>0.16979575442056613</v>
      </c>
      <c r="N145" s="89">
        <f t="shared" si="31"/>
        <v>549.83274700897414</v>
      </c>
      <c r="O145" s="89">
        <f t="shared" si="31"/>
        <v>40.335937153376541</v>
      </c>
      <c r="P145" s="89">
        <f t="shared" si="31"/>
        <v>848.61679799193394</v>
      </c>
      <c r="Q145" s="89">
        <f t="shared" si="31"/>
        <v>35.586620508433093</v>
      </c>
      <c r="R145" s="89">
        <f t="shared" si="31"/>
        <v>-0.11653723792961498</v>
      </c>
      <c r="S145" s="89">
        <f t="shared" si="31"/>
        <v>0</v>
      </c>
      <c r="T145" s="89">
        <f t="shared" si="31"/>
        <v>-6.9366052267593084</v>
      </c>
      <c r="U145" s="89">
        <f t="shared" si="31"/>
        <v>0</v>
      </c>
      <c r="V145" s="89">
        <f t="shared" si="31"/>
        <v>-0.82232094191479677</v>
      </c>
      <c r="W145" s="89">
        <f t="shared" si="31"/>
        <v>0</v>
      </c>
      <c r="X145" s="89">
        <f t="shared" si="31"/>
        <v>-271.00199641076892</v>
      </c>
      <c r="Y145" s="89">
        <f t="shared" si="31"/>
        <v>0</v>
      </c>
      <c r="AQ145" s="3"/>
    </row>
    <row r="146" spans="3:43" x14ac:dyDescent="0.3">
      <c r="C146" s="32"/>
      <c r="F146" t="s">
        <v>197</v>
      </c>
      <c r="G146" t="s">
        <v>174</v>
      </c>
      <c r="J146" s="89">
        <f t="shared" ref="J146:Y146" si="32">J86 + J109 + J132</f>
        <v>1876.1155898625177</v>
      </c>
      <c r="K146" s="89">
        <f t="shared" si="32"/>
        <v>2.5514363296547948</v>
      </c>
      <c r="L146" s="89">
        <f t="shared" si="32"/>
        <v>599.99759605134238</v>
      </c>
      <c r="M146" s="89">
        <f t="shared" si="32"/>
        <v>0.16879597568992494</v>
      </c>
      <c r="N146" s="89">
        <f t="shared" si="32"/>
        <v>546.59526272825394</v>
      </c>
      <c r="O146" s="89">
        <f t="shared" si="32"/>
        <v>40.098434088685423</v>
      </c>
      <c r="P146" s="89">
        <f t="shared" si="32"/>
        <v>843.62003568776163</v>
      </c>
      <c r="Q146" s="89">
        <f t="shared" si="32"/>
        <v>35.377082016724948</v>
      </c>
      <c r="R146" s="89">
        <f t="shared" si="32"/>
        <v>-0.11585105203405296</v>
      </c>
      <c r="S146" s="89">
        <f t="shared" si="32"/>
        <v>0</v>
      </c>
      <c r="T146" s="89">
        <f t="shared" si="32"/>
        <v>-6.8957616238539545</v>
      </c>
      <c r="U146" s="89">
        <f t="shared" si="32"/>
        <v>0</v>
      </c>
      <c r="V146" s="89">
        <f t="shared" si="32"/>
        <v>-0.81747901291431702</v>
      </c>
      <c r="W146" s="89">
        <f t="shared" si="32"/>
        <v>0</v>
      </c>
      <c r="X146" s="89">
        <f t="shared" si="32"/>
        <v>-269.40630261443465</v>
      </c>
      <c r="Y146" s="89">
        <f t="shared" si="32"/>
        <v>0</v>
      </c>
      <c r="AQ146" s="3"/>
    </row>
    <row r="147" spans="3:43" x14ac:dyDescent="0.3">
      <c r="C147" s="32"/>
      <c r="F147" t="s">
        <v>198</v>
      </c>
      <c r="G147" t="s">
        <v>174</v>
      </c>
      <c r="H147" s="63"/>
      <c r="J147" s="89">
        <f t="shared" ref="J147:Y147" si="33">J87 + J110 + J133</f>
        <v>155.28409274082293</v>
      </c>
      <c r="K147" s="89">
        <f t="shared" si="33"/>
        <v>0.19363309106371648</v>
      </c>
      <c r="L147" s="89">
        <f t="shared" si="33"/>
        <v>48.162586650933562</v>
      </c>
      <c r="M147" s="89">
        <f t="shared" si="33"/>
        <v>1.1732270153599813E-2</v>
      </c>
      <c r="N147" s="89">
        <f t="shared" si="33"/>
        <v>43.766155642428565</v>
      </c>
      <c r="O147" s="89">
        <f t="shared" si="33"/>
        <v>3.2381339672156089</v>
      </c>
      <c r="P147" s="89">
        <f t="shared" si="33"/>
        <v>68.075665645429396</v>
      </c>
      <c r="Q147" s="89">
        <f t="shared" si="33"/>
        <v>3.0257551979897221</v>
      </c>
      <c r="R147" s="89">
        <f t="shared" si="33"/>
        <v>-8.877531496488171E-3</v>
      </c>
      <c r="S147" s="89">
        <f t="shared" si="33"/>
        <v>0</v>
      </c>
      <c r="T147" s="89">
        <f t="shared" si="33"/>
        <v>-0.54233519603850655</v>
      </c>
      <c r="U147" s="89">
        <f t="shared" si="33"/>
        <v>0</v>
      </c>
      <c r="V147" s="89">
        <f t="shared" si="33"/>
        <v>-6.5634780346449512E-2</v>
      </c>
      <c r="W147" s="89">
        <f t="shared" si="33"/>
        <v>0</v>
      </c>
      <c r="X147" s="89">
        <f t="shared" si="33"/>
        <v>-23.101581659743012</v>
      </c>
      <c r="Y147" s="89">
        <f t="shared" si="33"/>
        <v>0</v>
      </c>
      <c r="AQ147" s="3"/>
    </row>
    <row r="148" spans="3:43" x14ac:dyDescent="0.3">
      <c r="C148" s="32"/>
      <c r="F148" t="s">
        <v>199</v>
      </c>
      <c r="G148" t="s">
        <v>174</v>
      </c>
      <c r="J148" s="89">
        <f t="shared" ref="J148:Y148" si="34">J88 + J111 + J134</f>
        <v>1998.9057834980285</v>
      </c>
      <c r="K148" s="89">
        <f t="shared" si="34"/>
        <v>2.7184256999579053</v>
      </c>
      <c r="L148" s="89">
        <f t="shared" si="34"/>
        <v>639.26693606326785</v>
      </c>
      <c r="M148" s="89">
        <f t="shared" si="34"/>
        <v>0.17984353088953803</v>
      </c>
      <c r="N148" s="89">
        <f>N88 + N111 + N134</f>
        <v>582.36946476213495</v>
      </c>
      <c r="O148" s="89">
        <f t="shared" si="34"/>
        <v>42.722843007216539</v>
      </c>
      <c r="P148" s="89">
        <f t="shared" si="34"/>
        <v>898.83426027852249</v>
      </c>
      <c r="Q148" s="89">
        <f t="shared" si="34"/>
        <v>37.692482397471935</v>
      </c>
      <c r="R148" s="89">
        <f t="shared" si="34"/>
        <v>-0.12343340633514455</v>
      </c>
      <c r="S148" s="89">
        <f t="shared" si="34"/>
        <v>0</v>
      </c>
      <c r="T148" s="89">
        <f t="shared" si="34"/>
        <v>-7.347083445191946</v>
      </c>
      <c r="U148" s="89">
        <f t="shared" si="34"/>
        <v>0</v>
      </c>
      <c r="V148" s="89">
        <f t="shared" si="34"/>
        <v>-0.87098232946426979</v>
      </c>
      <c r="W148" s="89">
        <f t="shared" si="34"/>
        <v>0</v>
      </c>
      <c r="X148" s="89">
        <f t="shared" si="34"/>
        <v>0</v>
      </c>
      <c r="Y148" s="89">
        <f t="shared" si="34"/>
        <v>0</v>
      </c>
      <c r="AQ148" s="3"/>
    </row>
    <row r="149" spans="3:43" x14ac:dyDescent="0.3">
      <c r="C149" s="32"/>
      <c r="F149" t="s">
        <v>200</v>
      </c>
      <c r="G149" t="s">
        <v>174</v>
      </c>
      <c r="J149" s="89">
        <f t="shared" ref="J149:Y149" si="35">J89 + J112 + J135</f>
        <v>1975.973785981799</v>
      </c>
      <c r="K149" s="89">
        <f t="shared" si="35"/>
        <v>2.6872391718513136</v>
      </c>
      <c r="L149" s="89">
        <f t="shared" si="35"/>
        <v>631.93308976043886</v>
      </c>
      <c r="M149" s="89">
        <f t="shared" si="35"/>
        <v>0.17778031638602518</v>
      </c>
      <c r="N149" s="89">
        <f t="shared" si="35"/>
        <v>575.68836191591538</v>
      </c>
      <c r="O149" s="89">
        <f t="shared" si="35"/>
        <v>42.232714789160511</v>
      </c>
      <c r="P149" s="89">
        <f t="shared" si="35"/>
        <v>0</v>
      </c>
      <c r="Q149" s="89">
        <f t="shared" si="35"/>
        <v>37.260063861363257</v>
      </c>
      <c r="R149" s="89">
        <f t="shared" si="35"/>
        <v>-0.12201734431217923</v>
      </c>
      <c r="S149" s="89">
        <f t="shared" si="35"/>
        <v>0</v>
      </c>
      <c r="T149" s="89">
        <f t="shared" si="35"/>
        <v>-7.2627956810023626</v>
      </c>
      <c r="U149" s="89">
        <f t="shared" si="35"/>
        <v>0</v>
      </c>
      <c r="V149" s="89">
        <f t="shared" si="35"/>
        <v>0</v>
      </c>
      <c r="W149" s="89">
        <f t="shared" si="35"/>
        <v>0</v>
      </c>
      <c r="X149" s="89">
        <f t="shared" si="35"/>
        <v>0</v>
      </c>
      <c r="Y149" s="89">
        <f t="shared" si="35"/>
        <v>0</v>
      </c>
      <c r="AQ149" s="3"/>
    </row>
    <row r="150" spans="3:43" x14ac:dyDescent="0.3">
      <c r="C150" s="32"/>
      <c r="F150" s="37" t="s">
        <v>201</v>
      </c>
      <c r="G150" s="37" t="s">
        <v>174</v>
      </c>
      <c r="H150" s="37"/>
      <c r="I150" s="37"/>
      <c r="J150" s="82">
        <f t="shared" ref="J150:Y150" si="36">J90 + J113 + J136</f>
        <v>1922.6684466390345</v>
      </c>
      <c r="K150" s="82">
        <f t="shared" si="36"/>
        <v>2.6147462081455575</v>
      </c>
      <c r="L150" s="82">
        <f t="shared" si="36"/>
        <v>614.88559245527358</v>
      </c>
      <c r="M150" s="82">
        <f t="shared" si="36"/>
        <v>0.17298438226956497</v>
      </c>
      <c r="N150" s="82">
        <f t="shared" si="36"/>
        <v>560.15816424562558</v>
      </c>
      <c r="O150" s="82">
        <f t="shared" si="36"/>
        <v>0</v>
      </c>
      <c r="P150" s="82">
        <f t="shared" si="36"/>
        <v>0</v>
      </c>
      <c r="Q150" s="82">
        <f t="shared" si="36"/>
        <v>36.254908650219505</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520</v>
      </c>
      <c r="J152" s="63"/>
      <c r="K152" s="63"/>
      <c r="L152" s="63"/>
      <c r="M152" s="63"/>
      <c r="N152" s="63"/>
      <c r="O152" s="63"/>
      <c r="P152" s="63"/>
      <c r="Q152" s="63"/>
      <c r="R152" s="63"/>
      <c r="S152" s="63"/>
      <c r="T152" s="63"/>
      <c r="U152" s="63"/>
      <c r="V152" s="63"/>
      <c r="W152" s="63"/>
      <c r="X152" s="63"/>
      <c r="Y152" s="63"/>
      <c r="AQ152" s="3"/>
    </row>
    <row r="153" spans="3:43" x14ac:dyDescent="0.3">
      <c r="E153" s="29" t="s">
        <v>521</v>
      </c>
      <c r="J153" s="63"/>
      <c r="K153" s="63"/>
      <c r="L153" s="63"/>
      <c r="M153" s="63"/>
      <c r="N153" s="63"/>
      <c r="O153" s="63"/>
      <c r="P153" s="63"/>
      <c r="Q153" s="63"/>
      <c r="R153" s="63"/>
      <c r="S153" s="63"/>
      <c r="T153" s="63"/>
      <c r="U153" s="63"/>
      <c r="V153" s="63"/>
      <c r="W153" s="63"/>
      <c r="X153" s="63"/>
      <c r="Y153" s="63"/>
      <c r="AQ153" s="3"/>
    </row>
    <row r="154" spans="3:43" x14ac:dyDescent="0.3">
      <c r="C154" s="32"/>
      <c r="F154" s="23" t="s">
        <v>193</v>
      </c>
      <c r="G154" s="23" t="s">
        <v>522</v>
      </c>
      <c r="H154" s="101">
        <f t="shared" ref="H154:H162" si="37">SUM(J142:Y142) * thousand</f>
        <v>4069415.6988957124</v>
      </c>
      <c r="J154" s="63"/>
      <c r="K154" s="63"/>
      <c r="L154" s="63"/>
      <c r="M154" s="63"/>
      <c r="N154" s="63"/>
      <c r="O154" s="63"/>
      <c r="P154" s="63"/>
      <c r="Q154" s="63"/>
      <c r="R154" s="63"/>
      <c r="S154" s="63"/>
      <c r="T154" s="63"/>
      <c r="U154" s="63"/>
      <c r="V154" s="63"/>
      <c r="W154" s="63"/>
      <c r="X154" s="63"/>
      <c r="Y154" s="63"/>
      <c r="AQ154" s="3"/>
    </row>
    <row r="155" spans="3:43" x14ac:dyDescent="0.3">
      <c r="C155" s="32"/>
      <c r="F155" t="s">
        <v>194</v>
      </c>
      <c r="G155" t="s">
        <v>522</v>
      </c>
      <c r="H155" s="121">
        <f t="shared" si="37"/>
        <v>4038890.4815403717</v>
      </c>
      <c r="J155" s="63"/>
      <c r="K155" s="63"/>
      <c r="L155" s="63"/>
      <c r="M155" s="63"/>
      <c r="N155" s="63"/>
      <c r="O155" s="63"/>
      <c r="P155" s="63"/>
      <c r="Q155" s="63"/>
      <c r="R155" s="63"/>
      <c r="S155" s="63"/>
      <c r="T155" s="63"/>
      <c r="U155" s="63"/>
      <c r="V155" s="63"/>
      <c r="W155" s="63"/>
      <c r="X155" s="63"/>
      <c r="Y155" s="63"/>
      <c r="AQ155" s="3"/>
    </row>
    <row r="156" spans="3:43" x14ac:dyDescent="0.3">
      <c r="C156" s="32"/>
      <c r="F156" t="s">
        <v>195</v>
      </c>
      <c r="G156" t="s">
        <v>522</v>
      </c>
      <c r="H156" s="121">
        <f t="shared" si="37"/>
        <v>3720940.5459943446</v>
      </c>
      <c r="J156" s="63"/>
      <c r="K156" s="63"/>
      <c r="L156" s="63"/>
      <c r="M156" s="63"/>
      <c r="N156" s="63"/>
      <c r="O156" s="63"/>
      <c r="P156" s="63"/>
      <c r="Q156" s="63"/>
      <c r="R156" s="63"/>
      <c r="S156" s="63"/>
      <c r="T156" s="63"/>
      <c r="U156" s="63"/>
      <c r="V156" s="63"/>
      <c r="W156" s="63"/>
      <c r="X156" s="63"/>
      <c r="Y156" s="63"/>
      <c r="AQ156" s="3"/>
    </row>
    <row r="157" spans="3:43" x14ac:dyDescent="0.3">
      <c r="C157" s="32"/>
      <c r="F157" t="s">
        <v>196</v>
      </c>
      <c r="G157" t="s">
        <v>522</v>
      </c>
      <c r="H157" s="121">
        <f t="shared" si="37"/>
        <v>3689010.1938476847</v>
      </c>
      <c r="J157" s="63"/>
      <c r="K157" s="63"/>
      <c r="L157" s="63"/>
      <c r="M157" s="63"/>
      <c r="N157" s="63"/>
      <c r="O157" s="63"/>
      <c r="P157" s="63"/>
      <c r="Q157" s="63"/>
      <c r="R157" s="63"/>
      <c r="S157" s="63"/>
      <c r="T157" s="63"/>
      <c r="U157" s="63"/>
      <c r="V157" s="63"/>
      <c r="W157" s="63"/>
      <c r="X157" s="63"/>
      <c r="Y157" s="63"/>
      <c r="AQ157" s="3"/>
    </row>
    <row r="158" spans="3:43" x14ac:dyDescent="0.3">
      <c r="C158" s="32"/>
      <c r="F158" t="s">
        <v>197</v>
      </c>
      <c r="G158" t="s">
        <v>522</v>
      </c>
      <c r="H158" s="121">
        <f t="shared" si="37"/>
        <v>3667288.8384373942</v>
      </c>
      <c r="J158" s="63"/>
      <c r="K158" s="63"/>
      <c r="L158" s="63"/>
      <c r="M158" s="63"/>
      <c r="N158" s="63"/>
      <c r="O158" s="63"/>
      <c r="P158" s="63"/>
      <c r="Q158" s="63"/>
      <c r="R158" s="63"/>
      <c r="S158" s="63"/>
      <c r="T158" s="63"/>
      <c r="U158" s="63"/>
      <c r="V158" s="63"/>
      <c r="W158" s="63"/>
      <c r="X158" s="63"/>
      <c r="Y158" s="63"/>
      <c r="AQ158" s="3"/>
    </row>
    <row r="159" spans="3:43" x14ac:dyDescent="0.3">
      <c r="C159" s="32"/>
      <c r="F159" t="s">
        <v>198</v>
      </c>
      <c r="G159" t="s">
        <v>522</v>
      </c>
      <c r="H159" s="121">
        <f t="shared" si="37"/>
        <v>298039.32603841269</v>
      </c>
      <c r="J159" s="63"/>
      <c r="K159" s="63"/>
      <c r="L159" s="63"/>
      <c r="M159" s="63"/>
      <c r="N159" s="63"/>
      <c r="O159" s="63"/>
      <c r="P159" s="63"/>
      <c r="Q159" s="63"/>
      <c r="R159" s="63"/>
      <c r="S159" s="63"/>
      <c r="T159" s="63"/>
      <c r="U159" s="63"/>
      <c r="V159" s="63"/>
      <c r="W159" s="63"/>
      <c r="X159" s="63"/>
      <c r="Y159" s="63"/>
      <c r="AQ159" s="3"/>
    </row>
    <row r="160" spans="3:43" x14ac:dyDescent="0.3">
      <c r="C160" s="32"/>
      <c r="F160" t="s">
        <v>199</v>
      </c>
      <c r="G160" t="s">
        <v>522</v>
      </c>
      <c r="H160" s="121">
        <f t="shared" si="37"/>
        <v>4194348.5400564997</v>
      </c>
      <c r="J160" s="63"/>
      <c r="K160" s="63"/>
      <c r="L160" s="63"/>
      <c r="M160" s="63"/>
      <c r="N160" s="63"/>
      <c r="O160" s="63"/>
      <c r="P160" s="63"/>
      <c r="Q160" s="63"/>
      <c r="R160" s="63"/>
      <c r="S160" s="63"/>
      <c r="T160" s="63"/>
      <c r="U160" s="63"/>
      <c r="V160" s="63"/>
      <c r="W160" s="63"/>
      <c r="X160" s="63"/>
      <c r="Y160" s="63"/>
      <c r="AQ160" s="3"/>
    </row>
    <row r="161" spans="3:43" x14ac:dyDescent="0.3">
      <c r="C161" s="32"/>
      <c r="F161" t="s">
        <v>200</v>
      </c>
      <c r="G161" t="s">
        <v>522</v>
      </c>
      <c r="H161" s="121">
        <f t="shared" si="37"/>
        <v>3258568.2227715994</v>
      </c>
      <c r="J161" s="63"/>
      <c r="K161" s="63"/>
      <c r="L161" s="63"/>
      <c r="M161" s="63"/>
      <c r="N161" s="63"/>
      <c r="O161" s="63"/>
      <c r="P161" s="63"/>
      <c r="Q161" s="63"/>
      <c r="R161" s="63"/>
      <c r="S161" s="63"/>
      <c r="T161" s="63"/>
      <c r="U161" s="63"/>
      <c r="V161" s="63"/>
      <c r="W161" s="63"/>
      <c r="X161" s="63"/>
      <c r="Y161" s="63"/>
      <c r="AQ161" s="3"/>
    </row>
    <row r="162" spans="3:43" x14ac:dyDescent="0.3">
      <c r="C162" s="32"/>
      <c r="F162" s="37" t="s">
        <v>201</v>
      </c>
      <c r="G162" s="37" t="s">
        <v>522</v>
      </c>
      <c r="H162" s="131">
        <f t="shared" si="37"/>
        <v>3136754.842580568</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523</v>
      </c>
      <c r="H166" s="63"/>
      <c r="J166" s="63"/>
      <c r="K166" s="63"/>
      <c r="L166" s="63"/>
      <c r="M166" s="63"/>
      <c r="N166" s="63"/>
      <c r="O166" s="63"/>
      <c r="P166" s="63"/>
      <c r="Q166" s="63"/>
      <c r="R166" s="63"/>
      <c r="S166" s="63"/>
      <c r="T166" s="63"/>
      <c r="U166" s="63"/>
      <c r="V166" s="63"/>
      <c r="W166" s="63"/>
      <c r="X166" s="63"/>
      <c r="Y166" s="63"/>
    </row>
    <row r="167" spans="3:43" x14ac:dyDescent="0.3">
      <c r="E167" s="29" t="s">
        <v>524</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193</v>
      </c>
      <c r="G168" s="23" t="s">
        <v>174</v>
      </c>
      <c r="H168" s="129"/>
      <c r="I168" s="23"/>
      <c r="J168" s="158">
        <f t="shared" ref="J168:Y168" si="38">J142 * (1 - J23)</f>
        <v>2193.7864700794698</v>
      </c>
      <c r="K168" s="158">
        <f t="shared" si="38"/>
        <v>2.271891039929717</v>
      </c>
      <c r="L168" s="158">
        <f t="shared" si="38"/>
        <v>643.28533249392717</v>
      </c>
      <c r="M168" s="158">
        <f t="shared" si="38"/>
        <v>0.10388162004243789</v>
      </c>
      <c r="N168" s="158">
        <f t="shared" si="38"/>
        <v>581.62524917824089</v>
      </c>
      <c r="O168" s="158">
        <f t="shared" si="38"/>
        <v>43.755969661246198</v>
      </c>
      <c r="P168" s="158">
        <f t="shared" si="38"/>
        <v>916.98243407364691</v>
      </c>
      <c r="Q168" s="158">
        <f t="shared" si="38"/>
        <v>43.656952255236035</v>
      </c>
      <c r="R168" s="158">
        <f t="shared" si="38"/>
        <v>-0.1078012212054579</v>
      </c>
      <c r="S168" s="158">
        <f t="shared" si="38"/>
        <v>0</v>
      </c>
      <c r="T168" s="158">
        <f t="shared" si="38"/>
        <v>-6.9474597289698838</v>
      </c>
      <c r="U168" s="158">
        <f t="shared" si="38"/>
        <v>0</v>
      </c>
      <c r="V168" s="158">
        <f t="shared" si="38"/>
        <v>-0.87390902183005781</v>
      </c>
      <c r="W168" s="158">
        <f t="shared" si="38"/>
        <v>0</v>
      </c>
      <c r="X168" s="158">
        <f t="shared" si="38"/>
        <v>-348.12331153402158</v>
      </c>
      <c r="Y168" s="158">
        <f t="shared" si="38"/>
        <v>0</v>
      </c>
      <c r="AQ168" s="3"/>
    </row>
    <row r="169" spans="3:43" x14ac:dyDescent="0.3">
      <c r="C169" s="32"/>
      <c r="F169" t="s">
        <v>194</v>
      </c>
      <c r="G169" t="s">
        <v>174</v>
      </c>
      <c r="H169" s="63"/>
      <c r="J169" s="89">
        <f t="shared" ref="J169:Y169" si="39">J143 * (1 - J24)</f>
        <v>2104.3378819904756</v>
      </c>
      <c r="K169" s="89">
        <f t="shared" si="39"/>
        <v>2.6240256908502357</v>
      </c>
      <c r="L169" s="89">
        <f t="shared" si="39"/>
        <v>652.67699862449638</v>
      </c>
      <c r="M169" s="89">
        <f t="shared" si="39"/>
        <v>0.15899027447178976</v>
      </c>
      <c r="N169" s="89">
        <f t="shared" si="39"/>
        <v>593.09860811803287</v>
      </c>
      <c r="O169" s="89">
        <f t="shared" si="39"/>
        <v>43.881687131630642</v>
      </c>
      <c r="P169" s="89">
        <f t="shared" si="39"/>
        <v>908.68366541618832</v>
      </c>
      <c r="Q169" s="89">
        <f t="shared" si="39"/>
        <v>41.003628719308445</v>
      </c>
      <c r="R169" s="89">
        <f t="shared" si="39"/>
        <v>-0.12030418246255098</v>
      </c>
      <c r="S169" s="89">
        <f t="shared" si="39"/>
        <v>0</v>
      </c>
      <c r="T169" s="89">
        <f t="shared" si="39"/>
        <v>-7.3494746153128219</v>
      </c>
      <c r="U169" s="89">
        <f t="shared" si="39"/>
        <v>0</v>
      </c>
      <c r="V169" s="89">
        <f t="shared" si="39"/>
        <v>-0.8894520502475628</v>
      </c>
      <c r="W169" s="89">
        <f t="shared" si="39"/>
        <v>0</v>
      </c>
      <c r="X169" s="89">
        <f t="shared" si="39"/>
        <v>-313.06190197879499</v>
      </c>
      <c r="Y169" s="89">
        <f t="shared" si="39"/>
        <v>0</v>
      </c>
      <c r="AQ169" s="3"/>
    </row>
    <row r="170" spans="3:43" x14ac:dyDescent="0.3">
      <c r="C170" s="32"/>
      <c r="F170" t="s">
        <v>195</v>
      </c>
      <c r="G170" t="s">
        <v>174</v>
      </c>
      <c r="H170" s="63"/>
      <c r="J170" s="89">
        <f t="shared" ref="J170:Y170" si="40">J144 * (1 - J25)</f>
        <v>1938.6799873275922</v>
      </c>
      <c r="K170" s="89">
        <f t="shared" si="40"/>
        <v>2.4174568811511028</v>
      </c>
      <c r="L170" s="89">
        <f t="shared" si="40"/>
        <v>601.29689545173392</v>
      </c>
      <c r="M170" s="89">
        <f t="shared" si="40"/>
        <v>0.14647422637595942</v>
      </c>
      <c r="N170" s="89">
        <f t="shared" si="40"/>
        <v>546.40864088929845</v>
      </c>
      <c r="O170" s="89">
        <f t="shared" si="40"/>
        <v>40.427228621571764</v>
      </c>
      <c r="P170" s="89">
        <f t="shared" si="40"/>
        <v>849.90631223943024</v>
      </c>
      <c r="Q170" s="89">
        <f t="shared" si="40"/>
        <v>37.775737007947853</v>
      </c>
      <c r="R170" s="89">
        <f t="shared" si="40"/>
        <v>-0.1108335847242094</v>
      </c>
      <c r="S170" s="89">
        <f t="shared" si="40"/>
        <v>0</v>
      </c>
      <c r="T170" s="89">
        <f t="shared" si="40"/>
        <v>-6.7709085484892739</v>
      </c>
      <c r="U170" s="89">
        <f t="shared" si="40"/>
        <v>0</v>
      </c>
      <c r="V170" s="89">
        <f t="shared" si="40"/>
        <v>-0.81943251806662598</v>
      </c>
      <c r="W170" s="89">
        <f t="shared" si="40"/>
        <v>0</v>
      </c>
      <c r="X170" s="89">
        <f t="shared" si="40"/>
        <v>-288.41701199947755</v>
      </c>
      <c r="Y170" s="89">
        <f t="shared" si="40"/>
        <v>0</v>
      </c>
      <c r="AQ170" s="3"/>
    </row>
    <row r="171" spans="3:43" x14ac:dyDescent="0.3">
      <c r="C171" s="32"/>
      <c r="F171" t="s">
        <v>196</v>
      </c>
      <c r="G171" t="s">
        <v>174</v>
      </c>
      <c r="H171" s="63"/>
      <c r="J171" s="89">
        <f t="shared" ref="J171:Y171" si="41">J145 * (1 - J26)</f>
        <v>1887.2278243533121</v>
      </c>
      <c r="K171" s="89">
        <f t="shared" si="41"/>
        <v>2.5665484895540338</v>
      </c>
      <c r="L171" s="89">
        <f t="shared" si="41"/>
        <v>603.5513824050521</v>
      </c>
      <c r="M171" s="89">
        <f t="shared" si="41"/>
        <v>0.16979575442056613</v>
      </c>
      <c r="N171" s="89">
        <f t="shared" si="41"/>
        <v>549.83274700897414</v>
      </c>
      <c r="O171" s="89">
        <f t="shared" si="41"/>
        <v>40.335937153376541</v>
      </c>
      <c r="P171" s="89">
        <f t="shared" si="41"/>
        <v>678.89343839354717</v>
      </c>
      <c r="Q171" s="89">
        <f t="shared" si="41"/>
        <v>35.586620508433093</v>
      </c>
      <c r="R171" s="89">
        <f t="shared" si="41"/>
        <v>-0.11653723792961498</v>
      </c>
      <c r="S171" s="89">
        <f t="shared" si="41"/>
        <v>0</v>
      </c>
      <c r="T171" s="89">
        <f t="shared" si="41"/>
        <v>-6.9366052267593084</v>
      </c>
      <c r="U171" s="89">
        <f t="shared" si="41"/>
        <v>0</v>
      </c>
      <c r="V171" s="89">
        <f t="shared" si="41"/>
        <v>-0.82232094191479677</v>
      </c>
      <c r="W171" s="89">
        <f t="shared" si="41"/>
        <v>0</v>
      </c>
      <c r="X171" s="89">
        <f t="shared" si="41"/>
        <v>-271.00199641076892</v>
      </c>
      <c r="Y171" s="89">
        <f t="shared" si="41"/>
        <v>0</v>
      </c>
      <c r="AQ171" s="3"/>
    </row>
    <row r="172" spans="3:43" x14ac:dyDescent="0.3">
      <c r="C172" s="32"/>
      <c r="F172" t="s">
        <v>197</v>
      </c>
      <c r="G172" t="s">
        <v>174</v>
      </c>
      <c r="H172" s="63"/>
      <c r="J172" s="89">
        <f t="shared" ref="J172:Y172" si="42">J146 * (1 - J27)</f>
        <v>1876.1155898625177</v>
      </c>
      <c r="K172" s="89">
        <f t="shared" si="42"/>
        <v>2.5514363296547948</v>
      </c>
      <c r="L172" s="89">
        <f t="shared" si="42"/>
        <v>599.99759605134238</v>
      </c>
      <c r="M172" s="89">
        <f t="shared" si="42"/>
        <v>0.16879597568992494</v>
      </c>
      <c r="N172" s="89">
        <f t="shared" si="42"/>
        <v>546.59526272825394</v>
      </c>
      <c r="O172" s="89">
        <f t="shared" si="42"/>
        <v>40.098434088685423</v>
      </c>
      <c r="P172" s="89">
        <f t="shared" si="42"/>
        <v>0</v>
      </c>
      <c r="Q172" s="89">
        <f t="shared" si="42"/>
        <v>35.377082016724948</v>
      </c>
      <c r="R172" s="89">
        <f t="shared" si="42"/>
        <v>-0.11585105203405296</v>
      </c>
      <c r="S172" s="89">
        <f t="shared" si="42"/>
        <v>0</v>
      </c>
      <c r="T172" s="89">
        <f t="shared" si="42"/>
        <v>-6.8957616238539545</v>
      </c>
      <c r="U172" s="89">
        <f t="shared" si="42"/>
        <v>0</v>
      </c>
      <c r="V172" s="89">
        <f t="shared" si="42"/>
        <v>-0.81747901291431702</v>
      </c>
      <c r="W172" s="89">
        <f t="shared" si="42"/>
        <v>0</v>
      </c>
      <c r="X172" s="89">
        <f t="shared" si="42"/>
        <v>-269.40630261443465</v>
      </c>
      <c r="Y172" s="89">
        <f t="shared" si="42"/>
        <v>0</v>
      </c>
      <c r="AQ172" s="3"/>
    </row>
    <row r="173" spans="3:43" x14ac:dyDescent="0.3">
      <c r="C173" s="32"/>
      <c r="F173" t="s">
        <v>198</v>
      </c>
      <c r="G173" t="s">
        <v>174</v>
      </c>
      <c r="H173" s="63"/>
      <c r="J173" s="89">
        <f t="shared" ref="J173:Y173" si="43">J147 * (1 - J28)</f>
        <v>155.28409274082293</v>
      </c>
      <c r="K173" s="89">
        <f t="shared" si="43"/>
        <v>0.19363309106371648</v>
      </c>
      <c r="L173" s="89">
        <f t="shared" si="43"/>
        <v>48.162586650933562</v>
      </c>
      <c r="M173" s="89">
        <f t="shared" si="43"/>
        <v>1.1732270153599813E-2</v>
      </c>
      <c r="N173" s="89">
        <f t="shared" si="43"/>
        <v>43.766155642428565</v>
      </c>
      <c r="O173" s="89">
        <f t="shared" si="43"/>
        <v>3.2381339672156089</v>
      </c>
      <c r="P173" s="89">
        <f t="shared" si="43"/>
        <v>0</v>
      </c>
      <c r="Q173" s="89">
        <f t="shared" si="43"/>
        <v>3.0257551979897221</v>
      </c>
      <c r="R173" s="89">
        <f t="shared" si="43"/>
        <v>-8.877531496488171E-3</v>
      </c>
      <c r="S173" s="89">
        <f t="shared" si="43"/>
        <v>0</v>
      </c>
      <c r="T173" s="89">
        <f t="shared" si="43"/>
        <v>-0.54233519603850655</v>
      </c>
      <c r="U173" s="89">
        <f t="shared" si="43"/>
        <v>0</v>
      </c>
      <c r="V173" s="89">
        <f t="shared" si="43"/>
        <v>-6.5634780346449512E-2</v>
      </c>
      <c r="W173" s="89">
        <f t="shared" si="43"/>
        <v>0</v>
      </c>
      <c r="X173" s="89">
        <f t="shared" si="43"/>
        <v>-23.101581659743012</v>
      </c>
      <c r="Y173" s="89">
        <f t="shared" si="43"/>
        <v>0</v>
      </c>
      <c r="AQ173" s="3"/>
    </row>
    <row r="174" spans="3:43" x14ac:dyDescent="0.3">
      <c r="C174" s="32"/>
      <c r="F174" t="s">
        <v>199</v>
      </c>
      <c r="G174" t="s">
        <v>174</v>
      </c>
      <c r="H174" s="63"/>
      <c r="J174" s="89">
        <f t="shared" ref="J174:Y174" si="44">J148 * (1 - J29)</f>
        <v>1998.9057834980285</v>
      </c>
      <c r="K174" s="89">
        <f t="shared" si="44"/>
        <v>2.7184256999579053</v>
      </c>
      <c r="L174" s="89">
        <f t="shared" si="44"/>
        <v>639.26693606326785</v>
      </c>
      <c r="M174" s="89">
        <f t="shared" si="44"/>
        <v>0.17984353088953803</v>
      </c>
      <c r="N174" s="89">
        <f t="shared" si="44"/>
        <v>465.89557180970797</v>
      </c>
      <c r="O174" s="89">
        <f t="shared" si="44"/>
        <v>0</v>
      </c>
      <c r="P174" s="89">
        <f t="shared" si="44"/>
        <v>0</v>
      </c>
      <c r="Q174" s="89">
        <f t="shared" si="44"/>
        <v>37.692482397471935</v>
      </c>
      <c r="R174" s="89">
        <f t="shared" si="44"/>
        <v>-0.12343340633514455</v>
      </c>
      <c r="S174" s="89">
        <f t="shared" si="44"/>
        <v>0</v>
      </c>
      <c r="T174" s="89">
        <f t="shared" si="44"/>
        <v>-7.347083445191946</v>
      </c>
      <c r="U174" s="89">
        <f t="shared" si="44"/>
        <v>0</v>
      </c>
      <c r="V174" s="89">
        <f t="shared" si="44"/>
        <v>-0.87098232946426979</v>
      </c>
      <c r="W174" s="89">
        <f t="shared" si="44"/>
        <v>0</v>
      </c>
      <c r="X174" s="89">
        <f t="shared" si="44"/>
        <v>0</v>
      </c>
      <c r="Y174" s="89">
        <f t="shared" si="44"/>
        <v>0</v>
      </c>
      <c r="AQ174" s="3"/>
    </row>
    <row r="175" spans="3:43" x14ac:dyDescent="0.3">
      <c r="C175" s="32"/>
      <c r="F175" t="s">
        <v>200</v>
      </c>
      <c r="G175" t="s">
        <v>174</v>
      </c>
      <c r="H175" s="63"/>
      <c r="J175" s="89">
        <f t="shared" ref="J175:Y175" si="45">J149 * (1 - J30)</f>
        <v>1975.973785981799</v>
      </c>
      <c r="K175" s="89">
        <f t="shared" si="45"/>
        <v>2.6872391718513136</v>
      </c>
      <c r="L175" s="89">
        <f t="shared" si="45"/>
        <v>631.93308976043886</v>
      </c>
      <c r="M175" s="89">
        <f t="shared" si="45"/>
        <v>0.17778031638602518</v>
      </c>
      <c r="N175" s="89">
        <f t="shared" si="45"/>
        <v>0</v>
      </c>
      <c r="O175" s="89">
        <f t="shared" si="45"/>
        <v>0</v>
      </c>
      <c r="P175" s="89">
        <f t="shared" si="45"/>
        <v>0</v>
      </c>
      <c r="Q175" s="89">
        <f t="shared" si="45"/>
        <v>37.260063861363257</v>
      </c>
      <c r="R175" s="89">
        <f t="shared" si="45"/>
        <v>-0.12201734431217923</v>
      </c>
      <c r="S175" s="89">
        <f t="shared" si="45"/>
        <v>0</v>
      </c>
      <c r="T175" s="89">
        <f t="shared" si="45"/>
        <v>-7.2627956810023626</v>
      </c>
      <c r="U175" s="89">
        <f t="shared" si="45"/>
        <v>0</v>
      </c>
      <c r="V175" s="89">
        <f t="shared" si="45"/>
        <v>0</v>
      </c>
      <c r="W175" s="89">
        <f t="shared" si="45"/>
        <v>0</v>
      </c>
      <c r="X175" s="89">
        <f t="shared" si="45"/>
        <v>0</v>
      </c>
      <c r="Y175" s="89">
        <f t="shared" si="45"/>
        <v>0</v>
      </c>
      <c r="AQ175" s="3"/>
    </row>
    <row r="176" spans="3:43" x14ac:dyDescent="0.3">
      <c r="C176" s="32"/>
      <c r="F176" s="37" t="s">
        <v>201</v>
      </c>
      <c r="G176" s="37" t="s">
        <v>174</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36.254908650219505</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102</v>
      </c>
      <c r="G177" s="108" t="s">
        <v>174</v>
      </c>
      <c r="H177" s="168"/>
      <c r="I177" s="108"/>
      <c r="J177" s="167">
        <f t="shared" ref="J177:Y177" si="47">SUM(J168:J176)</f>
        <v>14130.311415834019</v>
      </c>
      <c r="K177" s="167">
        <f t="shared" si="47"/>
        <v>18.030656394012819</v>
      </c>
      <c r="L177" s="167">
        <f t="shared" si="47"/>
        <v>4420.1708175011918</v>
      </c>
      <c r="M177" s="167">
        <f t="shared" si="47"/>
        <v>1.1172939684298413</v>
      </c>
      <c r="N177" s="167">
        <f t="shared" si="47"/>
        <v>3327.2222353749376</v>
      </c>
      <c r="O177" s="167">
        <f t="shared" si="47"/>
        <v>211.73739062372618</v>
      </c>
      <c r="P177" s="167">
        <f t="shared" si="47"/>
        <v>3354.4658501228128</v>
      </c>
      <c r="Q177" s="167">
        <f t="shared" si="47"/>
        <v>307.63323061469475</v>
      </c>
      <c r="R177" s="167">
        <f t="shared" si="47"/>
        <v>-0.82565556049969824</v>
      </c>
      <c r="S177" s="167">
        <f t="shared" si="47"/>
        <v>0</v>
      </c>
      <c r="T177" s="167">
        <f t="shared" si="47"/>
        <v>-50.052424065618055</v>
      </c>
      <c r="U177" s="167">
        <f t="shared" si="47"/>
        <v>0</v>
      </c>
      <c r="V177" s="167">
        <f t="shared" si="47"/>
        <v>-5.1592106547840801</v>
      </c>
      <c r="W177" s="167">
        <f t="shared" si="47"/>
        <v>0</v>
      </c>
      <c r="X177" s="167">
        <f t="shared" si="47"/>
        <v>-1513.1121061972408</v>
      </c>
      <c r="Y177" s="167">
        <f t="shared" si="47"/>
        <v>0</v>
      </c>
      <c r="AQ177" s="3"/>
    </row>
    <row r="178" spans="2:43" x14ac:dyDescent="0.3">
      <c r="H178" s="166"/>
    </row>
    <row r="179" spans="2:43" x14ac:dyDescent="0.3">
      <c r="B179" s="30" t="s">
        <v>525</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526</v>
      </c>
      <c r="J181" s="63"/>
      <c r="K181" s="63"/>
      <c r="L181" s="63"/>
      <c r="M181" s="63"/>
      <c r="N181" s="63"/>
      <c r="O181" s="63"/>
      <c r="P181" s="63"/>
      <c r="Q181" s="63"/>
      <c r="R181" s="63"/>
      <c r="S181" s="63"/>
      <c r="T181" s="63"/>
      <c r="U181" s="63"/>
      <c r="V181" s="63"/>
      <c r="W181" s="63"/>
      <c r="X181" s="63"/>
      <c r="Y181" s="63"/>
      <c r="AQ181" s="3"/>
    </row>
    <row r="182" spans="2:43" x14ac:dyDescent="0.3">
      <c r="C182" s="29" t="s">
        <v>527</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528</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252</v>
      </c>
      <c r="G188" t="s">
        <v>253</v>
      </c>
      <c r="J188" s="120">
        <f>'Volume adjustments'!J286</f>
        <v>0</v>
      </c>
      <c r="K188" s="120">
        <f>'Volume adjustments'!K286</f>
        <v>0</v>
      </c>
      <c r="L188" s="120">
        <f>'Volume adjustments'!L286</f>
        <v>0</v>
      </c>
      <c r="M188" s="120">
        <f>'Volume adjustments'!M286</f>
        <v>0</v>
      </c>
      <c r="N188" s="120">
        <f>'Volume adjustments'!N286</f>
        <v>2121620.7889636038</v>
      </c>
      <c r="O188" s="120">
        <f>'Volume adjustments'!O286</f>
        <v>250125.21878019487</v>
      </c>
      <c r="P188" s="120">
        <f>'Volume adjustments'!P286</f>
        <v>2823861.7565288437</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254</v>
      </c>
      <c r="G189" t="s">
        <v>253</v>
      </c>
      <c r="J189" s="120">
        <f>'Volume adjustments'!J297</f>
        <v>0</v>
      </c>
      <c r="K189" s="120">
        <f>'Volume adjustments'!K297</f>
        <v>0</v>
      </c>
      <c r="L189" s="120">
        <f>'Volume adjustments'!L297</f>
        <v>0</v>
      </c>
      <c r="M189" s="120">
        <f>'Volume adjustments'!M297</f>
        <v>0</v>
      </c>
      <c r="N189" s="120">
        <f>'Volume adjustments'!N297</f>
        <v>34883.811781150704</v>
      </c>
      <c r="O189" s="120">
        <f>'Volume adjustments'!O297</f>
        <v>1368.037724588298</v>
      </c>
      <c r="P189" s="120">
        <f>'Volume adjustments'!P297</f>
        <v>35765.942475113523</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529</v>
      </c>
      <c r="G191" t="s">
        <v>253</v>
      </c>
      <c r="J191" s="89">
        <f t="shared" ref="J191:Y191" si="48">SUM(J188:J189)</f>
        <v>0</v>
      </c>
      <c r="K191" s="89">
        <f t="shared" si="48"/>
        <v>0</v>
      </c>
      <c r="L191" s="89">
        <f t="shared" si="48"/>
        <v>0</v>
      </c>
      <c r="M191" s="89">
        <f t="shared" si="48"/>
        <v>0</v>
      </c>
      <c r="N191" s="89">
        <f t="shared" si="48"/>
        <v>2156504.6007447545</v>
      </c>
      <c r="O191" s="89">
        <f t="shared" si="48"/>
        <v>251493.25650478317</v>
      </c>
      <c r="P191" s="89">
        <f t="shared" si="48"/>
        <v>2859627.6990039572</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530</v>
      </c>
      <c r="G192" t="s">
        <v>174</v>
      </c>
      <c r="J192" s="89">
        <f t="shared" ref="J192:Y192" si="49">J191 * PowerFactor / thousand</f>
        <v>0</v>
      </c>
      <c r="K192" s="89">
        <f t="shared" si="49"/>
        <v>0</v>
      </c>
      <c r="L192" s="89">
        <f t="shared" si="49"/>
        <v>0</v>
      </c>
      <c r="M192" s="89">
        <f t="shared" si="49"/>
        <v>0</v>
      </c>
      <c r="N192" s="89">
        <f t="shared" si="49"/>
        <v>2048.6793707075167</v>
      </c>
      <c r="O192" s="89">
        <f t="shared" si="49"/>
        <v>238.91859367954399</v>
      </c>
      <c r="P192" s="89">
        <f t="shared" si="49"/>
        <v>2716.6463140537594</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531</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223</v>
      </c>
      <c r="G198" t="s">
        <v>211</v>
      </c>
      <c r="H198" s="166"/>
      <c r="I198" t="s">
        <v>156</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532</v>
      </c>
    </row>
    <row r="199" spans="3:43" x14ac:dyDescent="0.3">
      <c r="D199" s="32"/>
      <c r="H199" s="170"/>
      <c r="J199" s="63"/>
      <c r="L199" s="63"/>
      <c r="AQ199" s="3"/>
    </row>
    <row r="200" spans="3:43" x14ac:dyDescent="0.3">
      <c r="C200" s="32"/>
      <c r="E200" t="s">
        <v>533</v>
      </c>
      <c r="G200" t="s">
        <v>174</v>
      </c>
      <c r="H200" s="63"/>
      <c r="I200" t="s">
        <v>156</v>
      </c>
      <c r="J200" s="121">
        <f t="shared" ref="J200:Q200" si="50">IF(J61 = 0, 0, J59 / (hours_in_year * J61))</f>
        <v>2249.7741931457354</v>
      </c>
      <c r="K200" s="121">
        <f t="shared" si="50"/>
        <v>15.415003659401926</v>
      </c>
      <c r="L200" s="121">
        <f t="shared" si="50"/>
        <v>803.04975955421548</v>
      </c>
      <c r="M200" s="121">
        <f t="shared" si="50"/>
        <v>1.1649862844577012</v>
      </c>
      <c r="N200" s="121">
        <f t="shared" si="50"/>
        <v>702.22314164215527</v>
      </c>
      <c r="O200" s="121">
        <f t="shared" si="50"/>
        <v>51.136015091185953</v>
      </c>
      <c r="P200" s="121">
        <f t="shared" si="50"/>
        <v>1082.1550684032836</v>
      </c>
      <c r="Q200" s="121">
        <f t="shared" si="50"/>
        <v>50.865124372913947</v>
      </c>
      <c r="R200" s="77"/>
      <c r="S200" s="77"/>
      <c r="T200" s="77"/>
      <c r="U200" s="77"/>
      <c r="V200" s="77"/>
      <c r="W200" s="77"/>
      <c r="X200" s="77"/>
      <c r="Y200" s="77"/>
      <c r="AA200" t="s">
        <v>532</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534</v>
      </c>
      <c r="G202" t="s">
        <v>174</v>
      </c>
      <c r="H202" s="63"/>
      <c r="I202" t="s">
        <v>156</v>
      </c>
      <c r="J202" s="89">
        <f t="shared" ref="J202:Y202" si="51">J192 * J42 / $H53</f>
        <v>0</v>
      </c>
      <c r="K202" s="89">
        <f t="shared" si="51"/>
        <v>0</v>
      </c>
      <c r="L202" s="89">
        <f t="shared" si="51"/>
        <v>0</v>
      </c>
      <c r="M202" s="89">
        <f t="shared" si="51"/>
        <v>0</v>
      </c>
      <c r="N202" s="89">
        <f t="shared" si="51"/>
        <v>2048.6793707075167</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532</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535</v>
      </c>
      <c r="G204" t="s">
        <v>174</v>
      </c>
      <c r="H204" s="63"/>
      <c r="J204" s="89">
        <f t="shared" ref="J204:Y204" si="52">IF(J198, J$200 * J42 / $H53, 0)</f>
        <v>2249.7741931457354</v>
      </c>
      <c r="K204" s="89">
        <f t="shared" si="52"/>
        <v>0</v>
      </c>
      <c r="L204" s="89">
        <f t="shared" si="52"/>
        <v>803.04975955421548</v>
      </c>
      <c r="M204" s="89">
        <f t="shared" si="52"/>
        <v>0</v>
      </c>
      <c r="N204" s="89">
        <f t="shared" si="52"/>
        <v>702.22314164215527</v>
      </c>
      <c r="O204" s="89">
        <f t="shared" si="52"/>
        <v>0</v>
      </c>
      <c r="P204" s="89">
        <f t="shared" si="52"/>
        <v>0</v>
      </c>
      <c r="Q204" s="89">
        <f t="shared" si="52"/>
        <v>50.865124372913947</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536</v>
      </c>
      <c r="G206" t="s">
        <v>174</v>
      </c>
      <c r="H206" s="63"/>
      <c r="J206" s="89">
        <f t="shared" ref="J206:Y206" si="53">IF(J202 = 0, J204, J202)</f>
        <v>2249.7741931457354</v>
      </c>
      <c r="K206" s="89">
        <f t="shared" si="53"/>
        <v>0</v>
      </c>
      <c r="L206" s="89">
        <f t="shared" si="53"/>
        <v>803.04975955421548</v>
      </c>
      <c r="M206" s="89">
        <f t="shared" si="53"/>
        <v>0</v>
      </c>
      <c r="N206" s="89">
        <f t="shared" si="53"/>
        <v>2048.6793707075167</v>
      </c>
      <c r="O206" s="89">
        <f t="shared" si="53"/>
        <v>0</v>
      </c>
      <c r="P206" s="89">
        <f t="shared" si="53"/>
        <v>0</v>
      </c>
      <c r="Q206" s="89">
        <f t="shared" si="53"/>
        <v>50.865124372913947</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537</v>
      </c>
      <c r="G208" t="s">
        <v>174</v>
      </c>
      <c r="H208" s="63"/>
      <c r="I208" t="s">
        <v>156</v>
      </c>
      <c r="J208" s="89">
        <f t="shared" ref="J208:Y208" si="54">J150</f>
        <v>1922.6684466390345</v>
      </c>
      <c r="K208" s="89">
        <f t="shared" si="54"/>
        <v>2.6147462081455575</v>
      </c>
      <c r="L208" s="89">
        <f t="shared" si="54"/>
        <v>614.88559245527358</v>
      </c>
      <c r="M208" s="89">
        <f t="shared" si="54"/>
        <v>0.17298438226956497</v>
      </c>
      <c r="N208" s="89">
        <f t="shared" si="54"/>
        <v>560.15816424562558</v>
      </c>
      <c r="O208" s="89">
        <f t="shared" si="54"/>
        <v>0</v>
      </c>
      <c r="P208" s="89">
        <f t="shared" si="54"/>
        <v>0</v>
      </c>
      <c r="Q208" s="89">
        <f t="shared" si="54"/>
        <v>36.254908650219505</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532</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538</v>
      </c>
      <c r="G210" t="s">
        <v>169</v>
      </c>
      <c r="H210" s="171">
        <f>SUM(J206:Y206) / SUM(J208:Y208) - 1</f>
        <v>0.64257925988936804</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392</v>
      </c>
      <c r="J212" s="63"/>
      <c r="L212" s="63"/>
      <c r="AA212" t="s">
        <v>532</v>
      </c>
      <c r="AQ212" s="3"/>
    </row>
    <row r="213" spans="5:43" x14ac:dyDescent="0.3">
      <c r="E213" s="29" t="s">
        <v>539</v>
      </c>
      <c r="F213" s="29"/>
      <c r="J213" s="63"/>
      <c r="L213" s="63"/>
      <c r="AQ213" s="3"/>
    </row>
    <row r="214" spans="5:43" x14ac:dyDescent="0.3">
      <c r="E214" s="32"/>
      <c r="F214" s="23" t="s">
        <v>193</v>
      </c>
      <c r="G214" s="23" t="s">
        <v>169</v>
      </c>
      <c r="H214" s="107">
        <f t="array" ref="H214:H222">TRANSPOSE('Load &amp; loss characteristics'!K23:S23)</f>
        <v>2.4713742436156094E-2</v>
      </c>
      <c r="J214" s="63"/>
      <c r="K214" s="84"/>
      <c r="L214" s="63"/>
      <c r="M214" s="84"/>
      <c r="AQ214" s="3"/>
    </row>
    <row r="215" spans="5:43" x14ac:dyDescent="0.3">
      <c r="E215" s="32"/>
      <c r="F215" t="s">
        <v>194</v>
      </c>
      <c r="G215" t="s">
        <v>169</v>
      </c>
      <c r="H215" s="25">
        <v>7.0839672179421997E-2</v>
      </c>
      <c r="J215" s="63"/>
      <c r="L215" s="63"/>
      <c r="AQ215" s="3"/>
    </row>
    <row r="216" spans="5:43" x14ac:dyDescent="0.3">
      <c r="E216" s="32"/>
      <c r="F216" t="s">
        <v>195</v>
      </c>
      <c r="G216" t="s">
        <v>169</v>
      </c>
      <c r="H216" s="25">
        <v>7.0839672179421997E-2</v>
      </c>
      <c r="J216" s="63"/>
      <c r="L216" s="63"/>
      <c r="AQ216" s="3"/>
    </row>
    <row r="217" spans="5:43" x14ac:dyDescent="0.3">
      <c r="E217" s="32"/>
      <c r="F217" t="s">
        <v>196</v>
      </c>
      <c r="G217" t="s">
        <v>169</v>
      </c>
      <c r="H217" s="25">
        <v>0.15545489876905783</v>
      </c>
      <c r="J217" s="63"/>
      <c r="L217" s="63"/>
      <c r="AQ217" s="3"/>
    </row>
    <row r="218" spans="5:43" x14ac:dyDescent="0.3">
      <c r="E218" s="32"/>
      <c r="F218" t="s">
        <v>197</v>
      </c>
      <c r="G218" t="s">
        <v>169</v>
      </c>
      <c r="H218" s="25">
        <v>0.15545489876905783</v>
      </c>
      <c r="J218" s="63"/>
      <c r="L218" s="63"/>
      <c r="AQ218" s="3"/>
    </row>
    <row r="219" spans="5:43" x14ac:dyDescent="0.3">
      <c r="E219" s="32"/>
      <c r="F219" t="s">
        <v>198</v>
      </c>
      <c r="G219" t="s">
        <v>169</v>
      </c>
      <c r="H219" s="25">
        <v>7.0839672179421997E-2</v>
      </c>
      <c r="J219" s="63"/>
      <c r="L219" s="63"/>
      <c r="AQ219" s="3"/>
    </row>
    <row r="220" spans="5:43" x14ac:dyDescent="0.3">
      <c r="E220" s="32"/>
      <c r="F220" t="s">
        <v>199</v>
      </c>
      <c r="G220" t="s">
        <v>169</v>
      </c>
      <c r="H220" s="25">
        <v>0.54830956435053779</v>
      </c>
      <c r="J220" s="63"/>
      <c r="L220" s="63"/>
      <c r="AQ220" s="3"/>
    </row>
    <row r="221" spans="5:43" x14ac:dyDescent="0.3">
      <c r="E221" s="32"/>
      <c r="F221" t="s">
        <v>200</v>
      </c>
      <c r="G221" t="s">
        <v>169</v>
      </c>
      <c r="H221" s="25">
        <v>0.54830956435053779</v>
      </c>
      <c r="J221" s="63"/>
      <c r="L221" s="63"/>
      <c r="AQ221" s="3"/>
    </row>
    <row r="222" spans="5:43" x14ac:dyDescent="0.3">
      <c r="E222" s="32"/>
      <c r="F222" s="37" t="s">
        <v>201</v>
      </c>
      <c r="G222" s="37" t="s">
        <v>169</v>
      </c>
      <c r="H222" s="141">
        <v>0.54830956435053779</v>
      </c>
      <c r="J222" s="63"/>
      <c r="L222" s="63"/>
      <c r="AQ222" s="3"/>
    </row>
    <row r="223" spans="5:43" x14ac:dyDescent="0.3">
      <c r="H223" s="166"/>
    </row>
    <row r="224" spans="5:43" x14ac:dyDescent="0.3">
      <c r="E224" s="32" t="s">
        <v>540</v>
      </c>
      <c r="J224" s="63"/>
      <c r="L224" s="63"/>
      <c r="AA224" t="s">
        <v>532</v>
      </c>
      <c r="AQ224" s="3"/>
    </row>
    <row r="225" spans="3:43" x14ac:dyDescent="0.3">
      <c r="E225" s="29" t="s">
        <v>541</v>
      </c>
      <c r="F225" s="29"/>
      <c r="J225" s="63"/>
      <c r="L225" s="63"/>
      <c r="AQ225" s="3"/>
    </row>
    <row r="226" spans="3:43" x14ac:dyDescent="0.3">
      <c r="C226" s="32"/>
      <c r="F226" s="23" t="s">
        <v>193</v>
      </c>
      <c r="G226" s="23" t="s">
        <v>169</v>
      </c>
      <c r="H226" s="172">
        <f t="shared" ref="H226:H233" si="55">IF(F226 = $F$234, $H$210, H214)</f>
        <v>2.4713742436156094E-2</v>
      </c>
      <c r="J226" s="63"/>
      <c r="L226" s="63"/>
      <c r="AQ226" s="3"/>
    </row>
    <row r="227" spans="3:43" x14ac:dyDescent="0.3">
      <c r="C227" s="32"/>
      <c r="F227" t="s">
        <v>194</v>
      </c>
      <c r="G227" t="s">
        <v>169</v>
      </c>
      <c r="H227" s="111">
        <f t="shared" si="55"/>
        <v>7.0839672179421997E-2</v>
      </c>
      <c r="J227" s="63"/>
      <c r="L227" s="63"/>
      <c r="AQ227" s="3"/>
    </row>
    <row r="228" spans="3:43" x14ac:dyDescent="0.3">
      <c r="C228" s="32"/>
      <c r="F228" t="s">
        <v>195</v>
      </c>
      <c r="G228" t="s">
        <v>169</v>
      </c>
      <c r="H228" s="111">
        <f t="shared" si="55"/>
        <v>7.0839672179421997E-2</v>
      </c>
      <c r="J228" s="63"/>
      <c r="L228" s="63"/>
      <c r="AQ228" s="3"/>
    </row>
    <row r="229" spans="3:43" x14ac:dyDescent="0.3">
      <c r="C229" s="32"/>
      <c r="F229" t="s">
        <v>196</v>
      </c>
      <c r="G229" t="s">
        <v>169</v>
      </c>
      <c r="H229" s="111">
        <f t="shared" si="55"/>
        <v>0.15545489876905783</v>
      </c>
      <c r="J229" s="63"/>
      <c r="L229" s="63"/>
      <c r="AQ229" s="3"/>
    </row>
    <row r="230" spans="3:43" x14ac:dyDescent="0.3">
      <c r="C230" s="32"/>
      <c r="F230" t="s">
        <v>197</v>
      </c>
      <c r="G230" t="s">
        <v>169</v>
      </c>
      <c r="H230" s="111">
        <f t="shared" si="55"/>
        <v>0.15545489876905783</v>
      </c>
      <c r="J230" s="63"/>
      <c r="L230" s="63"/>
      <c r="AQ230" s="3"/>
    </row>
    <row r="231" spans="3:43" x14ac:dyDescent="0.3">
      <c r="C231" s="32"/>
      <c r="F231" t="s">
        <v>198</v>
      </c>
      <c r="G231" t="s">
        <v>169</v>
      </c>
      <c r="H231" s="111">
        <f t="shared" si="55"/>
        <v>7.0839672179421997E-2</v>
      </c>
      <c r="J231" s="63"/>
      <c r="L231" s="63"/>
      <c r="AQ231" s="3"/>
    </row>
    <row r="232" spans="3:43" x14ac:dyDescent="0.3">
      <c r="C232" s="32"/>
      <c r="F232" t="s">
        <v>199</v>
      </c>
      <c r="G232" t="s">
        <v>169</v>
      </c>
      <c r="H232" s="111">
        <f t="shared" si="55"/>
        <v>0.54830956435053779</v>
      </c>
      <c r="J232" s="63"/>
      <c r="L232" s="63"/>
      <c r="AQ232" s="3"/>
    </row>
    <row r="233" spans="3:43" x14ac:dyDescent="0.3">
      <c r="C233" s="32"/>
      <c r="F233" t="s">
        <v>200</v>
      </c>
      <c r="G233" t="s">
        <v>169</v>
      </c>
      <c r="H233" s="111">
        <f t="shared" si="55"/>
        <v>0.54830956435053779</v>
      </c>
      <c r="J233" s="63"/>
      <c r="L233" s="63"/>
      <c r="AQ233" s="3"/>
    </row>
    <row r="234" spans="3:43" x14ac:dyDescent="0.3">
      <c r="C234" s="32"/>
      <c r="F234" s="37" t="s">
        <v>201</v>
      </c>
      <c r="G234" s="37" t="s">
        <v>169</v>
      </c>
      <c r="H234" s="143">
        <f>IF(F234 = $F$234, $H$210, H222)</f>
        <v>0.64257925988936804</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542</v>
      </c>
      <c r="F238" s="29"/>
      <c r="H238" s="173"/>
    </row>
    <row r="239" spans="3:43" x14ac:dyDescent="0.3">
      <c r="C239" s="32"/>
      <c r="F239" s="23" t="s">
        <v>193</v>
      </c>
      <c r="G239" s="23" t="s">
        <v>174</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194</v>
      </c>
      <c r="G240" t="s">
        <v>174</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39.292478024248176</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195</v>
      </c>
      <c r="G241" t="s">
        <v>174</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196</v>
      </c>
      <c r="G242" t="s">
        <v>174</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443.9582228376741</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197</v>
      </c>
      <c r="G243" t="s">
        <v>174</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2206.720705272639</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198</v>
      </c>
      <c r="G244" t="s">
        <v>174</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193.1848036324665</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199</v>
      </c>
      <c r="G245" t="s">
        <v>174</v>
      </c>
      <c r="H245" s="63"/>
      <c r="J245" s="89">
        <f t="shared" ref="J245:Y245" si="62">J$192 * J29 * J40 / (1 + $H232) / $H51</f>
        <v>0</v>
      </c>
      <c r="K245" s="89">
        <f t="shared" si="62"/>
        <v>0</v>
      </c>
      <c r="L245" s="89">
        <f t="shared" si="62"/>
        <v>0</v>
      </c>
      <c r="M245" s="89">
        <f t="shared" si="62"/>
        <v>0</v>
      </c>
      <c r="N245" s="89">
        <f t="shared" si="62"/>
        <v>275.12757413565043</v>
      </c>
      <c r="O245" s="89">
        <f t="shared" si="62"/>
        <v>156.10014229773114</v>
      </c>
      <c r="P245" s="89">
        <f t="shared" si="62"/>
        <v>1754.5886020495511</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200</v>
      </c>
      <c r="G246" t="s">
        <v>174</v>
      </c>
      <c r="H246" s="63"/>
      <c r="J246" s="89">
        <f t="shared" ref="J246:Y246" si="63">J$192 * J30 * J41 / (1 + $H233) / $H52</f>
        <v>0</v>
      </c>
      <c r="K246" s="89">
        <f t="shared" si="63"/>
        <v>0</v>
      </c>
      <c r="L246" s="89">
        <f t="shared" si="63"/>
        <v>0</v>
      </c>
      <c r="M246" s="89">
        <f t="shared" si="63"/>
        <v>0</v>
      </c>
      <c r="N246" s="89">
        <f t="shared" si="63"/>
        <v>1359.8561742651175</v>
      </c>
      <c r="O246" s="89">
        <f t="shared" si="63"/>
        <v>154.30931848552007</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201</v>
      </c>
      <c r="G247" s="37" t="s">
        <v>174</v>
      </c>
      <c r="H247" s="130"/>
      <c r="I247" s="37"/>
      <c r="J247" s="82">
        <f t="shared" ref="J247:Y247" si="64">J$192 * J31 * J42 / (1 + $H234) / $H53</f>
        <v>0</v>
      </c>
      <c r="K247" s="82">
        <f t="shared" si="64"/>
        <v>0</v>
      </c>
      <c r="L247" s="82">
        <f t="shared" si="64"/>
        <v>0</v>
      </c>
      <c r="M247" s="82">
        <f t="shared" si="64"/>
        <v>0</v>
      </c>
      <c r="N247" s="82">
        <f t="shared" si="64"/>
        <v>1247.2331903457132</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543</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193</v>
      </c>
      <c r="G252" s="129" t="s">
        <v>174</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194</v>
      </c>
      <c r="G253" s="63" t="s">
        <v>174</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195</v>
      </c>
      <c r="G254" s="63" t="s">
        <v>174</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196</v>
      </c>
      <c r="G255" s="63" t="s">
        <v>174</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197</v>
      </c>
      <c r="G256" s="63" t="s">
        <v>174</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198</v>
      </c>
      <c r="G257" s="63" t="s">
        <v>174</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199</v>
      </c>
      <c r="G258" s="63" t="s">
        <v>174</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200</v>
      </c>
      <c r="G259" s="63" t="s">
        <v>174</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201</v>
      </c>
      <c r="G260" s="130" t="s">
        <v>174</v>
      </c>
      <c r="H260" s="130"/>
      <c r="I260" s="37"/>
      <c r="J260" s="82">
        <f t="shared" ref="J260:Y260" si="73">IF(AND(J$192 = 0, J$198), J$200 * J31 * J42 / (1 + $H234) / $H53, 0)</f>
        <v>1369.6594423682564</v>
      </c>
      <c r="K260" s="82">
        <f t="shared" si="73"/>
        <v>0</v>
      </c>
      <c r="L260" s="82">
        <f t="shared" si="73"/>
        <v>488.89559192918517</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544</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545</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546</v>
      </c>
      <c r="F268" s="29"/>
      <c r="H268" s="173" t="s">
        <v>547</v>
      </c>
      <c r="J268" s="63"/>
      <c r="K268" s="63"/>
      <c r="L268" s="63"/>
      <c r="M268" s="63"/>
      <c r="N268" s="63"/>
      <c r="O268" s="63"/>
      <c r="P268" s="63"/>
      <c r="Q268" s="63"/>
      <c r="R268" s="63"/>
      <c r="S268" s="63"/>
      <c r="T268" s="63"/>
      <c r="U268" s="63"/>
      <c r="V268" s="63"/>
      <c r="W268" s="63"/>
      <c r="X268" s="63"/>
      <c r="Y268" s="63"/>
    </row>
    <row r="269" spans="2:43" x14ac:dyDescent="0.3">
      <c r="C269" s="32"/>
      <c r="F269" s="23" t="s">
        <v>193</v>
      </c>
      <c r="G269" s="23" t="s">
        <v>174</v>
      </c>
      <c r="H269" s="101">
        <f t="shared" ref="H269:H277" si="74">SUM(J269:Y269)</f>
        <v>4069.4156988957125</v>
      </c>
      <c r="I269" s="158"/>
      <c r="J269" s="158">
        <f t="shared" ref="J269:Y269" si="75">J239 + J252 + J168</f>
        <v>2193.7864700794698</v>
      </c>
      <c r="K269" s="158">
        <f t="shared" si="75"/>
        <v>2.271891039929717</v>
      </c>
      <c r="L269" s="158">
        <f t="shared" si="75"/>
        <v>643.28533249392717</v>
      </c>
      <c r="M269" s="158">
        <f t="shared" si="75"/>
        <v>0.10388162004243789</v>
      </c>
      <c r="N269" s="158">
        <f t="shared" si="75"/>
        <v>581.62524917824089</v>
      </c>
      <c r="O269" s="158">
        <f t="shared" si="75"/>
        <v>43.755969661246198</v>
      </c>
      <c r="P269" s="158">
        <f t="shared" si="75"/>
        <v>916.98243407364691</v>
      </c>
      <c r="Q269" s="158">
        <f t="shared" si="75"/>
        <v>43.656952255236035</v>
      </c>
      <c r="R269" s="158">
        <f t="shared" si="75"/>
        <v>-0.1078012212054579</v>
      </c>
      <c r="S269" s="158">
        <f t="shared" si="75"/>
        <v>0</v>
      </c>
      <c r="T269" s="158">
        <f t="shared" si="75"/>
        <v>-6.9474597289698838</v>
      </c>
      <c r="U269" s="158">
        <f t="shared" si="75"/>
        <v>0</v>
      </c>
      <c r="V269" s="158">
        <f t="shared" si="75"/>
        <v>-0.87390902183005781</v>
      </c>
      <c r="W269" s="158">
        <f t="shared" si="75"/>
        <v>0</v>
      </c>
      <c r="X269" s="158">
        <f t="shared" si="75"/>
        <v>-348.12331153402158</v>
      </c>
      <c r="Y269" s="158">
        <f t="shared" si="75"/>
        <v>0</v>
      </c>
      <c r="AQ269" s="3"/>
    </row>
    <row r="270" spans="2:43" x14ac:dyDescent="0.3">
      <c r="C270" s="32"/>
      <c r="F270" t="s">
        <v>194</v>
      </c>
      <c r="G270" t="s">
        <v>174</v>
      </c>
      <c r="H270" s="121">
        <f t="shared" si="74"/>
        <v>4064.3368311628851</v>
      </c>
      <c r="I270" s="89"/>
      <c r="J270" s="89">
        <f t="shared" ref="J270:Y270" si="76">J240 + J253 + J169</f>
        <v>2104.3378819904756</v>
      </c>
      <c r="K270" s="89">
        <f t="shared" si="76"/>
        <v>2.6240256908502357</v>
      </c>
      <c r="L270" s="89">
        <f t="shared" si="76"/>
        <v>652.67699862449638</v>
      </c>
      <c r="M270" s="89">
        <f t="shared" si="76"/>
        <v>0.15899027447178976</v>
      </c>
      <c r="N270" s="89">
        <f t="shared" si="76"/>
        <v>593.09860811803287</v>
      </c>
      <c r="O270" s="89">
        <f t="shared" si="76"/>
        <v>43.881687131630642</v>
      </c>
      <c r="P270" s="89">
        <f t="shared" si="76"/>
        <v>947.97614344043654</v>
      </c>
      <c r="Q270" s="89">
        <f t="shared" si="76"/>
        <v>41.003628719308445</v>
      </c>
      <c r="R270" s="89">
        <f t="shared" si="76"/>
        <v>-0.12030418246255098</v>
      </c>
      <c r="S270" s="89">
        <f t="shared" si="76"/>
        <v>0</v>
      </c>
      <c r="T270" s="89">
        <f t="shared" si="76"/>
        <v>-7.3494746153128219</v>
      </c>
      <c r="U270" s="89">
        <f t="shared" si="76"/>
        <v>0</v>
      </c>
      <c r="V270" s="89">
        <f t="shared" si="76"/>
        <v>-0.8894520502475628</v>
      </c>
      <c r="W270" s="89">
        <f t="shared" si="76"/>
        <v>0</v>
      </c>
      <c r="X270" s="89">
        <f t="shared" si="76"/>
        <v>-313.06190197879499</v>
      </c>
      <c r="Y270" s="89">
        <f t="shared" si="76"/>
        <v>0</v>
      </c>
      <c r="AQ270" s="3"/>
    </row>
    <row r="271" spans="2:43" x14ac:dyDescent="0.3">
      <c r="C271" s="32"/>
      <c r="F271" t="s">
        <v>195</v>
      </c>
      <c r="G271" t="s">
        <v>174</v>
      </c>
      <c r="H271" s="121">
        <f t="shared" si="74"/>
        <v>3720.9405459943446</v>
      </c>
      <c r="I271" s="89"/>
      <c r="J271" s="89">
        <f t="shared" ref="J271:Y271" si="77">J241 + J254 + J170</f>
        <v>1938.6799873275922</v>
      </c>
      <c r="K271" s="89">
        <f t="shared" si="77"/>
        <v>2.4174568811511028</v>
      </c>
      <c r="L271" s="89">
        <f t="shared" si="77"/>
        <v>601.29689545173392</v>
      </c>
      <c r="M271" s="89">
        <f t="shared" si="77"/>
        <v>0.14647422637595942</v>
      </c>
      <c r="N271" s="89">
        <f t="shared" si="77"/>
        <v>546.40864088929845</v>
      </c>
      <c r="O271" s="89">
        <f t="shared" si="77"/>
        <v>40.427228621571764</v>
      </c>
      <c r="P271" s="89">
        <f t="shared" si="77"/>
        <v>849.90631223943024</v>
      </c>
      <c r="Q271" s="89">
        <f t="shared" si="77"/>
        <v>37.775737007947853</v>
      </c>
      <c r="R271" s="89">
        <f t="shared" si="77"/>
        <v>-0.1108335847242094</v>
      </c>
      <c r="S271" s="89">
        <f t="shared" si="77"/>
        <v>0</v>
      </c>
      <c r="T271" s="89">
        <f t="shared" si="77"/>
        <v>-6.7709085484892739</v>
      </c>
      <c r="U271" s="89">
        <f t="shared" si="77"/>
        <v>0</v>
      </c>
      <c r="V271" s="89">
        <f t="shared" si="77"/>
        <v>-0.81943251806662598</v>
      </c>
      <c r="W271" s="89">
        <f t="shared" si="77"/>
        <v>0</v>
      </c>
      <c r="X271" s="89">
        <f t="shared" si="77"/>
        <v>-288.41701199947755</v>
      </c>
      <c r="Y271" s="89">
        <f t="shared" si="77"/>
        <v>0</v>
      </c>
      <c r="AQ271" s="3"/>
    </row>
    <row r="272" spans="2:43" x14ac:dyDescent="0.3">
      <c r="C272" s="32"/>
      <c r="F272" t="s">
        <v>196</v>
      </c>
      <c r="G272" t="s">
        <v>174</v>
      </c>
      <c r="H272" s="121">
        <f t="shared" si="74"/>
        <v>3963.2450570869705</v>
      </c>
      <c r="I272" s="89"/>
      <c r="J272" s="89">
        <f t="shared" ref="J272:Y272" si="78">J242 + J255 + J171</f>
        <v>1887.2278243533121</v>
      </c>
      <c r="K272" s="89">
        <f t="shared" si="78"/>
        <v>2.5665484895540338</v>
      </c>
      <c r="L272" s="89">
        <f t="shared" si="78"/>
        <v>603.5513824050521</v>
      </c>
      <c r="M272" s="89">
        <f t="shared" si="78"/>
        <v>0.16979575442056613</v>
      </c>
      <c r="N272" s="89">
        <f t="shared" si="78"/>
        <v>549.83274700897414</v>
      </c>
      <c r="O272" s="89">
        <f t="shared" si="78"/>
        <v>40.335937153376541</v>
      </c>
      <c r="P272" s="89">
        <f t="shared" si="78"/>
        <v>1122.8516612312212</v>
      </c>
      <c r="Q272" s="89">
        <f t="shared" si="78"/>
        <v>35.586620508433093</v>
      </c>
      <c r="R272" s="89">
        <f t="shared" si="78"/>
        <v>-0.11653723792961498</v>
      </c>
      <c r="S272" s="89">
        <f t="shared" si="78"/>
        <v>0</v>
      </c>
      <c r="T272" s="89">
        <f t="shared" si="78"/>
        <v>-6.9366052267593084</v>
      </c>
      <c r="U272" s="89">
        <f t="shared" si="78"/>
        <v>0</v>
      </c>
      <c r="V272" s="89">
        <f t="shared" si="78"/>
        <v>-0.82232094191479677</v>
      </c>
      <c r="W272" s="89">
        <f t="shared" si="78"/>
        <v>0</v>
      </c>
      <c r="X272" s="89">
        <f t="shared" si="78"/>
        <v>-271.00199641076892</v>
      </c>
      <c r="Y272" s="89">
        <f t="shared" si="78"/>
        <v>0</v>
      </c>
      <c r="AQ272" s="3"/>
    </row>
    <row r="273" spans="2:43" x14ac:dyDescent="0.3">
      <c r="C273" s="32"/>
      <c r="F273" t="s">
        <v>197</v>
      </c>
      <c r="G273" t="s">
        <v>174</v>
      </c>
      <c r="H273" s="121">
        <f t="shared" si="74"/>
        <v>5030.3895080222701</v>
      </c>
      <c r="I273" s="89"/>
      <c r="J273" s="89">
        <f t="shared" ref="J273:Y273" si="79">J243 + J256 + J172</f>
        <v>1876.1155898625177</v>
      </c>
      <c r="K273" s="89">
        <f t="shared" si="79"/>
        <v>2.5514363296547948</v>
      </c>
      <c r="L273" s="89">
        <f t="shared" si="79"/>
        <v>599.99759605134238</v>
      </c>
      <c r="M273" s="89">
        <f t="shared" si="79"/>
        <v>0.16879597568992494</v>
      </c>
      <c r="N273" s="89">
        <f t="shared" si="79"/>
        <v>546.59526272825394</v>
      </c>
      <c r="O273" s="89">
        <f t="shared" si="79"/>
        <v>40.098434088685423</v>
      </c>
      <c r="P273" s="89">
        <f t="shared" si="79"/>
        <v>2206.720705272639</v>
      </c>
      <c r="Q273" s="89">
        <f t="shared" si="79"/>
        <v>35.377082016724948</v>
      </c>
      <c r="R273" s="89">
        <f t="shared" si="79"/>
        <v>-0.11585105203405296</v>
      </c>
      <c r="S273" s="89">
        <f t="shared" si="79"/>
        <v>0</v>
      </c>
      <c r="T273" s="89">
        <f t="shared" si="79"/>
        <v>-6.8957616238539545</v>
      </c>
      <c r="U273" s="89">
        <f t="shared" si="79"/>
        <v>0</v>
      </c>
      <c r="V273" s="89">
        <f t="shared" si="79"/>
        <v>-0.81747901291431702</v>
      </c>
      <c r="W273" s="89">
        <f t="shared" si="79"/>
        <v>0</v>
      </c>
      <c r="X273" s="89">
        <f t="shared" si="79"/>
        <v>-269.40630261443465</v>
      </c>
      <c r="Y273" s="89">
        <f t="shared" si="79"/>
        <v>0</v>
      </c>
      <c r="AQ273" s="3"/>
    </row>
    <row r="274" spans="2:43" x14ac:dyDescent="0.3">
      <c r="C274" s="32"/>
      <c r="F274" t="s">
        <v>198</v>
      </c>
      <c r="G274" t="s">
        <v>174</v>
      </c>
      <c r="H274" s="121">
        <f t="shared" si="74"/>
        <v>423.14846402544981</v>
      </c>
      <c r="I274" s="89"/>
      <c r="J274" s="89">
        <f t="shared" ref="J274:Y274" si="80">J244 + J257 + J173</f>
        <v>155.28409274082293</v>
      </c>
      <c r="K274" s="89">
        <f t="shared" si="80"/>
        <v>0.19363309106371648</v>
      </c>
      <c r="L274" s="89">
        <f t="shared" si="80"/>
        <v>48.162586650933562</v>
      </c>
      <c r="M274" s="89">
        <f t="shared" si="80"/>
        <v>1.1732270153599813E-2</v>
      </c>
      <c r="N274" s="89">
        <f t="shared" si="80"/>
        <v>43.766155642428565</v>
      </c>
      <c r="O274" s="89">
        <f t="shared" si="80"/>
        <v>3.2381339672156089</v>
      </c>
      <c r="P274" s="89">
        <f t="shared" si="80"/>
        <v>193.1848036324665</v>
      </c>
      <c r="Q274" s="89">
        <f t="shared" si="80"/>
        <v>3.0257551979897221</v>
      </c>
      <c r="R274" s="89">
        <f t="shared" si="80"/>
        <v>-8.877531496488171E-3</v>
      </c>
      <c r="S274" s="89">
        <f t="shared" si="80"/>
        <v>0</v>
      </c>
      <c r="T274" s="89">
        <f t="shared" si="80"/>
        <v>-0.54233519603850655</v>
      </c>
      <c r="U274" s="89">
        <f t="shared" si="80"/>
        <v>0</v>
      </c>
      <c r="V274" s="89">
        <f t="shared" si="80"/>
        <v>-6.5634780346449512E-2</v>
      </c>
      <c r="W274" s="89">
        <f t="shared" si="80"/>
        <v>0</v>
      </c>
      <c r="X274" s="89">
        <f t="shared" si="80"/>
        <v>-23.101581659743012</v>
      </c>
      <c r="Y274" s="89">
        <f t="shared" si="80"/>
        <v>0</v>
      </c>
      <c r="AQ274" s="3"/>
    </row>
    <row r="275" spans="2:43" x14ac:dyDescent="0.3">
      <c r="C275" s="32"/>
      <c r="F275" t="s">
        <v>199</v>
      </c>
      <c r="G275" t="s">
        <v>174</v>
      </c>
      <c r="H275" s="121">
        <f t="shared" si="74"/>
        <v>5322.1338623012662</v>
      </c>
      <c r="I275" s="89"/>
      <c r="J275" s="89">
        <f t="shared" ref="J275:Y275" si="81">J245 + J258 + J174</f>
        <v>1998.9057834980285</v>
      </c>
      <c r="K275" s="89">
        <f t="shared" si="81"/>
        <v>2.7184256999579053</v>
      </c>
      <c r="L275" s="89">
        <f t="shared" si="81"/>
        <v>639.26693606326785</v>
      </c>
      <c r="M275" s="89">
        <f t="shared" si="81"/>
        <v>0.17984353088953803</v>
      </c>
      <c r="N275" s="89">
        <f t="shared" si="81"/>
        <v>741.02314594535846</v>
      </c>
      <c r="O275" s="89">
        <f t="shared" si="81"/>
        <v>156.10014229773114</v>
      </c>
      <c r="P275" s="89">
        <f t="shared" si="81"/>
        <v>1754.5886020495511</v>
      </c>
      <c r="Q275" s="89">
        <f t="shared" si="81"/>
        <v>37.692482397471935</v>
      </c>
      <c r="R275" s="89">
        <f t="shared" si="81"/>
        <v>-0.12343340633514455</v>
      </c>
      <c r="S275" s="89">
        <f t="shared" si="81"/>
        <v>0</v>
      </c>
      <c r="T275" s="89">
        <f t="shared" si="81"/>
        <v>-7.347083445191946</v>
      </c>
      <c r="U275" s="89">
        <f t="shared" si="81"/>
        <v>0</v>
      </c>
      <c r="V275" s="89">
        <f t="shared" si="81"/>
        <v>-0.87098232946426979</v>
      </c>
      <c r="W275" s="89">
        <f t="shared" si="81"/>
        <v>0</v>
      </c>
      <c r="X275" s="89">
        <f t="shared" si="81"/>
        <v>0</v>
      </c>
      <c r="Y275" s="89">
        <f t="shared" si="81"/>
        <v>0</v>
      </c>
      <c r="AQ275" s="3"/>
    </row>
    <row r="276" spans="2:43" x14ac:dyDescent="0.3">
      <c r="C276" s="32"/>
      <c r="F276" t="s">
        <v>200</v>
      </c>
      <c r="G276" t="s">
        <v>174</v>
      </c>
      <c r="H276" s="121">
        <f t="shared" si="74"/>
        <v>4154.8126388171604</v>
      </c>
      <c r="I276" s="89"/>
      <c r="J276" s="89">
        <f t="shared" ref="J276:Y276" si="82">J246 + J259 + J175</f>
        <v>1975.973785981799</v>
      </c>
      <c r="K276" s="89">
        <f t="shared" si="82"/>
        <v>2.6872391718513136</v>
      </c>
      <c r="L276" s="89">
        <f t="shared" si="82"/>
        <v>631.93308976043886</v>
      </c>
      <c r="M276" s="89">
        <f t="shared" si="82"/>
        <v>0.17778031638602518</v>
      </c>
      <c r="N276" s="89">
        <f t="shared" si="82"/>
        <v>1359.8561742651175</v>
      </c>
      <c r="O276" s="89">
        <f t="shared" si="82"/>
        <v>154.30931848552007</v>
      </c>
      <c r="P276" s="89">
        <f t="shared" si="82"/>
        <v>0</v>
      </c>
      <c r="Q276" s="89">
        <f t="shared" si="82"/>
        <v>37.260063861363257</v>
      </c>
      <c r="R276" s="89">
        <f t="shared" si="82"/>
        <v>-0.12201734431217923</v>
      </c>
      <c r="S276" s="89">
        <f t="shared" si="82"/>
        <v>0</v>
      </c>
      <c r="T276" s="89">
        <f t="shared" si="82"/>
        <v>-7.2627956810023626</v>
      </c>
      <c r="U276" s="89">
        <f t="shared" si="82"/>
        <v>0</v>
      </c>
      <c r="V276" s="89">
        <f t="shared" si="82"/>
        <v>0</v>
      </c>
      <c r="W276" s="89">
        <f t="shared" si="82"/>
        <v>0</v>
      </c>
      <c r="X276" s="89">
        <f t="shared" si="82"/>
        <v>0</v>
      </c>
      <c r="Y276" s="89">
        <f t="shared" si="82"/>
        <v>0</v>
      </c>
      <c r="AQ276" s="3"/>
    </row>
    <row r="277" spans="2:43" x14ac:dyDescent="0.3">
      <c r="C277" s="32"/>
      <c r="F277" s="37" t="s">
        <v>201</v>
      </c>
      <c r="G277" s="37" t="s">
        <v>174</v>
      </c>
      <c r="H277" s="131">
        <f t="shared" si="74"/>
        <v>3142.043133293374</v>
      </c>
      <c r="I277" s="82"/>
      <c r="J277" s="82">
        <f t="shared" ref="J277:Y277" si="83">J247 + J260 + J176</f>
        <v>1369.6594423682564</v>
      </c>
      <c r="K277" s="82">
        <f t="shared" si="83"/>
        <v>0</v>
      </c>
      <c r="L277" s="82">
        <f t="shared" si="83"/>
        <v>488.89559192918517</v>
      </c>
      <c r="M277" s="82">
        <f t="shared" si="83"/>
        <v>0</v>
      </c>
      <c r="N277" s="82">
        <f t="shared" si="83"/>
        <v>1247.2331903457132</v>
      </c>
      <c r="O277" s="82">
        <f t="shared" si="83"/>
        <v>0</v>
      </c>
      <c r="P277" s="82">
        <f t="shared" si="83"/>
        <v>0</v>
      </c>
      <c r="Q277" s="82">
        <f t="shared" si="83"/>
        <v>36.254908650219505</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233</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234</v>
      </c>
      <c r="G281" s="6" t="s">
        <v>57</v>
      </c>
      <c r="H281" s="103">
        <f t="array" ref="H281">SUM(IF(ISERROR(H23:Y277), 1))</f>
        <v>0</v>
      </c>
    </row>
    <row r="283" spans="2:43" x14ac:dyDescent="0.3">
      <c r="B283" s="30" t="s">
        <v>108</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548</v>
      </c>
    </row>
    <row r="10" spans="1:43" x14ac:dyDescent="0.3">
      <c r="C10" s="29" t="s">
        <v>549</v>
      </c>
    </row>
    <row r="11" spans="1:43" x14ac:dyDescent="0.3">
      <c r="D11" s="32"/>
      <c r="AQ11" s="3"/>
    </row>
    <row r="12" spans="1:43" x14ac:dyDescent="0.3">
      <c r="B12" s="30" t="s">
        <v>550</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551</v>
      </c>
      <c r="G16" s="28" t="s">
        <v>214</v>
      </c>
      <c r="J16" s="120">
        <f>'Volume adjustments'!J275</f>
        <v>2559230.0756873167</v>
      </c>
      <c r="K16" s="120">
        <f>'Volume adjustments'!K275</f>
        <v>0</v>
      </c>
      <c r="L16" s="120">
        <f>'Volume adjustments'!L275</f>
        <v>188009.06497859224</v>
      </c>
      <c r="M16" s="120">
        <f>'Volume adjustments'!M275</f>
        <v>0</v>
      </c>
      <c r="N16" s="120">
        <f>'Volume adjustments'!N275</f>
        <v>15856.107135692855</v>
      </c>
      <c r="O16" s="120">
        <f>'Volume adjustments'!O275</f>
        <v>531.84000069467299</v>
      </c>
      <c r="P16" s="120">
        <f>'Volume adjustments'!P275</f>
        <v>3372.1517422609586</v>
      </c>
      <c r="Q16" s="120">
        <f>'Volume adjustments'!Q275</f>
        <v>37.113907471596569</v>
      </c>
      <c r="R16" s="120">
        <f>'Volume adjustments'!R275</f>
        <v>0</v>
      </c>
      <c r="S16" s="120">
        <f>'Volume adjustments'!S275</f>
        <v>0</v>
      </c>
      <c r="T16" s="120">
        <f>'Volume adjustments'!T275</f>
        <v>734.26186025829247</v>
      </c>
      <c r="U16" s="120">
        <f>'Volume adjustments'!U275</f>
        <v>0</v>
      </c>
      <c r="V16" s="120">
        <f>'Volume adjustments'!V275</f>
        <v>50.04201140862741</v>
      </c>
      <c r="W16" s="120">
        <f>'Volume adjustments'!W275</f>
        <v>0</v>
      </c>
      <c r="X16" s="120">
        <f>'Volume adjustments'!X275</f>
        <v>449.38337701268659</v>
      </c>
      <c r="Y16" s="120">
        <f>'Volume adjustments'!Y275</f>
        <v>0</v>
      </c>
    </row>
    <row r="17" spans="5:27" x14ac:dyDescent="0.3">
      <c r="E17" s="28" t="s">
        <v>552</v>
      </c>
      <c r="G17" s="28" t="s">
        <v>209</v>
      </c>
      <c r="J17" s="124">
        <f>'Volume adjustments'!J264</f>
        <v>8828570.6008045338</v>
      </c>
      <c r="K17" s="124">
        <f>'Volume adjustments'!K264</f>
        <v>17120.816451148163</v>
      </c>
      <c r="L17" s="124">
        <f>'Volume adjustments'!L264</f>
        <v>3079010.6509257159</v>
      </c>
      <c r="M17" s="124">
        <f>'Volume adjustments'!M264</f>
        <v>2366.1753523585303</v>
      </c>
      <c r="N17" s="124">
        <f>'Volume adjustments'!N264</f>
        <v>3329375.8415519265</v>
      </c>
      <c r="O17" s="124">
        <f>'Volume adjustments'!O264</f>
        <v>263267.97453112528</v>
      </c>
      <c r="P17" s="124">
        <f>'Volume adjustments'!P264</f>
        <v>6906590.6240337947</v>
      </c>
      <c r="Q17" s="124">
        <f>'Volume adjustments'!Q264</f>
        <v>218528.52945732241</v>
      </c>
      <c r="R17" s="124">
        <f>'Volume adjustments'!R264</f>
        <v>787.37767145309772</v>
      </c>
      <c r="S17" s="124">
        <f>'Volume adjustments'!S264</f>
        <v>0</v>
      </c>
      <c r="T17" s="124">
        <f>'Volume adjustments'!T264</f>
        <v>52916.10534456365</v>
      </c>
      <c r="U17" s="124">
        <f>'Volume adjustments'!U264</f>
        <v>0</v>
      </c>
      <c r="V17" s="124">
        <f>'Volume adjustments'!V264</f>
        <v>7384.4042853173014</v>
      </c>
      <c r="W17" s="124">
        <f>'Volume adjustments'!W264</f>
        <v>0</v>
      </c>
      <c r="X17" s="124">
        <f>'Volume adjustments'!X264</f>
        <v>1551393.3850069167</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553</v>
      </c>
      <c r="J19" s="89"/>
      <c r="K19" s="89"/>
      <c r="L19" s="89"/>
      <c r="M19" s="89"/>
      <c r="N19" s="89"/>
      <c r="O19" s="89"/>
      <c r="P19" s="89"/>
      <c r="Q19" s="89"/>
      <c r="R19" s="89"/>
      <c r="S19" s="89"/>
      <c r="T19" s="89"/>
      <c r="U19" s="89"/>
      <c r="V19" s="89"/>
      <c r="W19" s="89"/>
      <c r="X19" s="89"/>
      <c r="Y19" s="89"/>
    </row>
    <row r="20" spans="5:27" x14ac:dyDescent="0.3">
      <c r="E20" s="29" t="s">
        <v>554</v>
      </c>
      <c r="J20" s="89"/>
      <c r="K20" s="89"/>
      <c r="L20" s="89"/>
      <c r="M20" s="89"/>
      <c r="N20" s="89"/>
      <c r="O20" s="89"/>
      <c r="P20" s="89"/>
      <c r="Q20" s="89"/>
      <c r="R20" s="89"/>
      <c r="S20" s="89"/>
      <c r="T20" s="89"/>
      <c r="U20" s="89"/>
      <c r="V20" s="89"/>
      <c r="W20" s="89"/>
      <c r="X20" s="89"/>
      <c r="Y20" s="89"/>
    </row>
    <row r="21" spans="5:27" x14ac:dyDescent="0.3">
      <c r="E21" s="88"/>
      <c r="F21" s="23" t="s">
        <v>378</v>
      </c>
      <c r="G21" s="23" t="s">
        <v>263</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379</v>
      </c>
      <c r="G22" t="s">
        <v>263</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555</v>
      </c>
      <c r="G23" s="37" t="s">
        <v>266</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556</v>
      </c>
      <c r="J25" s="89"/>
      <c r="K25" s="89"/>
      <c r="L25" s="89"/>
      <c r="M25" s="89"/>
      <c r="N25" s="89"/>
      <c r="O25" s="89"/>
      <c r="P25" s="89"/>
      <c r="Q25" s="89"/>
      <c r="R25" s="89"/>
      <c r="S25" s="89"/>
      <c r="T25" s="89"/>
      <c r="U25" s="89"/>
      <c r="V25" s="89"/>
      <c r="W25" s="89"/>
      <c r="X25" s="89"/>
      <c r="Y25" s="89"/>
    </row>
    <row r="26" spans="5:27" x14ac:dyDescent="0.3">
      <c r="E26" s="29" t="s">
        <v>557</v>
      </c>
      <c r="I26" t="s">
        <v>156</v>
      </c>
      <c r="J26" s="89"/>
      <c r="K26" s="89"/>
      <c r="L26" s="89"/>
      <c r="M26" s="89"/>
      <c r="N26" s="89"/>
      <c r="O26" s="89"/>
      <c r="P26" s="89"/>
      <c r="Q26" s="89"/>
      <c r="R26" s="89"/>
      <c r="S26" s="89"/>
      <c r="T26" s="89"/>
      <c r="U26" s="89"/>
      <c r="V26" s="89"/>
      <c r="W26" s="89"/>
      <c r="X26" s="89"/>
      <c r="Y26" s="89"/>
      <c r="AA26" t="s">
        <v>905</v>
      </c>
    </row>
    <row r="27" spans="5:27" x14ac:dyDescent="0.3">
      <c r="F27" s="23" t="s">
        <v>378</v>
      </c>
      <c r="G27" s="23" t="s">
        <v>279</v>
      </c>
      <c r="H27" s="129"/>
      <c r="I27" s="23"/>
      <c r="J27" s="126">
        <f t="shared" ref="J27:Y27" si="0">J21 * J$16</f>
        <v>629753534.88174021</v>
      </c>
      <c r="K27" s="126">
        <f t="shared" si="0"/>
        <v>0</v>
      </c>
      <c r="L27" s="126">
        <f t="shared" si="0"/>
        <v>135651382.45282543</v>
      </c>
      <c r="M27" s="126">
        <f t="shared" si="0"/>
        <v>0</v>
      </c>
      <c r="N27" s="126">
        <f t="shared" si="0"/>
        <v>22825214.878737077</v>
      </c>
      <c r="O27" s="126">
        <f t="shared" si="0"/>
        <v>597629.46435984992</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379</v>
      </c>
      <c r="G28" t="s">
        <v>279</v>
      </c>
      <c r="H28" s="63"/>
      <c r="J28" s="98">
        <f t="shared" ref="J28:Y28" si="1">J22 * J$16</f>
        <v>0</v>
      </c>
      <c r="K28" s="98">
        <f t="shared" si="1"/>
        <v>0</v>
      </c>
      <c r="L28" s="98">
        <f t="shared" si="1"/>
        <v>0</v>
      </c>
      <c r="M28" s="98">
        <f t="shared" si="1"/>
        <v>0</v>
      </c>
      <c r="N28" s="98">
        <f t="shared" si="1"/>
        <v>0</v>
      </c>
      <c r="O28" s="98">
        <f t="shared" si="1"/>
        <v>0</v>
      </c>
      <c r="P28" s="98">
        <f t="shared" si="1"/>
        <v>34982124.084250435</v>
      </c>
      <c r="Q28" s="98">
        <f t="shared" si="1"/>
        <v>0</v>
      </c>
      <c r="R28" s="98">
        <f t="shared" si="1"/>
        <v>0</v>
      </c>
      <c r="S28" s="98">
        <f t="shared" si="1"/>
        <v>0</v>
      </c>
      <c r="T28" s="98">
        <f t="shared" si="1"/>
        <v>0</v>
      </c>
      <c r="U28" s="98">
        <f t="shared" si="1"/>
        <v>0</v>
      </c>
      <c r="V28" s="98">
        <f t="shared" si="1"/>
        <v>0</v>
      </c>
      <c r="W28" s="98">
        <f t="shared" si="1"/>
        <v>0</v>
      </c>
      <c r="X28" s="98">
        <f t="shared" si="1"/>
        <v>2917569.765306382</v>
      </c>
      <c r="Y28" s="98">
        <f t="shared" si="1"/>
        <v>0</v>
      </c>
    </row>
    <row r="29" spans="5:27" x14ac:dyDescent="0.3">
      <c r="F29" s="37" t="s">
        <v>555</v>
      </c>
      <c r="G29" s="37" t="s">
        <v>279</v>
      </c>
      <c r="H29" s="130"/>
      <c r="I29" s="37"/>
      <c r="J29" s="306"/>
      <c r="K29" s="306"/>
      <c r="L29" s="306"/>
      <c r="M29" s="306"/>
      <c r="N29" s="306"/>
      <c r="O29" s="306"/>
      <c r="P29" s="306"/>
      <c r="Q29" s="153">
        <f t="shared" ref="Q29" si="2">Q23 * Q$17</f>
        <v>60787686.037554897</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558</v>
      </c>
      <c r="J31" s="89"/>
      <c r="K31" s="89"/>
      <c r="L31" s="89"/>
      <c r="M31" s="89"/>
      <c r="N31" s="89"/>
      <c r="O31" s="89"/>
      <c r="P31" s="89"/>
      <c r="Q31" s="89"/>
      <c r="R31" s="89"/>
      <c r="S31" s="89"/>
      <c r="T31" s="89"/>
      <c r="U31" s="89"/>
      <c r="V31" s="89"/>
      <c r="W31" s="89"/>
      <c r="X31" s="89"/>
      <c r="Y31" s="89"/>
    </row>
    <row r="32" spans="5:27" x14ac:dyDescent="0.3">
      <c r="E32" s="29" t="s">
        <v>559</v>
      </c>
      <c r="H32" s="128" t="s">
        <v>547</v>
      </c>
      <c r="J32" s="89"/>
      <c r="K32" s="89"/>
      <c r="L32" s="89"/>
      <c r="M32" s="89"/>
      <c r="N32" s="89"/>
      <c r="O32" s="89"/>
      <c r="P32" s="89"/>
      <c r="Q32" s="89"/>
      <c r="R32" s="89"/>
      <c r="S32" s="89"/>
      <c r="T32" s="89"/>
      <c r="U32" s="89"/>
      <c r="V32" s="89"/>
      <c r="W32" s="89"/>
      <c r="X32" s="89"/>
      <c r="Y32" s="89"/>
    </row>
    <row r="33" spans="2:43" x14ac:dyDescent="0.3">
      <c r="F33" s="23" t="s">
        <v>560</v>
      </c>
      <c r="G33" s="23" t="s">
        <v>279</v>
      </c>
      <c r="H33" s="101">
        <f>SUM(J33:Y33)</f>
        <v>849615447.71521747</v>
      </c>
      <c r="I33" s="23"/>
      <c r="J33" s="158">
        <f t="shared" ref="J33:Y33" si="3">J27 +J29</f>
        <v>629753534.88174021</v>
      </c>
      <c r="K33" s="158">
        <f t="shared" si="3"/>
        <v>0</v>
      </c>
      <c r="L33" s="158">
        <f t="shared" si="3"/>
        <v>135651382.45282543</v>
      </c>
      <c r="M33" s="158">
        <f t="shared" si="3"/>
        <v>0</v>
      </c>
      <c r="N33" s="158">
        <f t="shared" si="3"/>
        <v>22825214.878737077</v>
      </c>
      <c r="O33" s="158">
        <f t="shared" si="3"/>
        <v>597629.46435984992</v>
      </c>
      <c r="P33" s="158">
        <f t="shared" si="3"/>
        <v>0</v>
      </c>
      <c r="Q33" s="158">
        <f t="shared" si="3"/>
        <v>60787686.037554897</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561</v>
      </c>
      <c r="G34" s="37" t="s">
        <v>279</v>
      </c>
      <c r="H34" s="131">
        <f>SUM(J34:Y34)</f>
        <v>37899693.849556819</v>
      </c>
      <c r="I34" s="37"/>
      <c r="J34" s="167">
        <f t="shared" ref="J34:Y34" si="4">J28</f>
        <v>0</v>
      </c>
      <c r="K34" s="167">
        <f t="shared" si="4"/>
        <v>0</v>
      </c>
      <c r="L34" s="167">
        <f t="shared" si="4"/>
        <v>0</v>
      </c>
      <c r="M34" s="167">
        <f t="shared" si="4"/>
        <v>0</v>
      </c>
      <c r="N34" s="167">
        <f t="shared" si="4"/>
        <v>0</v>
      </c>
      <c r="O34" s="167">
        <f t="shared" si="4"/>
        <v>0</v>
      </c>
      <c r="P34" s="167">
        <f t="shared" si="4"/>
        <v>34982124.084250435</v>
      </c>
      <c r="Q34" s="167">
        <f t="shared" si="4"/>
        <v>0</v>
      </c>
      <c r="R34" s="167">
        <f t="shared" si="4"/>
        <v>0</v>
      </c>
      <c r="S34" s="167">
        <f t="shared" si="4"/>
        <v>0</v>
      </c>
      <c r="T34" s="167">
        <f t="shared" si="4"/>
        <v>0</v>
      </c>
      <c r="U34" s="167">
        <f t="shared" si="4"/>
        <v>0</v>
      </c>
      <c r="V34" s="167">
        <f t="shared" si="4"/>
        <v>0</v>
      </c>
      <c r="W34" s="167">
        <f t="shared" si="4"/>
        <v>0</v>
      </c>
      <c r="X34" s="167">
        <f t="shared" si="4"/>
        <v>2917569.765306382</v>
      </c>
      <c r="Y34" s="167">
        <f t="shared" si="4"/>
        <v>0</v>
      </c>
    </row>
    <row r="36" spans="2:43" x14ac:dyDescent="0.3">
      <c r="B36" s="30" t="s">
        <v>233</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234</v>
      </c>
      <c r="G38" s="6" t="s">
        <v>57</v>
      </c>
      <c r="H38" s="103">
        <f t="array" ref="H38">SUM(IF(ISERROR(H16:Y35), 1))</f>
        <v>0</v>
      </c>
    </row>
    <row r="40" spans="2:43" x14ac:dyDescent="0.3">
      <c r="B40" s="30" t="s">
        <v>108</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[enter DNO name] - [enter data version name]</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144</v>
      </c>
      <c r="C5" s="60"/>
      <c r="D5" s="60"/>
      <c r="E5" s="60"/>
      <c r="F5" s="60"/>
      <c r="G5" s="61" t="s">
        <v>145</v>
      </c>
      <c r="H5" s="62" t="s">
        <v>146</v>
      </c>
      <c r="I5" s="113"/>
      <c r="J5" s="93" t="s">
        <v>191</v>
      </c>
      <c r="K5" s="114" t="s">
        <v>193</v>
      </c>
      <c r="L5" s="114" t="s">
        <v>194</v>
      </c>
      <c r="M5" s="114" t="s">
        <v>195</v>
      </c>
      <c r="N5" s="114" t="s">
        <v>196</v>
      </c>
      <c r="O5" s="114" t="s">
        <v>197</v>
      </c>
      <c r="P5" s="114" t="s">
        <v>198</v>
      </c>
      <c r="Q5" s="114" t="s">
        <v>199</v>
      </c>
      <c r="R5" s="114" t="s">
        <v>200</v>
      </c>
      <c r="S5" s="114" t="s">
        <v>201</v>
      </c>
      <c r="T5" s="114" t="s">
        <v>378</v>
      </c>
      <c r="U5" s="114" t="s">
        <v>379</v>
      </c>
      <c r="W5" s="60" t="s">
        <v>147</v>
      </c>
    </row>
    <row r="6" spans="1:23" x14ac:dyDescent="0.3">
      <c r="H6" s="3"/>
      <c r="I6" s="3"/>
      <c r="J6" s="3"/>
      <c r="K6" s="3"/>
      <c r="L6" s="3"/>
      <c r="M6" s="3"/>
      <c r="N6" s="3"/>
      <c r="O6" s="3"/>
      <c r="P6" s="3"/>
      <c r="Q6" s="3"/>
      <c r="R6" s="3"/>
      <c r="S6" s="3"/>
      <c r="T6" s="3"/>
      <c r="U6" s="3"/>
      <c r="W6" s="3"/>
    </row>
    <row r="7" spans="1:23" x14ac:dyDescent="0.3">
      <c r="B7" s="30" t="s">
        <v>12</v>
      </c>
      <c r="C7" s="30"/>
      <c r="D7" s="30"/>
      <c r="E7" s="30"/>
      <c r="F7" s="30"/>
      <c r="G7" s="30"/>
      <c r="H7" s="30"/>
      <c r="I7" s="30"/>
      <c r="J7" s="30"/>
      <c r="K7" s="30"/>
      <c r="L7" s="30"/>
      <c r="M7" s="30"/>
      <c r="N7" s="30"/>
      <c r="O7" s="30"/>
      <c r="P7" s="30"/>
      <c r="Q7" s="30"/>
      <c r="R7" s="30"/>
      <c r="S7" s="30"/>
      <c r="T7" s="30"/>
      <c r="U7" s="30"/>
      <c r="V7" s="30"/>
      <c r="W7" s="30"/>
    </row>
    <row r="9" spans="1:23" x14ac:dyDescent="0.3">
      <c r="C9" s="29" t="s">
        <v>562</v>
      </c>
      <c r="D9" s="29"/>
    </row>
    <row r="10" spans="1:23" x14ac:dyDescent="0.3">
      <c r="C10" s="29" t="s">
        <v>563</v>
      </c>
      <c r="D10" s="29"/>
    </row>
    <row r="11" spans="1:23" x14ac:dyDescent="0.3">
      <c r="C11" s="29"/>
      <c r="D11" s="29" t="s">
        <v>564</v>
      </c>
    </row>
    <row r="12" spans="1:23" x14ac:dyDescent="0.3">
      <c r="C12" s="29"/>
      <c r="D12" s="29" t="s">
        <v>565</v>
      </c>
    </row>
    <row r="13" spans="1:23" x14ac:dyDescent="0.3">
      <c r="C13" s="29" t="s">
        <v>566</v>
      </c>
      <c r="D13" s="29"/>
    </row>
    <row r="15" spans="1:23" x14ac:dyDescent="0.3">
      <c r="B15" s="30" t="s">
        <v>567</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568</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569</v>
      </c>
      <c r="I21" s="3" t="s">
        <v>156</v>
      </c>
      <c r="J21" s="3"/>
      <c r="K21" s="3"/>
      <c r="L21" s="3"/>
      <c r="M21" s="3"/>
      <c r="N21" s="3"/>
      <c r="O21" s="3"/>
      <c r="P21" s="3"/>
      <c r="Q21" s="3"/>
      <c r="R21" s="3"/>
      <c r="S21" s="3"/>
      <c r="T21" s="3"/>
      <c r="U21" s="3"/>
      <c r="W21" s="3" t="s">
        <v>167</v>
      </c>
    </row>
    <row r="22" spans="3:25" x14ac:dyDescent="0.3">
      <c r="D22" s="29"/>
    </row>
    <row r="23" spans="3:25" x14ac:dyDescent="0.3">
      <c r="D23" s="88"/>
      <c r="E23" s="28" t="s">
        <v>355</v>
      </c>
      <c r="G23" s="28" t="s">
        <v>169</v>
      </c>
      <c r="H23" s="116">
        <f>'General inputs'!H91</f>
        <v>3.2599999999999997E-2</v>
      </c>
      <c r="I23" s="3"/>
      <c r="J23" s="3"/>
      <c r="K23" s="3"/>
      <c r="L23" s="3"/>
      <c r="M23" s="3"/>
      <c r="N23" s="3"/>
      <c r="O23" s="3"/>
      <c r="P23" s="3"/>
      <c r="Q23" s="3"/>
      <c r="R23" s="3"/>
      <c r="S23" s="3"/>
      <c r="T23" s="3"/>
      <c r="U23" s="3"/>
    </row>
    <row r="24" spans="3:25" x14ac:dyDescent="0.3">
      <c r="D24" s="88"/>
      <c r="E24" s="28" t="s">
        <v>165</v>
      </c>
      <c r="G24" s="28" t="s">
        <v>166</v>
      </c>
      <c r="H24" s="52">
        <f>'Fixed inputs'!H35</f>
        <v>40</v>
      </c>
      <c r="I24" s="3"/>
      <c r="J24" s="3"/>
      <c r="K24" s="3"/>
      <c r="L24" s="3"/>
      <c r="M24" s="3"/>
      <c r="N24" s="3"/>
      <c r="O24" s="3"/>
      <c r="P24" s="3"/>
      <c r="Q24" s="3"/>
      <c r="R24" s="3"/>
      <c r="S24" s="3"/>
      <c r="T24" s="3"/>
      <c r="U24" s="3"/>
      <c r="W24" s="3"/>
    </row>
    <row r="25" spans="3:25" x14ac:dyDescent="0.3">
      <c r="E25" s="28" t="s">
        <v>570</v>
      </c>
      <c r="G25" s="28" t="s">
        <v>169</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571</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572</v>
      </c>
      <c r="F31" s="119"/>
      <c r="G31" s="28" t="s">
        <v>573</v>
      </c>
      <c r="H31" s="3"/>
      <c r="I31" s="3"/>
      <c r="J31" s="79"/>
      <c r="K31" s="120">
        <f>'Load &amp; loss characteristics'!K29</f>
        <v>1</v>
      </c>
      <c r="L31" s="120">
        <f>'Load &amp; loss characteristics'!L29</f>
        <v>1.002</v>
      </c>
      <c r="M31" s="120">
        <f>'Load &amp; loss characteristics'!M29</f>
        <v>1.006</v>
      </c>
      <c r="N31" s="120">
        <f>'Load &amp; loss characteristics'!N29</f>
        <v>1.0129999999999999</v>
      </c>
      <c r="O31" s="120">
        <f>'Load &amp; loss characteristics'!O29</f>
        <v>1.0189999999999999</v>
      </c>
      <c r="P31" s="120">
        <f>'Load &amp; loss characteristics'!P29</f>
        <v>1.0189999999999999</v>
      </c>
      <c r="Q31" s="120">
        <f>'Load &amp; loss characteristics'!Q29</f>
        <v>1.034</v>
      </c>
      <c r="R31" s="120">
        <f>'Load &amp; loss characteristics'!R29</f>
        <v>1.046</v>
      </c>
      <c r="S31" s="120">
        <f>'Load &amp; loss characteristics'!S29</f>
        <v>1.075</v>
      </c>
      <c r="T31" s="79"/>
      <c r="U31" s="79"/>
    </row>
    <row r="32" spans="3:25" x14ac:dyDescent="0.3">
      <c r="E32" t="s">
        <v>574</v>
      </c>
      <c r="F32" s="177"/>
      <c r="G32" s="28" t="s">
        <v>169</v>
      </c>
      <c r="H32" s="3"/>
      <c r="I32" s="3"/>
      <c r="J32" s="178"/>
      <c r="K32" s="179">
        <f>'Load &amp; loss characteristics'!$K$23</f>
        <v>2.4713742436156094E-2</v>
      </c>
      <c r="L32" s="180"/>
      <c r="M32" s="180"/>
      <c r="N32" s="180"/>
      <c r="O32" s="180"/>
      <c r="P32" s="178"/>
      <c r="Q32" s="180"/>
      <c r="R32" s="180"/>
      <c r="S32" s="180"/>
      <c r="T32" s="178"/>
      <c r="U32" s="178"/>
      <c r="Y32" s="181"/>
    </row>
    <row r="33" spans="3:23" x14ac:dyDescent="0.3">
      <c r="E33" t="s">
        <v>575</v>
      </c>
      <c r="F33" s="119"/>
      <c r="G33" s="28" t="s">
        <v>169</v>
      </c>
      <c r="H33" s="3"/>
      <c r="I33" s="3"/>
      <c r="J33" s="70"/>
      <c r="K33" s="176">
        <f xml:space="preserve"> 1 / (1 + K32)</f>
        <v>0.97588229628168977</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576</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173</v>
      </c>
      <c r="F39" s="119"/>
      <c r="G39" s="28" t="s">
        <v>174</v>
      </c>
      <c r="H39" s="120">
        <f>'Fixed inputs'!H41</f>
        <v>500</v>
      </c>
      <c r="I39" s="3"/>
      <c r="J39" s="79"/>
      <c r="K39" s="79"/>
      <c r="L39" s="79"/>
      <c r="M39" s="79"/>
      <c r="N39" s="79"/>
      <c r="O39" s="79"/>
      <c r="P39" s="79"/>
      <c r="Q39" s="79"/>
      <c r="R39" s="79"/>
      <c r="S39" s="79"/>
      <c r="T39" s="79"/>
      <c r="U39" s="79"/>
      <c r="W39" s="3"/>
    </row>
    <row r="40" spans="3:23" x14ac:dyDescent="0.3">
      <c r="E40" t="s">
        <v>577</v>
      </c>
      <c r="F40" s="119"/>
      <c r="G40" s="28" t="s">
        <v>174</v>
      </c>
      <c r="H40" s="3"/>
      <c r="I40" s="3" t="s">
        <v>156</v>
      </c>
      <c r="J40" s="79"/>
      <c r="K40" s="182">
        <f t="shared" ref="K40:S40" si="0">$H$39 * $K$33 / K31</f>
        <v>487.94114814084486</v>
      </c>
      <c r="L40" s="182">
        <f t="shared" si="0"/>
        <v>486.967213713418</v>
      </c>
      <c r="M40" s="182">
        <f t="shared" si="0"/>
        <v>485.03096236664499</v>
      </c>
      <c r="N40" s="182">
        <f t="shared" si="0"/>
        <v>481.67931701959026</v>
      </c>
      <c r="O40" s="182">
        <f t="shared" si="0"/>
        <v>478.84312869562797</v>
      </c>
      <c r="P40" s="182">
        <f t="shared" si="0"/>
        <v>478.84312869562797</v>
      </c>
      <c r="Q40" s="182">
        <f t="shared" si="0"/>
        <v>471.89666164491763</v>
      </c>
      <c r="R40" s="182">
        <f t="shared" si="0"/>
        <v>466.48293321304476</v>
      </c>
      <c r="S40" s="182">
        <f t="shared" si="0"/>
        <v>453.8987424565999</v>
      </c>
      <c r="T40" s="79"/>
      <c r="U40" s="79"/>
      <c r="W40" s="3" t="s">
        <v>578</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579</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283</v>
      </c>
      <c r="G46" s="28" t="s">
        <v>169</v>
      </c>
      <c r="H46" s="3"/>
      <c r="I46" s="3"/>
      <c r="J46" s="180"/>
      <c r="K46" s="180"/>
      <c r="L46" s="180"/>
      <c r="M46" s="180"/>
      <c r="N46" s="180"/>
      <c r="O46" s="180"/>
      <c r="P46" s="179">
        <f>'Inputs by network level'!P17</f>
        <v>7.5044342711319545E-2</v>
      </c>
      <c r="Q46" s="180"/>
      <c r="R46" s="180"/>
      <c r="S46" s="180"/>
      <c r="T46" s="180"/>
      <c r="U46" s="180"/>
      <c r="W46" s="3"/>
    </row>
    <row r="47" spans="3:23" x14ac:dyDescent="0.3">
      <c r="E47" s="28" t="s">
        <v>580</v>
      </c>
      <c r="G47" s="28" t="s">
        <v>169</v>
      </c>
      <c r="H47" s="3"/>
      <c r="I47" s="3"/>
      <c r="J47" s="180"/>
      <c r="K47" s="180"/>
      <c r="L47" s="180"/>
      <c r="M47" s="176">
        <f>IF(M46 = "", 1 - $P$46, M46)</f>
        <v>0.92495565728868046</v>
      </c>
      <c r="N47" s="176">
        <f>IF(N46 = "", 1 - $P$46, N46)</f>
        <v>0.92495565728868046</v>
      </c>
      <c r="O47" s="176">
        <f>IF(O46 = "", 1 - $P$46, O46)</f>
        <v>0.92495565728868046</v>
      </c>
      <c r="P47" s="176">
        <f>IF(P46 = "", 1 - $P$46, P46)</f>
        <v>7.5044342711319545E-2</v>
      </c>
      <c r="Q47" s="180"/>
      <c r="R47" s="180"/>
      <c r="S47" s="180"/>
      <c r="T47" s="180"/>
      <c r="U47" s="180"/>
      <c r="W47" s="3"/>
    </row>
    <row r="48" spans="3:23" x14ac:dyDescent="0.3">
      <c r="E48" s="28" t="s">
        <v>581</v>
      </c>
      <c r="G48" s="28" t="s">
        <v>174</v>
      </c>
      <c r="H48" s="3"/>
      <c r="I48" s="3"/>
      <c r="J48" s="79"/>
      <c r="K48" s="98">
        <f t="shared" ref="K48:S48" si="1">IF(K47 = "", K40, K47 * K40)</f>
        <v>487.94114814084486</v>
      </c>
      <c r="L48" s="98">
        <f t="shared" si="1"/>
        <v>486.967213713418</v>
      </c>
      <c r="M48" s="98">
        <f t="shared" si="1"/>
        <v>448.63213260120136</v>
      </c>
      <c r="N48" s="98">
        <f t="shared" si="1"/>
        <v>445.53200927621782</v>
      </c>
      <c r="O48" s="98">
        <f t="shared" si="1"/>
        <v>442.90866084083279</v>
      </c>
      <c r="P48" s="98">
        <f t="shared" si="1"/>
        <v>35.934467854795194</v>
      </c>
      <c r="Q48" s="98">
        <f t="shared" si="1"/>
        <v>471.89666164491763</v>
      </c>
      <c r="R48" s="98">
        <f t="shared" si="1"/>
        <v>466.48293321304476</v>
      </c>
      <c r="S48" s="98">
        <f t="shared" si="1"/>
        <v>453.8987424565999</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582</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583</v>
      </c>
      <c r="F54" s="177"/>
      <c r="G54" s="28" t="s">
        <v>279</v>
      </c>
      <c r="H54" s="3"/>
      <c r="I54" s="3"/>
      <c r="J54" s="79"/>
      <c r="K54" s="79"/>
      <c r="L54" s="120">
        <f>'Inputs by network level'!L33</f>
        <v>57612517.293453909</v>
      </c>
      <c r="M54" s="120">
        <f>'Inputs by network level'!M33</f>
        <v>30102002.705238439</v>
      </c>
      <c r="N54" s="120">
        <f>'Inputs by network level'!N33</f>
        <v>37186948.669687547</v>
      </c>
      <c r="O54" s="120">
        <f>'Inputs by network level'!O33</f>
        <v>59823179.209974438</v>
      </c>
      <c r="P54" s="120">
        <f>'Inputs by network level'!P33</f>
        <v>5037530.9843376521</v>
      </c>
      <c r="Q54" s="120">
        <f>'Inputs by network level'!Q33</f>
        <v>137822362.57909635</v>
      </c>
      <c r="R54" s="120">
        <f>'Inputs by network level'!R33</f>
        <v>63088481.625524126</v>
      </c>
      <c r="S54" s="120">
        <f>'Inputs by network level'!S33</f>
        <v>125748377.41709983</v>
      </c>
      <c r="T54" s="79"/>
      <c r="U54" s="79"/>
      <c r="W54" s="3"/>
    </row>
    <row r="55" spans="2:23" x14ac:dyDescent="0.3">
      <c r="E55" t="s">
        <v>584</v>
      </c>
      <c r="F55" s="177"/>
      <c r="G55" s="28" t="s">
        <v>585</v>
      </c>
      <c r="H55" s="3"/>
      <c r="I55" s="3"/>
      <c r="J55" s="79"/>
      <c r="K55" s="79"/>
      <c r="L55" s="98">
        <f t="shared" ref="L55:S55" si="2">IF(L48 = 0, 0, L54 / (L48 * thousand))</f>
        <v>118.30882176671362</v>
      </c>
      <c r="M55" s="98">
        <f t="shared" si="2"/>
        <v>67.097295351326849</v>
      </c>
      <c r="N55" s="98">
        <f t="shared" si="2"/>
        <v>83.466390507158025</v>
      </c>
      <c r="O55" s="98">
        <f t="shared" si="2"/>
        <v>135.06888552688062</v>
      </c>
      <c r="P55" s="98">
        <f t="shared" si="2"/>
        <v>140.18660314362859</v>
      </c>
      <c r="Q55" s="98">
        <f t="shared" si="2"/>
        <v>292.06047378822501</v>
      </c>
      <c r="R55" s="98">
        <f t="shared" si="2"/>
        <v>135.24285056043271</v>
      </c>
      <c r="S55" s="98">
        <f t="shared" si="2"/>
        <v>277.04059442095377</v>
      </c>
      <c r="T55" s="79"/>
      <c r="U55" s="79"/>
      <c r="W55" s="3"/>
    </row>
    <row r="56" spans="2:23" x14ac:dyDescent="0.3">
      <c r="E56" t="s">
        <v>586</v>
      </c>
      <c r="F56" s="177"/>
      <c r="G56" s="28" t="s">
        <v>587</v>
      </c>
      <c r="H56" s="3"/>
      <c r="I56" s="3" t="s">
        <v>156</v>
      </c>
      <c r="J56" s="79"/>
      <c r="K56" s="79"/>
      <c r="L56" s="98">
        <f t="shared" ref="L56:S56" si="3">L55 * $H$25</f>
        <v>5.3356416578238894</v>
      </c>
      <c r="M56" s="98">
        <f t="shared" si="3"/>
        <v>3.0260391309600432</v>
      </c>
      <c r="N56" s="98">
        <f t="shared" si="3"/>
        <v>3.7642733954053105</v>
      </c>
      <c r="O56" s="98">
        <f t="shared" si="3"/>
        <v>6.0915083214516024</v>
      </c>
      <c r="P56" s="98">
        <f t="shared" si="3"/>
        <v>6.3223136570228027</v>
      </c>
      <c r="Q56" s="98">
        <f t="shared" si="3"/>
        <v>13.17171456259633</v>
      </c>
      <c r="R56" s="98">
        <f t="shared" si="3"/>
        <v>6.0993540177079266</v>
      </c>
      <c r="S56" s="98">
        <f t="shared" si="3"/>
        <v>12.494328947130336</v>
      </c>
      <c r="T56" s="79"/>
      <c r="U56" s="79"/>
      <c r="W56" s="3" t="s">
        <v>588</v>
      </c>
    </row>
    <row r="57" spans="2:23" x14ac:dyDescent="0.3">
      <c r="H57" s="3"/>
      <c r="I57" s="3"/>
      <c r="J57" s="127"/>
      <c r="K57" s="127"/>
      <c r="L57" s="127"/>
      <c r="M57" s="127"/>
      <c r="N57" s="127"/>
      <c r="O57" s="127"/>
      <c r="P57" s="127"/>
      <c r="Q57" s="127"/>
      <c r="R57" s="127"/>
      <c r="S57" s="127"/>
      <c r="T57" s="127"/>
      <c r="U57" s="127"/>
      <c r="W57" s="3"/>
    </row>
    <row r="58" spans="2:23" x14ac:dyDescent="0.3">
      <c r="B58" s="30" t="s">
        <v>589</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590</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591</v>
      </c>
      <c r="G64" t="s">
        <v>174</v>
      </c>
      <c r="J64" s="79"/>
      <c r="K64" s="120">
        <f t="array" ref="K64:S64">TRANSPOSE('System peak demand'!H269:H277)</f>
        <v>4069.4156988957125</v>
      </c>
      <c r="L64" s="120">
        <v>4064.3368311628851</v>
      </c>
      <c r="M64" s="120">
        <v>3720.9405459943446</v>
      </c>
      <c r="N64" s="120">
        <v>3963.2450570869705</v>
      </c>
      <c r="O64" s="120">
        <v>5030.3895080222701</v>
      </c>
      <c r="P64" s="120">
        <v>423.14846402544981</v>
      </c>
      <c r="Q64" s="120">
        <v>5322.1338623012662</v>
      </c>
      <c r="R64" s="120">
        <v>4154.8126388171604</v>
      </c>
      <c r="S64" s="120">
        <v>3142.043133293374</v>
      </c>
      <c r="T64" s="79"/>
      <c r="U64" s="79"/>
    </row>
    <row r="65" spans="3:24" x14ac:dyDescent="0.3">
      <c r="E65" s="28" t="s">
        <v>592</v>
      </c>
      <c r="F65" s="28"/>
      <c r="G65" s="28" t="s">
        <v>174</v>
      </c>
      <c r="H65" s="102"/>
      <c r="J65" s="98">
        <f>K64</f>
        <v>4069.4156988957125</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591</v>
      </c>
      <c r="F67" s="28"/>
      <c r="G67" s="28" t="s">
        <v>522</v>
      </c>
      <c r="H67" s="102"/>
      <c r="J67" s="98">
        <f t="shared" ref="J67:S67" si="4">SUM(J64:J65) * thousand</f>
        <v>4069415.6988957124</v>
      </c>
      <c r="K67" s="98">
        <f t="shared" si="4"/>
        <v>4069415.6988957124</v>
      </c>
      <c r="L67" s="98">
        <f t="shared" si="4"/>
        <v>4064336.8311628853</v>
      </c>
      <c r="M67" s="98">
        <f t="shared" si="4"/>
        <v>3720940.5459943446</v>
      </c>
      <c r="N67" s="98">
        <f t="shared" si="4"/>
        <v>3963245.0570869707</v>
      </c>
      <c r="O67" s="98">
        <f t="shared" si="4"/>
        <v>5030389.5080222702</v>
      </c>
      <c r="P67" s="98">
        <f t="shared" si="4"/>
        <v>423148.46402544982</v>
      </c>
      <c r="Q67" s="98">
        <f t="shared" si="4"/>
        <v>5322133.8623012658</v>
      </c>
      <c r="R67" s="98">
        <f t="shared" si="4"/>
        <v>4154812.6388171604</v>
      </c>
      <c r="S67" s="98">
        <f t="shared" si="4"/>
        <v>3142043.133293374</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593</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594</v>
      </c>
      <c r="F73" s="28"/>
      <c r="G73" s="28" t="s">
        <v>279</v>
      </c>
      <c r="J73" s="79"/>
      <c r="K73" s="79"/>
      <c r="L73" s="98">
        <f t="shared" ref="L73:S73" si="5">L67 * L55</f>
        <v>480846901.7579394</v>
      </c>
      <c r="M73" s="98">
        <f t="shared" si="5"/>
        <v>249665046.79930994</v>
      </c>
      <c r="N73" s="98">
        <f t="shared" si="5"/>
        <v>330797759.61038488</v>
      </c>
      <c r="O73" s="98">
        <f t="shared" si="5"/>
        <v>679449104.61468136</v>
      </c>
      <c r="P73" s="98">
        <f t="shared" si="5"/>
        <v>59319745.797171734</v>
      </c>
      <c r="Q73" s="98">
        <f t="shared" si="5"/>
        <v>1554384937.3880637</v>
      </c>
      <c r="R73" s="98">
        <f t="shared" si="5"/>
        <v>561908704.81814635</v>
      </c>
      <c r="S73" s="98">
        <f t="shared" si="5"/>
        <v>870473497.34387243</v>
      </c>
      <c r="T73" s="79"/>
      <c r="U73" s="79"/>
      <c r="X73" s="63"/>
    </row>
    <row r="74" spans="3:24" x14ac:dyDescent="0.3">
      <c r="E74" s="28" t="s">
        <v>595</v>
      </c>
      <c r="F74" s="28"/>
      <c r="G74" s="28" t="s">
        <v>279</v>
      </c>
      <c r="J74" s="79"/>
      <c r="K74" s="79"/>
      <c r="L74" s="79"/>
      <c r="M74" s="79"/>
      <c r="N74" s="79"/>
      <c r="O74" s="79"/>
      <c r="P74" s="79"/>
      <c r="Q74" s="79"/>
      <c r="R74" s="79"/>
      <c r="S74" s="79"/>
      <c r="T74" s="120">
        <f>'Service model assets'!H33</f>
        <v>849615447.71521747</v>
      </c>
      <c r="U74" s="120">
        <f>'Service model assets'!H34</f>
        <v>37899693.849556819</v>
      </c>
      <c r="X74" s="63"/>
    </row>
    <row r="75" spans="3:24" x14ac:dyDescent="0.3">
      <c r="J75" s="89"/>
      <c r="K75" s="89"/>
      <c r="L75" s="89"/>
      <c r="M75" s="89"/>
      <c r="N75" s="89"/>
      <c r="O75" s="89"/>
      <c r="P75" s="89"/>
      <c r="Q75" s="89"/>
      <c r="R75" s="89"/>
      <c r="S75" s="89"/>
      <c r="T75" s="89"/>
      <c r="U75" s="89"/>
      <c r="X75" s="63"/>
    </row>
    <row r="76" spans="3:24" x14ac:dyDescent="0.3">
      <c r="E76" s="28" t="s">
        <v>596</v>
      </c>
      <c r="F76" s="28"/>
      <c r="G76" s="28" t="s">
        <v>279</v>
      </c>
      <c r="I76" t="s">
        <v>156</v>
      </c>
      <c r="J76" s="79"/>
      <c r="K76" s="98">
        <f t="shared" ref="K76:U76" si="6">K73 + K74</f>
        <v>0</v>
      </c>
      <c r="L76" s="98">
        <f t="shared" si="6"/>
        <v>480846901.7579394</v>
      </c>
      <c r="M76" s="98">
        <f t="shared" si="6"/>
        <v>249665046.79930994</v>
      </c>
      <c r="N76" s="98">
        <f t="shared" si="6"/>
        <v>330797759.61038488</v>
      </c>
      <c r="O76" s="98">
        <f t="shared" si="6"/>
        <v>679449104.61468136</v>
      </c>
      <c r="P76" s="98">
        <f t="shared" si="6"/>
        <v>59319745.797171734</v>
      </c>
      <c r="Q76" s="98">
        <f t="shared" si="6"/>
        <v>1554384937.3880637</v>
      </c>
      <c r="R76" s="98">
        <f t="shared" si="6"/>
        <v>561908704.81814635</v>
      </c>
      <c r="S76" s="98">
        <f t="shared" si="6"/>
        <v>870473497.34387243</v>
      </c>
      <c r="T76" s="98">
        <f t="shared" si="6"/>
        <v>849615447.71521747</v>
      </c>
      <c r="U76" s="98">
        <f t="shared" si="6"/>
        <v>37899693.849556819</v>
      </c>
      <c r="W76" s="3" t="s">
        <v>597</v>
      </c>
      <c r="X76" s="63"/>
    </row>
    <row r="77" spans="3:24" x14ac:dyDescent="0.3">
      <c r="L77" s="63"/>
      <c r="M77" s="63"/>
      <c r="N77" s="63"/>
      <c r="O77" s="63"/>
      <c r="P77" s="63"/>
      <c r="Q77" s="63"/>
      <c r="R77" s="63"/>
      <c r="S77" s="63"/>
      <c r="T77" s="63"/>
      <c r="U77" s="63"/>
      <c r="X77" s="63"/>
    </row>
    <row r="78" spans="3:24" x14ac:dyDescent="0.3">
      <c r="E78" s="28" t="s">
        <v>598</v>
      </c>
      <c r="F78" s="28"/>
      <c r="G78" s="28" t="s">
        <v>169</v>
      </c>
      <c r="J78" s="180"/>
      <c r="K78" s="145">
        <f t="shared" ref="K78:U78" si="7">K76 / SUM($K$76:$U$76)</f>
        <v>0</v>
      </c>
      <c r="L78" s="145">
        <f t="shared" si="7"/>
        <v>8.4740275661397788E-2</v>
      </c>
      <c r="M78" s="145">
        <f t="shared" si="7"/>
        <v>4.3998796314257384E-2</v>
      </c>
      <c r="N78" s="145">
        <f t="shared" si="7"/>
        <v>5.829691994494373E-2</v>
      </c>
      <c r="O78" s="145">
        <f t="shared" si="7"/>
        <v>0.11974020049300929</v>
      </c>
      <c r="P78" s="145">
        <f t="shared" si="7"/>
        <v>1.0453996048719216E-2</v>
      </c>
      <c r="Q78" s="145">
        <f t="shared" si="7"/>
        <v>0.27393128165458586</v>
      </c>
      <c r="R78" s="145">
        <f t="shared" si="7"/>
        <v>9.9025902774349153E-2</v>
      </c>
      <c r="S78" s="145">
        <f t="shared" si="7"/>
        <v>0.15340467797792737</v>
      </c>
      <c r="T78" s="145">
        <f t="shared" si="7"/>
        <v>0.14972883673026738</v>
      </c>
      <c r="U78" s="145">
        <f t="shared" si="7"/>
        <v>6.679112400542777E-3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599</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171</v>
      </c>
      <c r="F84" s="28"/>
      <c r="G84" s="28" t="s">
        <v>169</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362</v>
      </c>
      <c r="F86" s="28"/>
      <c r="G86" s="28" t="s">
        <v>359</v>
      </c>
      <c r="H86" s="120">
        <f>'General inputs'!H102</f>
        <v>49384746.802854903</v>
      </c>
      <c r="L86" s="63"/>
      <c r="M86" s="63"/>
      <c r="N86" s="63"/>
      <c r="O86" s="63"/>
      <c r="P86" s="63"/>
      <c r="Q86" s="63"/>
      <c r="R86" s="63"/>
      <c r="S86" s="63"/>
      <c r="T86" s="63"/>
      <c r="U86" s="63"/>
    </row>
    <row r="87" spans="3:23" x14ac:dyDescent="0.3">
      <c r="E87" s="28" t="s">
        <v>363</v>
      </c>
      <c r="F87" s="28"/>
      <c r="G87" s="28" t="s">
        <v>359</v>
      </c>
      <c r="H87" s="120">
        <f>'General inputs'!H103</f>
        <v>140806480.82409468</v>
      </c>
      <c r="L87" s="63"/>
      <c r="M87" s="63"/>
      <c r="N87" s="63"/>
      <c r="O87" s="63"/>
      <c r="P87" s="63"/>
      <c r="Q87" s="63"/>
      <c r="R87" s="63"/>
      <c r="S87" s="63"/>
      <c r="T87" s="63"/>
      <c r="U87" s="63"/>
    </row>
    <row r="88" spans="3:23" x14ac:dyDescent="0.3">
      <c r="E88" s="28" t="s">
        <v>364</v>
      </c>
      <c r="F88" s="28"/>
      <c r="G88" s="28" t="s">
        <v>359</v>
      </c>
      <c r="H88" s="120">
        <f>'General inputs'!H104</f>
        <v>30176405.733376</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600</v>
      </c>
      <c r="F90" s="28"/>
      <c r="G90" s="28" t="s">
        <v>359</v>
      </c>
      <c r="H90" s="98">
        <f>H86 + H87 * H84 + H88</f>
        <v>164045041.03068772</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601</v>
      </c>
      <c r="H94" s="63"/>
      <c r="L94" s="63"/>
      <c r="M94" s="63"/>
      <c r="N94" s="63"/>
      <c r="O94" s="63"/>
      <c r="P94" s="63"/>
      <c r="Q94" s="63"/>
      <c r="R94" s="63"/>
      <c r="S94" s="63"/>
      <c r="T94" s="63"/>
      <c r="U94" s="63"/>
    </row>
    <row r="95" spans="3:23" x14ac:dyDescent="0.3">
      <c r="D95" s="29" t="s">
        <v>602</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603</v>
      </c>
      <c r="F97" s="28"/>
      <c r="G97" s="28" t="s">
        <v>359</v>
      </c>
      <c r="I97" t="s">
        <v>156</v>
      </c>
      <c r="J97" s="79"/>
      <c r="K97" s="98">
        <f t="shared" ref="K97:U97" si="8">K78 * $H$90</f>
        <v>0</v>
      </c>
      <c r="L97" s="98">
        <f t="shared" si="8"/>
        <v>13901221.997825788</v>
      </c>
      <c r="M97" s="98">
        <f t="shared" si="8"/>
        <v>7217784.3466732241</v>
      </c>
      <c r="N97" s="98">
        <f t="shared" si="8"/>
        <v>9563320.6243310124</v>
      </c>
      <c r="O97" s="98">
        <f t="shared" si="8"/>
        <v>19642786.102898482</v>
      </c>
      <c r="P97" s="98">
        <f t="shared" si="8"/>
        <v>1714926.2107467912</v>
      </c>
      <c r="Q97" s="98">
        <f t="shared" si="8"/>
        <v>44937068.33861541</v>
      </c>
      <c r="R97" s="98">
        <f t="shared" si="8"/>
        <v>16244708.283718999</v>
      </c>
      <c r="S97" s="98">
        <f t="shared" si="8"/>
        <v>25165276.693188533</v>
      </c>
      <c r="T97" s="98">
        <f t="shared" si="8"/>
        <v>24562273.164893854</v>
      </c>
      <c r="U97" s="98">
        <f t="shared" si="8"/>
        <v>1095675.2677956149</v>
      </c>
      <c r="W97" s="3" t="s">
        <v>604</v>
      </c>
    </row>
    <row r="98" spans="2:23" x14ac:dyDescent="0.3">
      <c r="E98" s="28" t="s">
        <v>358</v>
      </c>
      <c r="F98" s="28"/>
      <c r="G98" s="28" t="s">
        <v>359</v>
      </c>
      <c r="H98" s="63"/>
      <c r="I98" s="63"/>
      <c r="J98" s="120">
        <f>'General inputs'!$H$97</f>
        <v>11011320.34158282</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605</v>
      </c>
      <c r="F100" s="28"/>
      <c r="G100" s="28" t="s">
        <v>606</v>
      </c>
      <c r="I100" t="s">
        <v>156</v>
      </c>
      <c r="J100" s="98">
        <f t="shared" ref="J100:S100" si="9">IF(J$67 = 0, 0, SUM(J97:J98) / J$67)</f>
        <v>2.7058725763924492</v>
      </c>
      <c r="K100" s="98">
        <f t="shared" si="9"/>
        <v>0</v>
      </c>
      <c r="L100" s="98">
        <f t="shared" si="9"/>
        <v>3.4202927993663312</v>
      </c>
      <c r="M100" s="98">
        <f t="shared" si="9"/>
        <v>1.939774166626578</v>
      </c>
      <c r="N100" s="98">
        <f t="shared" si="9"/>
        <v>2.4130025992791269</v>
      </c>
      <c r="O100" s="98">
        <f t="shared" si="9"/>
        <v>3.9048240840143547</v>
      </c>
      <c r="P100" s="98">
        <f t="shared" si="9"/>
        <v>4.052776641164054</v>
      </c>
      <c r="Q100" s="98">
        <f t="shared" si="9"/>
        <v>8.4434306804873991</v>
      </c>
      <c r="R100" s="98">
        <f t="shared" si="9"/>
        <v>3.9098533907280424</v>
      </c>
      <c r="S100" s="98">
        <f t="shared" si="9"/>
        <v>8.0092079025061693</v>
      </c>
      <c r="T100" s="79"/>
      <c r="U100" s="79"/>
      <c r="W100" s="3" t="s">
        <v>607</v>
      </c>
    </row>
    <row r="101" spans="2:23" x14ac:dyDescent="0.3">
      <c r="J101" s="89"/>
      <c r="K101" s="89"/>
      <c r="L101" s="89"/>
      <c r="M101" s="89"/>
      <c r="N101" s="89"/>
      <c r="O101" s="89"/>
      <c r="P101" s="89"/>
      <c r="Q101" s="89"/>
      <c r="R101" s="89"/>
      <c r="S101" s="89"/>
      <c r="T101" s="89"/>
      <c r="U101" s="89"/>
    </row>
    <row r="102" spans="2:23" x14ac:dyDescent="0.3">
      <c r="B102" s="30" t="s">
        <v>608</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609</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596</v>
      </c>
      <c r="F108" s="28"/>
      <c r="G108" s="28" t="s">
        <v>279</v>
      </c>
      <c r="J108" s="79"/>
      <c r="K108" s="121">
        <f t="shared" ref="K108:U108" si="10">K76</f>
        <v>0</v>
      </c>
      <c r="L108" s="121">
        <f t="shared" si="10"/>
        <v>480846901.7579394</v>
      </c>
      <c r="M108" s="121">
        <f t="shared" si="10"/>
        <v>249665046.79930994</v>
      </c>
      <c r="N108" s="121">
        <f t="shared" si="10"/>
        <v>330797759.61038488</v>
      </c>
      <c r="O108" s="121">
        <f t="shared" si="10"/>
        <v>679449104.61468136</v>
      </c>
      <c r="P108" s="121">
        <f t="shared" si="10"/>
        <v>59319745.797171734</v>
      </c>
      <c r="Q108" s="121">
        <f t="shared" si="10"/>
        <v>1554384937.3880637</v>
      </c>
      <c r="R108" s="121">
        <f t="shared" si="10"/>
        <v>561908704.81814635</v>
      </c>
      <c r="S108" s="121">
        <f t="shared" si="10"/>
        <v>870473497.34387243</v>
      </c>
      <c r="T108" s="121">
        <f t="shared" si="10"/>
        <v>849615447.71521747</v>
      </c>
      <c r="U108" s="121">
        <f t="shared" si="10"/>
        <v>37899693.849556819</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610</v>
      </c>
    </row>
    <row r="113" spans="2:24" x14ac:dyDescent="0.3">
      <c r="B113" s="29"/>
      <c r="D113" s="29"/>
    </row>
    <row r="114" spans="2:24" x14ac:dyDescent="0.3">
      <c r="E114" t="s">
        <v>586</v>
      </c>
      <c r="F114" s="177"/>
      <c r="G114" s="28" t="s">
        <v>606</v>
      </c>
      <c r="H114" s="3"/>
      <c r="I114" s="3"/>
      <c r="J114" s="79"/>
      <c r="K114" s="79"/>
      <c r="L114" s="121">
        <f t="shared" ref="L114:S114" si="11">L56</f>
        <v>5.3356416578238894</v>
      </c>
      <c r="M114" s="121">
        <f t="shared" si="11"/>
        <v>3.0260391309600432</v>
      </c>
      <c r="N114" s="121">
        <f t="shared" si="11"/>
        <v>3.7642733954053105</v>
      </c>
      <c r="O114" s="121">
        <f t="shared" si="11"/>
        <v>6.0915083214516024</v>
      </c>
      <c r="P114" s="121">
        <f t="shared" si="11"/>
        <v>6.3223136570228027</v>
      </c>
      <c r="Q114" s="121">
        <f t="shared" si="11"/>
        <v>13.17171456259633</v>
      </c>
      <c r="R114" s="121">
        <f t="shared" si="11"/>
        <v>6.0993540177079266</v>
      </c>
      <c r="S114" s="121">
        <f t="shared" si="11"/>
        <v>12.494328947130336</v>
      </c>
      <c r="T114" s="79"/>
      <c r="U114" s="79"/>
    </row>
    <row r="115" spans="2:24" x14ac:dyDescent="0.3">
      <c r="B115" s="29"/>
      <c r="E115" t="s">
        <v>605</v>
      </c>
      <c r="F115" s="28"/>
      <c r="G115" s="28" t="s">
        <v>606</v>
      </c>
      <c r="J115" s="121">
        <f t="shared" ref="J115:S115" si="12">J100</f>
        <v>2.7058725763924492</v>
      </c>
      <c r="K115" s="121">
        <f t="shared" si="12"/>
        <v>0</v>
      </c>
      <c r="L115" s="121">
        <f t="shared" si="12"/>
        <v>3.4202927993663312</v>
      </c>
      <c r="M115" s="121">
        <f t="shared" si="12"/>
        <v>1.939774166626578</v>
      </c>
      <c r="N115" s="121">
        <f t="shared" si="12"/>
        <v>2.4130025992791269</v>
      </c>
      <c r="O115" s="121">
        <f t="shared" si="12"/>
        <v>3.9048240840143547</v>
      </c>
      <c r="P115" s="121">
        <f t="shared" si="12"/>
        <v>4.052776641164054</v>
      </c>
      <c r="Q115" s="121">
        <f t="shared" si="12"/>
        <v>8.4434306804873991</v>
      </c>
      <c r="R115" s="121">
        <f t="shared" si="12"/>
        <v>3.9098533907280424</v>
      </c>
      <c r="S115" s="121">
        <f t="shared" si="12"/>
        <v>8.0092079025061693</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611</v>
      </c>
    </row>
    <row r="120" spans="2:24" x14ac:dyDescent="0.3">
      <c r="B120" s="29"/>
      <c r="D120" s="29"/>
    </row>
    <row r="121" spans="2:24" x14ac:dyDescent="0.3">
      <c r="B121" s="29"/>
      <c r="C121" s="32"/>
      <c r="E121" t="s">
        <v>570</v>
      </c>
      <c r="F121" s="28"/>
      <c r="G121" s="28" t="s">
        <v>169</v>
      </c>
      <c r="H121" s="186">
        <f>H25</f>
        <v>4.5099271365789909E-2</v>
      </c>
    </row>
    <row r="122" spans="2:24" x14ac:dyDescent="0.3">
      <c r="B122" s="29"/>
      <c r="C122" s="32"/>
      <c r="E122" t="s">
        <v>600</v>
      </c>
      <c r="F122" s="28"/>
      <c r="G122" s="28" t="s">
        <v>359</v>
      </c>
      <c r="H122" s="121">
        <f>H90</f>
        <v>164045041.03068772</v>
      </c>
    </row>
    <row r="123" spans="2:24" x14ac:dyDescent="0.3">
      <c r="E123" t="s">
        <v>596</v>
      </c>
      <c r="F123" s="28"/>
      <c r="G123" s="28" t="s">
        <v>279</v>
      </c>
      <c r="H123" s="121">
        <f>SUM(K76:U76)</f>
        <v>5674360839.6943445</v>
      </c>
      <c r="X123" s="63"/>
    </row>
    <row r="124" spans="2:24" x14ac:dyDescent="0.3">
      <c r="B124" s="29"/>
      <c r="C124" s="32"/>
    </row>
    <row r="125" spans="2:24" x14ac:dyDescent="0.3">
      <c r="B125" s="30" t="s">
        <v>233</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234</v>
      </c>
      <c r="G127" s="6" t="s">
        <v>57</v>
      </c>
      <c r="H127" s="187">
        <f t="array" ref="H127">SUM(IF(ISERROR(H23:U123), 1))</f>
        <v>0</v>
      </c>
    </row>
    <row r="129" spans="2:23" x14ac:dyDescent="0.3">
      <c r="E129" t="s">
        <v>612</v>
      </c>
      <c r="G129" s="6" t="s">
        <v>57</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241</v>
      </c>
      <c r="G131" s="6" t="s">
        <v>57</v>
      </c>
      <c r="H131" s="103">
        <f>H127 + H129</f>
        <v>0</v>
      </c>
    </row>
    <row r="133" spans="2:23" x14ac:dyDescent="0.3">
      <c r="B133" s="30" t="s">
        <v>108</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6" spans="1:27" x14ac:dyDescent="0.3">
      <c r="H6" s="3"/>
      <c r="I6" s="3"/>
      <c r="J6" s="3"/>
      <c r="K6" s="3"/>
      <c r="L6" s="3"/>
      <c r="M6" s="3"/>
      <c r="N6" s="3"/>
      <c r="P6" s="3"/>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613</v>
      </c>
      <c r="E9" s="28"/>
    </row>
    <row r="11" spans="1:27" x14ac:dyDescent="0.3">
      <c r="B11" s="30" t="s">
        <v>614</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615</v>
      </c>
    </row>
    <row r="17" spans="5:27" x14ac:dyDescent="0.3">
      <c r="E17" s="32" t="s">
        <v>616</v>
      </c>
      <c r="G17" s="28"/>
      <c r="H17" s="3"/>
      <c r="I17" s="3" t="s">
        <v>156</v>
      </c>
      <c r="AA17" t="s">
        <v>617</v>
      </c>
    </row>
    <row r="18" spans="5:27" x14ac:dyDescent="0.3">
      <c r="F18" s="190" t="s">
        <v>191</v>
      </c>
      <c r="G18" s="64" t="s">
        <v>587</v>
      </c>
      <c r="H18" s="83"/>
    </row>
    <row r="19" spans="5:27" x14ac:dyDescent="0.3">
      <c r="F19" s="191" t="s">
        <v>193</v>
      </c>
      <c r="G19" s="28" t="s">
        <v>587</v>
      </c>
      <c r="H19" s="79"/>
    </row>
    <row r="20" spans="5:27" x14ac:dyDescent="0.3">
      <c r="F20" s="191" t="s">
        <v>194</v>
      </c>
      <c r="G20" s="28" t="s">
        <v>587</v>
      </c>
      <c r="H20" s="194">
        <f t="array" ref="H20:H27">TRANSPOSE('Unit costs'!L114:S114)</f>
        <v>5.3356416578238894</v>
      </c>
    </row>
    <row r="21" spans="5:27" x14ac:dyDescent="0.3">
      <c r="F21" s="191" t="s">
        <v>195</v>
      </c>
      <c r="G21" s="28" t="s">
        <v>587</v>
      </c>
      <c r="H21" s="194">
        <v>3.0260391309600432</v>
      </c>
    </row>
    <row r="22" spans="5:27" x14ac:dyDescent="0.3">
      <c r="F22" s="191" t="s">
        <v>196</v>
      </c>
      <c r="G22" s="28" t="s">
        <v>587</v>
      </c>
      <c r="H22" s="194">
        <v>3.7642733954053105</v>
      </c>
    </row>
    <row r="23" spans="5:27" x14ac:dyDescent="0.3">
      <c r="F23" s="191" t="s">
        <v>197</v>
      </c>
      <c r="G23" s="28" t="s">
        <v>587</v>
      </c>
      <c r="H23" s="194">
        <v>6.0915083214516024</v>
      </c>
    </row>
    <row r="24" spans="5:27" x14ac:dyDescent="0.3">
      <c r="F24" s="191" t="s">
        <v>198</v>
      </c>
      <c r="G24" s="28" t="s">
        <v>587</v>
      </c>
      <c r="H24" s="194">
        <v>6.3223136570228027</v>
      </c>
    </row>
    <row r="25" spans="5:27" x14ac:dyDescent="0.3">
      <c r="F25" s="191" t="s">
        <v>199</v>
      </c>
      <c r="G25" s="28" t="s">
        <v>587</v>
      </c>
      <c r="H25" s="194">
        <v>13.17171456259633</v>
      </c>
    </row>
    <row r="26" spans="5:27" x14ac:dyDescent="0.3">
      <c r="F26" s="191" t="s">
        <v>200</v>
      </c>
      <c r="G26" s="28" t="s">
        <v>587</v>
      </c>
      <c r="H26" s="194">
        <v>6.0993540177079266</v>
      </c>
    </row>
    <row r="27" spans="5:27" x14ac:dyDescent="0.3">
      <c r="F27" s="192" t="s">
        <v>201</v>
      </c>
      <c r="G27" s="67" t="s">
        <v>587</v>
      </c>
      <c r="H27" s="195">
        <v>12.494328947130336</v>
      </c>
    </row>
    <row r="28" spans="5:27" x14ac:dyDescent="0.3">
      <c r="F28" s="191"/>
      <c r="G28" s="28"/>
      <c r="H28" s="120"/>
    </row>
    <row r="29" spans="5:27" x14ac:dyDescent="0.3">
      <c r="E29" s="32" t="s">
        <v>618</v>
      </c>
      <c r="G29" s="28"/>
      <c r="H29" s="89"/>
    </row>
    <row r="30" spans="5:27" x14ac:dyDescent="0.3">
      <c r="F30" s="190" t="s">
        <v>191</v>
      </c>
      <c r="G30" s="64" t="s">
        <v>606</v>
      </c>
      <c r="H30" s="193">
        <f t="array" ref="H30:H39">TRANSPOSE('Unit costs'!J115:S115)</f>
        <v>2.7058725763924492</v>
      </c>
    </row>
    <row r="31" spans="5:27" x14ac:dyDescent="0.3">
      <c r="F31" s="191" t="s">
        <v>193</v>
      </c>
      <c r="G31" s="28" t="s">
        <v>606</v>
      </c>
      <c r="H31" s="194">
        <v>0</v>
      </c>
    </row>
    <row r="32" spans="5:27" x14ac:dyDescent="0.3">
      <c r="F32" s="191" t="s">
        <v>194</v>
      </c>
      <c r="G32" s="28" t="s">
        <v>606</v>
      </c>
      <c r="H32" s="194">
        <v>3.4202927993663312</v>
      </c>
    </row>
    <row r="33" spans="5:16" x14ac:dyDescent="0.3">
      <c r="F33" s="191" t="s">
        <v>195</v>
      </c>
      <c r="G33" s="28" t="s">
        <v>606</v>
      </c>
      <c r="H33" s="194">
        <v>1.939774166626578</v>
      </c>
      <c r="J33" s="63"/>
      <c r="K33" s="63"/>
      <c r="L33" s="63"/>
      <c r="M33" s="63"/>
      <c r="N33" s="63"/>
    </row>
    <row r="34" spans="5:16" x14ac:dyDescent="0.3">
      <c r="F34" s="191" t="s">
        <v>196</v>
      </c>
      <c r="G34" s="28" t="s">
        <v>606</v>
      </c>
      <c r="H34" s="194">
        <v>2.4130025992791269</v>
      </c>
      <c r="J34" s="63"/>
      <c r="K34" s="63"/>
      <c r="L34" s="63"/>
      <c r="M34" s="63"/>
      <c r="N34" s="63"/>
    </row>
    <row r="35" spans="5:16" x14ac:dyDescent="0.3">
      <c r="F35" s="191" t="s">
        <v>197</v>
      </c>
      <c r="G35" s="28" t="s">
        <v>606</v>
      </c>
      <c r="H35" s="194">
        <v>3.9048240840143547</v>
      </c>
      <c r="J35" s="63"/>
      <c r="K35" s="63"/>
      <c r="L35" s="63"/>
      <c r="M35" s="63"/>
      <c r="N35" s="63"/>
    </row>
    <row r="36" spans="5:16" x14ac:dyDescent="0.3">
      <c r="F36" s="191" t="s">
        <v>198</v>
      </c>
      <c r="G36" s="28" t="s">
        <v>606</v>
      </c>
      <c r="H36" s="194">
        <v>4.052776641164054</v>
      </c>
      <c r="J36" s="63"/>
      <c r="K36" s="63"/>
      <c r="L36" s="63"/>
      <c r="M36" s="63"/>
      <c r="N36" s="63"/>
    </row>
    <row r="37" spans="5:16" x14ac:dyDescent="0.3">
      <c r="F37" s="191" t="s">
        <v>199</v>
      </c>
      <c r="G37" s="28" t="s">
        <v>606</v>
      </c>
      <c r="H37" s="194">
        <v>8.4434306804873991</v>
      </c>
      <c r="J37" s="63"/>
      <c r="K37" s="63"/>
      <c r="L37" s="63"/>
      <c r="M37" s="63"/>
      <c r="N37" s="63"/>
      <c r="O37" s="63"/>
    </row>
    <row r="38" spans="5:16" x14ac:dyDescent="0.3">
      <c r="F38" s="191" t="s">
        <v>200</v>
      </c>
      <c r="G38" s="28" t="s">
        <v>606</v>
      </c>
      <c r="H38" s="194">
        <v>3.9098533907280424</v>
      </c>
      <c r="J38" s="63"/>
      <c r="K38" s="63"/>
      <c r="L38" s="63"/>
      <c r="M38" s="63"/>
      <c r="N38" s="63"/>
      <c r="O38" s="63"/>
    </row>
    <row r="39" spans="5:16" x14ac:dyDescent="0.3">
      <c r="F39" s="192" t="s">
        <v>201</v>
      </c>
      <c r="G39" s="67" t="s">
        <v>606</v>
      </c>
      <c r="H39" s="195">
        <v>8.0092079025061693</v>
      </c>
      <c r="J39" s="63"/>
      <c r="K39" s="63"/>
      <c r="L39" s="63"/>
      <c r="M39" s="63"/>
      <c r="N39" s="63"/>
      <c r="O39" s="63"/>
    </row>
    <row r="40" spans="5:16" x14ac:dyDescent="0.3">
      <c r="G40" s="28"/>
      <c r="H40" s="89"/>
      <c r="J40" s="63"/>
      <c r="K40" s="63"/>
      <c r="L40" s="63"/>
      <c r="M40" s="63"/>
      <c r="N40" s="63"/>
      <c r="O40" s="63"/>
    </row>
    <row r="41" spans="5:16" x14ac:dyDescent="0.3">
      <c r="E41" s="32" t="s">
        <v>619</v>
      </c>
      <c r="F41" s="32"/>
      <c r="H41" s="127"/>
      <c r="I41" s="3"/>
      <c r="J41" s="63"/>
      <c r="K41" s="63"/>
      <c r="L41" s="63"/>
      <c r="M41" s="63"/>
      <c r="N41" s="63"/>
      <c r="O41" s="63"/>
      <c r="P41" s="3"/>
    </row>
    <row r="42" spans="5:16" x14ac:dyDescent="0.3">
      <c r="E42" s="29" t="s">
        <v>620</v>
      </c>
      <c r="F42" s="29"/>
      <c r="H42" s="127"/>
      <c r="I42" s="3"/>
      <c r="J42" s="63"/>
      <c r="K42" s="63"/>
      <c r="L42" s="63"/>
      <c r="M42" s="63"/>
      <c r="N42" s="63"/>
      <c r="O42" s="63"/>
      <c r="P42" s="3"/>
    </row>
    <row r="43" spans="5:16" x14ac:dyDescent="0.3">
      <c r="F43" s="23" t="s">
        <v>191</v>
      </c>
      <c r="G43" s="23" t="s">
        <v>285</v>
      </c>
      <c r="H43" s="124">
        <f t="array" ref="H43:H52">TRANSPOSE('Load &amp; loss characteristics'!J29:S29)</f>
        <v>1</v>
      </c>
      <c r="I43" s="3"/>
      <c r="J43" s="63"/>
      <c r="K43" s="63"/>
      <c r="L43" s="63"/>
      <c r="M43" s="63"/>
      <c r="N43" s="63"/>
      <c r="O43" s="63"/>
    </row>
    <row r="44" spans="5:16" x14ac:dyDescent="0.3">
      <c r="F44" t="s">
        <v>193</v>
      </c>
      <c r="G44" t="s">
        <v>285</v>
      </c>
      <c r="H44" s="120">
        <v>1</v>
      </c>
      <c r="I44" s="3"/>
      <c r="J44" s="63"/>
      <c r="K44" s="63"/>
      <c r="L44" s="63"/>
      <c r="M44" s="63"/>
      <c r="N44" s="63"/>
      <c r="O44" s="63"/>
    </row>
    <row r="45" spans="5:16" x14ac:dyDescent="0.3">
      <c r="F45" t="s">
        <v>194</v>
      </c>
      <c r="G45" t="s">
        <v>285</v>
      </c>
      <c r="H45" s="120">
        <v>1.002</v>
      </c>
      <c r="I45" s="3"/>
      <c r="J45" s="63"/>
      <c r="K45" s="63"/>
      <c r="L45" s="63"/>
      <c r="M45" s="63"/>
      <c r="N45" s="63"/>
      <c r="O45" s="63"/>
    </row>
    <row r="46" spans="5:16" x14ac:dyDescent="0.3">
      <c r="F46" t="s">
        <v>195</v>
      </c>
      <c r="G46" t="s">
        <v>285</v>
      </c>
      <c r="H46" s="120">
        <v>1.006</v>
      </c>
      <c r="J46" s="63"/>
      <c r="K46" s="63"/>
      <c r="L46" s="63"/>
      <c r="M46" s="63"/>
      <c r="N46" s="63"/>
      <c r="O46" s="63"/>
    </row>
    <row r="47" spans="5:16" x14ac:dyDescent="0.3">
      <c r="F47" t="s">
        <v>196</v>
      </c>
      <c r="G47" t="s">
        <v>285</v>
      </c>
      <c r="H47" s="120">
        <v>1.0129999999999999</v>
      </c>
      <c r="I47" s="3"/>
      <c r="J47" s="63"/>
      <c r="K47" s="63"/>
      <c r="L47" s="63"/>
      <c r="M47" s="63"/>
      <c r="N47" s="63"/>
      <c r="O47" s="63"/>
    </row>
    <row r="48" spans="5:16" x14ac:dyDescent="0.3">
      <c r="F48" t="s">
        <v>197</v>
      </c>
      <c r="G48" t="s">
        <v>285</v>
      </c>
      <c r="H48" s="120">
        <v>1.0189999999999999</v>
      </c>
      <c r="I48" s="3"/>
      <c r="J48" s="63"/>
      <c r="K48" s="63"/>
      <c r="L48" s="63"/>
      <c r="M48" s="63"/>
      <c r="N48" s="63"/>
      <c r="O48" s="63"/>
    </row>
    <row r="49" spans="4:25" x14ac:dyDescent="0.3">
      <c r="F49" t="s">
        <v>198</v>
      </c>
      <c r="G49" t="s">
        <v>285</v>
      </c>
      <c r="H49" s="120">
        <v>1.0189999999999999</v>
      </c>
      <c r="I49" s="3"/>
      <c r="J49" s="63"/>
      <c r="K49" s="63"/>
      <c r="L49" s="63"/>
      <c r="M49" s="63"/>
      <c r="N49" s="63"/>
      <c r="O49" s="63"/>
    </row>
    <row r="50" spans="4:25" x14ac:dyDescent="0.3">
      <c r="F50" t="s">
        <v>199</v>
      </c>
      <c r="G50" t="s">
        <v>285</v>
      </c>
      <c r="H50" s="120">
        <v>1.034</v>
      </c>
      <c r="J50" s="63"/>
      <c r="K50" s="63"/>
      <c r="L50" s="63"/>
      <c r="M50" s="63"/>
      <c r="N50" s="63"/>
      <c r="O50" s="63"/>
    </row>
    <row r="51" spans="4:25" x14ac:dyDescent="0.3">
      <c r="F51" t="s">
        <v>200</v>
      </c>
      <c r="G51" t="s">
        <v>285</v>
      </c>
      <c r="H51" s="120">
        <v>1.046</v>
      </c>
      <c r="I51" s="3"/>
      <c r="J51" s="63"/>
      <c r="K51" s="63"/>
      <c r="L51" s="63"/>
      <c r="M51" s="63"/>
      <c r="N51" s="63"/>
      <c r="O51" s="63"/>
    </row>
    <row r="52" spans="4:25" x14ac:dyDescent="0.3">
      <c r="F52" s="37" t="s">
        <v>201</v>
      </c>
      <c r="G52" s="37" t="s">
        <v>285</v>
      </c>
      <c r="H52" s="125">
        <v>1.075</v>
      </c>
      <c r="I52" s="3"/>
      <c r="J52" s="63"/>
      <c r="K52" s="63"/>
      <c r="L52" s="63"/>
      <c r="M52" s="63"/>
      <c r="N52" s="63"/>
      <c r="O52" s="63"/>
    </row>
    <row r="53" spans="4:25" x14ac:dyDescent="0.3">
      <c r="G53" s="28"/>
      <c r="H53" s="3"/>
      <c r="I53" s="3"/>
      <c r="J53" s="63"/>
      <c r="K53" s="63"/>
      <c r="L53" s="63"/>
      <c r="M53" s="63"/>
      <c r="N53" s="63"/>
      <c r="O53" s="63"/>
    </row>
    <row r="54" spans="4:25" x14ac:dyDescent="0.3">
      <c r="E54" s="32" t="s">
        <v>410</v>
      </c>
      <c r="F54" s="32"/>
      <c r="J54" s="63"/>
      <c r="L54" s="63"/>
    </row>
    <row r="55" spans="4:25" x14ac:dyDescent="0.3">
      <c r="D55" s="32"/>
      <c r="E55" s="32"/>
      <c r="F55" s="190" t="s">
        <v>191</v>
      </c>
      <c r="G55" s="23" t="s">
        <v>285</v>
      </c>
      <c r="H55" s="23"/>
      <c r="I55" s="23"/>
      <c r="J55" s="193">
        <f t="array" ref="J55:Y64">TRANSPOSE('Load &amp; loss characteristics'!J145:S160)</f>
        <v>1.075</v>
      </c>
      <c r="K55" s="193">
        <v>1.075</v>
      </c>
      <c r="L55" s="193">
        <v>1.075</v>
      </c>
      <c r="M55" s="193">
        <v>1.075</v>
      </c>
      <c r="N55" s="193">
        <v>1.075</v>
      </c>
      <c r="O55" s="193">
        <v>1.046</v>
      </c>
      <c r="P55" s="193">
        <v>1.034</v>
      </c>
      <c r="Q55" s="193">
        <v>1.075</v>
      </c>
      <c r="R55" s="193">
        <v>-1.075</v>
      </c>
      <c r="S55" s="193">
        <v>-1.046</v>
      </c>
      <c r="T55" s="193">
        <v>-1.075</v>
      </c>
      <c r="U55" s="193">
        <v>-1.075</v>
      </c>
      <c r="V55" s="193">
        <v>-1.046</v>
      </c>
      <c r="W55" s="193">
        <v>-1.046</v>
      </c>
      <c r="X55" s="193">
        <v>-1.034</v>
      </c>
      <c r="Y55" s="193">
        <v>-1.034</v>
      </c>
    </row>
    <row r="56" spans="4:25" x14ac:dyDescent="0.3">
      <c r="D56" s="32"/>
      <c r="E56" s="32"/>
      <c r="F56" s="191" t="s">
        <v>193</v>
      </c>
      <c r="G56" t="s">
        <v>285</v>
      </c>
      <c r="J56" s="194">
        <v>1.075</v>
      </c>
      <c r="K56" s="194">
        <v>1.075</v>
      </c>
      <c r="L56" s="194">
        <v>1.075</v>
      </c>
      <c r="M56" s="194">
        <v>1.075</v>
      </c>
      <c r="N56" s="194">
        <v>1.075</v>
      </c>
      <c r="O56" s="194">
        <v>1.046</v>
      </c>
      <c r="P56" s="194">
        <v>1.034</v>
      </c>
      <c r="Q56" s="194">
        <v>1.075</v>
      </c>
      <c r="R56" s="194">
        <v>-1.075</v>
      </c>
      <c r="S56" s="194">
        <v>-1.046</v>
      </c>
      <c r="T56" s="194">
        <v>-1.075</v>
      </c>
      <c r="U56" s="194">
        <v>-1.075</v>
      </c>
      <c r="V56" s="194">
        <v>-1.046</v>
      </c>
      <c r="W56" s="194">
        <v>-1.046</v>
      </c>
      <c r="X56" s="194">
        <v>-1.034</v>
      </c>
      <c r="Y56" s="194">
        <v>-1.034</v>
      </c>
    </row>
    <row r="57" spans="4:25" x14ac:dyDescent="0.3">
      <c r="D57" s="32"/>
      <c r="E57" s="32"/>
      <c r="F57" s="191" t="s">
        <v>194</v>
      </c>
      <c r="G57" t="s">
        <v>285</v>
      </c>
      <c r="J57" s="194">
        <v>1.075</v>
      </c>
      <c r="K57" s="194">
        <v>1.075</v>
      </c>
      <c r="L57" s="194">
        <v>1.075</v>
      </c>
      <c r="M57" s="194">
        <v>1.075</v>
      </c>
      <c r="N57" s="194">
        <v>1.075</v>
      </c>
      <c r="O57" s="194">
        <v>1.046</v>
      </c>
      <c r="P57" s="194">
        <v>1.034</v>
      </c>
      <c r="Q57" s="194">
        <v>1.075</v>
      </c>
      <c r="R57" s="194">
        <v>-1.075</v>
      </c>
      <c r="S57" s="194">
        <v>-1.046</v>
      </c>
      <c r="T57" s="194">
        <v>-1.075</v>
      </c>
      <c r="U57" s="194">
        <v>-1.075</v>
      </c>
      <c r="V57" s="194">
        <v>-1.046</v>
      </c>
      <c r="W57" s="194">
        <v>-1.046</v>
      </c>
      <c r="X57" s="194">
        <v>-1.034</v>
      </c>
      <c r="Y57" s="194">
        <v>-1.034</v>
      </c>
    </row>
    <row r="58" spans="4:25" x14ac:dyDescent="0.3">
      <c r="D58" s="32"/>
      <c r="E58" s="32"/>
      <c r="F58" s="191" t="s">
        <v>195</v>
      </c>
      <c r="G58" t="s">
        <v>285</v>
      </c>
      <c r="J58" s="194">
        <v>0.99432733158533149</v>
      </c>
      <c r="K58" s="194">
        <v>0.99432733158533149</v>
      </c>
      <c r="L58" s="194">
        <v>0.99432733158533149</v>
      </c>
      <c r="M58" s="194">
        <v>0.99432733158533149</v>
      </c>
      <c r="N58" s="194">
        <v>0.99432733158533149</v>
      </c>
      <c r="O58" s="194">
        <v>0.96750361752395975</v>
      </c>
      <c r="P58" s="194">
        <v>0.95640414963649567</v>
      </c>
      <c r="Q58" s="194">
        <v>0.99432733158533149</v>
      </c>
      <c r="R58" s="194">
        <v>-0.99432733158533149</v>
      </c>
      <c r="S58" s="194">
        <v>-0.96750361752395975</v>
      </c>
      <c r="T58" s="194">
        <v>-0.99432733158533149</v>
      </c>
      <c r="U58" s="194">
        <v>-0.99432733158533149</v>
      </c>
      <c r="V58" s="194">
        <v>-0.96750361752395975</v>
      </c>
      <c r="W58" s="194">
        <v>-0.96750361752395975</v>
      </c>
      <c r="X58" s="194">
        <v>-0.95640414963649567</v>
      </c>
      <c r="Y58" s="194">
        <v>-0.95640414963649567</v>
      </c>
    </row>
    <row r="59" spans="4:25" x14ac:dyDescent="0.3">
      <c r="D59" s="32"/>
      <c r="E59" s="32"/>
      <c r="F59" s="191" t="s">
        <v>196</v>
      </c>
      <c r="G59" t="s">
        <v>285</v>
      </c>
      <c r="J59" s="194">
        <v>0.99432733158533149</v>
      </c>
      <c r="K59" s="194">
        <v>0.99432733158533149</v>
      </c>
      <c r="L59" s="194">
        <v>0.99432733158533149</v>
      </c>
      <c r="M59" s="194">
        <v>0.99432733158533149</v>
      </c>
      <c r="N59" s="194">
        <v>0.99432733158533149</v>
      </c>
      <c r="O59" s="194">
        <v>0.96750361752395975</v>
      </c>
      <c r="P59" s="194">
        <v>0.95640414963649567</v>
      </c>
      <c r="Q59" s="194">
        <v>0.99432733158533149</v>
      </c>
      <c r="R59" s="194">
        <v>-0.99432733158533149</v>
      </c>
      <c r="S59" s="194">
        <v>-0.96750361752395975</v>
      </c>
      <c r="T59" s="194">
        <v>-0.99432733158533149</v>
      </c>
      <c r="U59" s="194">
        <v>-0.99432733158533149</v>
      </c>
      <c r="V59" s="194">
        <v>-0.96750361752395975</v>
      </c>
      <c r="W59" s="194">
        <v>-0.96750361752395975</v>
      </c>
      <c r="X59" s="194">
        <v>-0.95640414963649567</v>
      </c>
      <c r="Y59" s="194">
        <v>-0.95640414963649567</v>
      </c>
    </row>
    <row r="60" spans="4:25" x14ac:dyDescent="0.3">
      <c r="D60" s="32"/>
      <c r="E60" s="32"/>
      <c r="F60" s="191" t="s">
        <v>197</v>
      </c>
      <c r="G60" t="s">
        <v>285</v>
      </c>
      <c r="J60" s="194">
        <v>0.99432733158533149</v>
      </c>
      <c r="K60" s="194">
        <v>0.99432733158533149</v>
      </c>
      <c r="L60" s="194">
        <v>0.99432733158533149</v>
      </c>
      <c r="M60" s="194">
        <v>0.99432733158533149</v>
      </c>
      <c r="N60" s="194">
        <v>0.99432733158533149</v>
      </c>
      <c r="O60" s="194">
        <v>0.96750361752395975</v>
      </c>
      <c r="P60" s="194">
        <v>0.95640414963649567</v>
      </c>
      <c r="Q60" s="194">
        <v>0.99432733158533149</v>
      </c>
      <c r="R60" s="194">
        <v>-0.99432733158533149</v>
      </c>
      <c r="S60" s="194">
        <v>-0.96750361752395975</v>
      </c>
      <c r="T60" s="194">
        <v>-0.99432733158533149</v>
      </c>
      <c r="U60" s="194">
        <v>-0.99432733158533149</v>
      </c>
      <c r="V60" s="194">
        <v>-0.96750361752395975</v>
      </c>
      <c r="W60" s="194">
        <v>-0.96750361752395975</v>
      </c>
      <c r="X60" s="194">
        <v>-0.95640414963649567</v>
      </c>
      <c r="Y60" s="194">
        <v>-0.95640414963649567</v>
      </c>
    </row>
    <row r="61" spans="4:25" x14ac:dyDescent="0.3">
      <c r="D61" s="32"/>
      <c r="E61" s="32"/>
      <c r="F61" s="191" t="s">
        <v>198</v>
      </c>
      <c r="G61" t="s">
        <v>285</v>
      </c>
      <c r="J61" s="194">
        <v>8.0672668414668511E-2</v>
      </c>
      <c r="K61" s="194">
        <v>8.0672668414668511E-2</v>
      </c>
      <c r="L61" s="194">
        <v>8.0672668414668511E-2</v>
      </c>
      <c r="M61" s="194">
        <v>8.0672668414668511E-2</v>
      </c>
      <c r="N61" s="194">
        <v>8.0672668414668511E-2</v>
      </c>
      <c r="O61" s="194">
        <v>7.8496382476040252E-2</v>
      </c>
      <c r="P61" s="194">
        <v>7.7595850363504415E-2</v>
      </c>
      <c r="Q61" s="194">
        <v>8.0672668414668511E-2</v>
      </c>
      <c r="R61" s="194">
        <v>-8.0672668414668511E-2</v>
      </c>
      <c r="S61" s="194">
        <v>-7.8496382476040252E-2</v>
      </c>
      <c r="T61" s="194">
        <v>-8.0672668414668511E-2</v>
      </c>
      <c r="U61" s="194">
        <v>-8.0672668414668511E-2</v>
      </c>
      <c r="V61" s="194">
        <v>-7.8496382476040252E-2</v>
      </c>
      <c r="W61" s="194">
        <v>-7.8496382476040252E-2</v>
      </c>
      <c r="X61" s="194">
        <v>-7.7595850363504415E-2</v>
      </c>
      <c r="Y61" s="194">
        <v>-7.7595850363504415E-2</v>
      </c>
    </row>
    <row r="62" spans="4:25" x14ac:dyDescent="0.3">
      <c r="D62" s="32"/>
      <c r="E62" s="32"/>
      <c r="F62" s="191" t="s">
        <v>199</v>
      </c>
      <c r="G62" t="s">
        <v>285</v>
      </c>
      <c r="J62" s="194">
        <v>1.075</v>
      </c>
      <c r="K62" s="194">
        <v>1.075</v>
      </c>
      <c r="L62" s="194">
        <v>1.075</v>
      </c>
      <c r="M62" s="194">
        <v>1.075</v>
      </c>
      <c r="N62" s="194">
        <v>1.075</v>
      </c>
      <c r="O62" s="194">
        <v>1.046</v>
      </c>
      <c r="P62" s="194">
        <v>1.034</v>
      </c>
      <c r="Q62" s="194">
        <v>1.075</v>
      </c>
      <c r="R62" s="194">
        <v>-1.075</v>
      </c>
      <c r="S62" s="194">
        <v>-1.046</v>
      </c>
      <c r="T62" s="194">
        <v>-1.075</v>
      </c>
      <c r="U62" s="194">
        <v>-1.075</v>
      </c>
      <c r="V62" s="194">
        <v>-1.046</v>
      </c>
      <c r="W62" s="194">
        <v>-1.046</v>
      </c>
      <c r="X62" s="194">
        <v>0</v>
      </c>
      <c r="Y62" s="194">
        <v>0</v>
      </c>
    </row>
    <row r="63" spans="4:25" x14ac:dyDescent="0.3">
      <c r="D63" s="32"/>
      <c r="E63" s="32"/>
      <c r="F63" s="191" t="s">
        <v>200</v>
      </c>
      <c r="G63" t="s">
        <v>285</v>
      </c>
      <c r="J63" s="194">
        <v>1.075</v>
      </c>
      <c r="K63" s="194">
        <v>1.075</v>
      </c>
      <c r="L63" s="194">
        <v>1.075</v>
      </c>
      <c r="M63" s="194">
        <v>1.075</v>
      </c>
      <c r="N63" s="194">
        <v>1.075</v>
      </c>
      <c r="O63" s="194">
        <v>1.046</v>
      </c>
      <c r="P63" s="194">
        <v>0</v>
      </c>
      <c r="Q63" s="194">
        <v>1.075</v>
      </c>
      <c r="R63" s="194">
        <v>-1.075</v>
      </c>
      <c r="S63" s="194">
        <v>0</v>
      </c>
      <c r="T63" s="194">
        <v>-1.075</v>
      </c>
      <c r="U63" s="194">
        <v>-1.075</v>
      </c>
      <c r="V63" s="194">
        <v>0</v>
      </c>
      <c r="W63" s="194">
        <v>0</v>
      </c>
      <c r="X63" s="194">
        <v>0</v>
      </c>
      <c r="Y63" s="194">
        <v>0</v>
      </c>
    </row>
    <row r="64" spans="4:25" x14ac:dyDescent="0.3">
      <c r="D64" s="32"/>
      <c r="E64" s="32"/>
      <c r="F64" s="192" t="s">
        <v>201</v>
      </c>
      <c r="G64" s="37" t="s">
        <v>285</v>
      </c>
      <c r="H64" s="37"/>
      <c r="I64" s="37"/>
      <c r="J64" s="195">
        <v>1.075</v>
      </c>
      <c r="K64" s="195">
        <v>1.075</v>
      </c>
      <c r="L64" s="195">
        <v>1.075</v>
      </c>
      <c r="M64" s="195">
        <v>1.075</v>
      </c>
      <c r="N64" s="195">
        <v>1.075</v>
      </c>
      <c r="O64" s="195">
        <v>0</v>
      </c>
      <c r="P64" s="195">
        <v>0</v>
      </c>
      <c r="Q64" s="195">
        <v>1.075</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418</v>
      </c>
      <c r="J66" s="163"/>
      <c r="K66" s="163"/>
      <c r="L66" s="163"/>
      <c r="M66" s="163"/>
      <c r="N66" s="163"/>
      <c r="O66" s="163"/>
      <c r="P66" s="163"/>
      <c r="Q66" s="163"/>
      <c r="R66" s="163"/>
      <c r="S66" s="163"/>
      <c r="T66" s="163"/>
      <c r="U66" s="163"/>
      <c r="V66" s="163"/>
      <c r="W66" s="163"/>
      <c r="X66" s="163"/>
      <c r="Y66" s="163"/>
    </row>
    <row r="67" spans="3:25" x14ac:dyDescent="0.3">
      <c r="D67" s="32"/>
      <c r="E67" s="32"/>
      <c r="F67" s="190" t="s">
        <v>191</v>
      </c>
      <c r="G67" s="64" t="s">
        <v>169</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193</v>
      </c>
      <c r="G68" s="28" t="s">
        <v>169</v>
      </c>
      <c r="J68" s="197"/>
      <c r="K68" s="197"/>
      <c r="L68" s="197"/>
      <c r="M68" s="197"/>
      <c r="N68" s="197"/>
      <c r="O68" s="197"/>
      <c r="P68" s="197"/>
      <c r="Q68" s="197"/>
      <c r="R68" s="197"/>
      <c r="S68" s="197"/>
      <c r="T68" s="197"/>
      <c r="U68" s="197"/>
      <c r="V68" s="197"/>
      <c r="W68" s="197"/>
      <c r="X68" s="197"/>
      <c r="Y68" s="197"/>
    </row>
    <row r="69" spans="3:25" x14ac:dyDescent="0.3">
      <c r="D69" s="32"/>
      <c r="E69" s="32"/>
      <c r="F69" s="191" t="s">
        <v>194</v>
      </c>
      <c r="G69" s="28" t="s">
        <v>169</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195</v>
      </c>
      <c r="G70" s="28" t="s">
        <v>169</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3">
      <c r="D71" s="32"/>
      <c r="E71" s="32"/>
      <c r="F71" s="191" t="s">
        <v>196</v>
      </c>
      <c r="G71" s="28" t="s">
        <v>169</v>
      </c>
      <c r="J71" s="194">
        <v>0</v>
      </c>
      <c r="K71" s="194">
        <v>0</v>
      </c>
      <c r="L71" s="194">
        <v>0</v>
      </c>
      <c r="M71" s="194">
        <v>0</v>
      </c>
      <c r="N71" s="194">
        <v>0</v>
      </c>
      <c r="O71" s="194">
        <v>0</v>
      </c>
      <c r="P71" s="194">
        <v>6.5420049562801799E-2</v>
      </c>
      <c r="Q71" s="194">
        <v>0</v>
      </c>
      <c r="R71" s="194">
        <v>0</v>
      </c>
      <c r="S71" s="194">
        <v>0</v>
      </c>
      <c r="T71" s="194">
        <v>0</v>
      </c>
      <c r="U71" s="194">
        <v>0</v>
      </c>
      <c r="V71" s="194">
        <v>0</v>
      </c>
      <c r="W71" s="194">
        <v>0</v>
      </c>
      <c r="X71" s="194">
        <v>6.5420049562801799E-2</v>
      </c>
      <c r="Y71" s="194">
        <v>6.5420049562801799E-2</v>
      </c>
    </row>
    <row r="72" spans="3:25" x14ac:dyDescent="0.3">
      <c r="D72" s="32"/>
      <c r="E72" s="32"/>
      <c r="F72" s="191" t="s">
        <v>197</v>
      </c>
      <c r="G72" s="28" t="s">
        <v>169</v>
      </c>
      <c r="J72" s="194">
        <v>0</v>
      </c>
      <c r="K72" s="194">
        <v>0</v>
      </c>
      <c r="L72" s="194">
        <v>0</v>
      </c>
      <c r="M72" s="194">
        <v>0</v>
      </c>
      <c r="N72" s="194">
        <v>0</v>
      </c>
      <c r="O72" s="194">
        <v>0</v>
      </c>
      <c r="P72" s="194">
        <v>0.35162962287700078</v>
      </c>
      <c r="Q72" s="194">
        <v>0</v>
      </c>
      <c r="R72" s="194">
        <v>0</v>
      </c>
      <c r="S72" s="194">
        <v>0</v>
      </c>
      <c r="T72" s="194">
        <v>0</v>
      </c>
      <c r="U72" s="194">
        <v>0</v>
      </c>
      <c r="V72" s="194">
        <v>0</v>
      </c>
      <c r="W72" s="194">
        <v>0</v>
      </c>
      <c r="X72" s="194">
        <v>0.35162962287700078</v>
      </c>
      <c r="Y72" s="194">
        <v>0.35162962287700078</v>
      </c>
    </row>
    <row r="73" spans="3:25" x14ac:dyDescent="0.3">
      <c r="D73" s="32"/>
      <c r="E73" s="32"/>
      <c r="F73" s="191" t="s">
        <v>198</v>
      </c>
      <c r="G73" s="28" t="s">
        <v>169</v>
      </c>
      <c r="J73" s="194">
        <v>0</v>
      </c>
      <c r="K73" s="194">
        <v>0</v>
      </c>
      <c r="L73" s="194">
        <v>0</v>
      </c>
      <c r="M73" s="194">
        <v>0</v>
      </c>
      <c r="N73" s="194">
        <v>0</v>
      </c>
      <c r="O73" s="194">
        <v>0</v>
      </c>
      <c r="P73" s="194">
        <v>0.35162962287700078</v>
      </c>
      <c r="Q73" s="194">
        <v>0</v>
      </c>
      <c r="R73" s="194">
        <v>0</v>
      </c>
      <c r="S73" s="194">
        <v>0</v>
      </c>
      <c r="T73" s="194">
        <v>0</v>
      </c>
      <c r="U73" s="194">
        <v>0</v>
      </c>
      <c r="V73" s="194">
        <v>0</v>
      </c>
      <c r="W73" s="194">
        <v>0</v>
      </c>
      <c r="X73" s="194">
        <v>0.35162962287700078</v>
      </c>
      <c r="Y73" s="194">
        <v>0.35162962287700078</v>
      </c>
    </row>
    <row r="74" spans="3:25" x14ac:dyDescent="0.3">
      <c r="D74" s="32"/>
      <c r="E74" s="32"/>
      <c r="F74" s="191" t="s">
        <v>199</v>
      </c>
      <c r="G74" s="28" t="s">
        <v>169</v>
      </c>
      <c r="J74" s="194">
        <v>0.47913351897273304</v>
      </c>
      <c r="K74" s="194">
        <v>0.47913351897273304</v>
      </c>
      <c r="L74" s="194">
        <v>0.47913351897273304</v>
      </c>
      <c r="M74" s="194">
        <v>0.47913351897273304</v>
      </c>
      <c r="N74" s="194">
        <v>0.47913351897273304</v>
      </c>
      <c r="O74" s="194">
        <v>0.47913351897273304</v>
      </c>
      <c r="P74" s="194">
        <v>0.63783919619119978</v>
      </c>
      <c r="Q74" s="194">
        <v>0.47913351897273304</v>
      </c>
      <c r="R74" s="194">
        <v>0.47913351897273304</v>
      </c>
      <c r="S74" s="194">
        <v>0.47913351897273304</v>
      </c>
      <c r="T74" s="194">
        <v>0.47913351897273304</v>
      </c>
      <c r="U74" s="194">
        <v>0.47913351897273304</v>
      </c>
      <c r="V74" s="194">
        <v>0.47913351897273304</v>
      </c>
      <c r="W74" s="194">
        <v>0.47913351897273304</v>
      </c>
      <c r="X74" s="194">
        <v>0.63783919619119978</v>
      </c>
      <c r="Y74" s="194">
        <v>0.63783919619119978</v>
      </c>
    </row>
    <row r="75" spans="3:25" x14ac:dyDescent="0.3">
      <c r="D75" s="32"/>
      <c r="E75" s="32"/>
      <c r="F75" s="191" t="s">
        <v>200</v>
      </c>
      <c r="G75" s="28" t="s">
        <v>169</v>
      </c>
      <c r="J75" s="194">
        <v>0.70892384564689981</v>
      </c>
      <c r="K75" s="194">
        <v>0.70892384564689981</v>
      </c>
      <c r="L75" s="194">
        <v>0.70892384564689981</v>
      </c>
      <c r="M75" s="194">
        <v>0.70892384564689981</v>
      </c>
      <c r="N75" s="194">
        <v>0.70892384564689981</v>
      </c>
      <c r="O75" s="194">
        <v>0.70892384564689981</v>
      </c>
      <c r="P75" s="194">
        <v>0</v>
      </c>
      <c r="Q75" s="194">
        <v>0.70892384564689981</v>
      </c>
      <c r="R75" s="194">
        <v>0.70892384564689981</v>
      </c>
      <c r="S75" s="194">
        <v>0.70892384564689981</v>
      </c>
      <c r="T75" s="194">
        <v>0.70892384564689981</v>
      </c>
      <c r="U75" s="194">
        <v>0.70892384564689981</v>
      </c>
      <c r="V75" s="194">
        <v>0.70892384564689981</v>
      </c>
      <c r="W75" s="194">
        <v>0.70892384564689981</v>
      </c>
      <c r="X75" s="194">
        <v>0</v>
      </c>
      <c r="Y75" s="194">
        <v>0</v>
      </c>
    </row>
    <row r="76" spans="3:25" x14ac:dyDescent="0.3">
      <c r="D76" s="32"/>
      <c r="E76" s="32"/>
      <c r="F76" s="192" t="s">
        <v>201</v>
      </c>
      <c r="G76" s="67" t="s">
        <v>169</v>
      </c>
      <c r="H76" s="37"/>
      <c r="I76" s="37"/>
      <c r="J76" s="195">
        <v>0.93871417232106646</v>
      </c>
      <c r="K76" s="195">
        <v>0.93871417232106646</v>
      </c>
      <c r="L76" s="195">
        <v>0.93871417232106646</v>
      </c>
      <c r="M76" s="195">
        <v>0.93871417232106646</v>
      </c>
      <c r="N76" s="195">
        <v>0.93871417232106646</v>
      </c>
      <c r="O76" s="195">
        <v>0</v>
      </c>
      <c r="P76" s="195">
        <v>0</v>
      </c>
      <c r="Q76" s="195">
        <v>0.93871417232106646</v>
      </c>
      <c r="R76" s="195">
        <v>0.93871417232106646</v>
      </c>
      <c r="S76" s="195">
        <v>0</v>
      </c>
      <c r="T76" s="195">
        <v>0.93871417232106646</v>
      </c>
      <c r="U76" s="195">
        <v>0.93871417232106646</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474</v>
      </c>
      <c r="F78" s="28"/>
      <c r="G78" s="28" t="s">
        <v>285</v>
      </c>
      <c r="J78" s="194">
        <f>'Pseudo-load coefficients'!J267</f>
        <v>2.065978423704748</v>
      </c>
      <c r="K78" s="194">
        <f>'Pseudo-load coefficients'!K267</f>
        <v>2.065978423704748</v>
      </c>
      <c r="L78" s="194">
        <f>'Pseudo-load coefficients'!L267</f>
        <v>1.661405560978652</v>
      </c>
      <c r="M78" s="194">
        <f>'Pseudo-load coefficients'!M267</f>
        <v>1.661405560978652</v>
      </c>
      <c r="N78" s="194">
        <f>'Pseudo-load coefficients'!N267</f>
        <v>1.3850988885358571</v>
      </c>
      <c r="O78" s="194">
        <f>'Pseudo-load coefficients'!O267</f>
        <v>1.3714830616938842</v>
      </c>
      <c r="P78" s="194">
        <f>'Pseudo-load coefficients'!P267</f>
        <v>1.1109261640870058</v>
      </c>
      <c r="Q78" s="194">
        <f>'Pseudo-load coefficients'!Q267</f>
        <v>1.9382705727401093</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509</v>
      </c>
      <c r="J80" s="163"/>
      <c r="K80" s="163"/>
      <c r="L80" s="163"/>
      <c r="M80" s="163"/>
      <c r="N80" s="163"/>
      <c r="O80" s="163"/>
      <c r="P80" s="163"/>
      <c r="Q80" s="163"/>
      <c r="R80" s="163"/>
      <c r="S80" s="163"/>
      <c r="T80" s="163"/>
      <c r="U80" s="163"/>
      <c r="V80" s="163"/>
      <c r="W80" s="163"/>
      <c r="X80" s="163"/>
      <c r="Y80" s="163"/>
    </row>
    <row r="81" spans="5:25" x14ac:dyDescent="0.3">
      <c r="E81" s="32"/>
      <c r="F81" s="190" t="s">
        <v>191</v>
      </c>
      <c r="G81" s="64" t="s">
        <v>285</v>
      </c>
      <c r="H81" s="23"/>
      <c r="I81" s="23"/>
      <c r="J81" s="433">
        <f>'Pseudo-load coefficients'!J272</f>
        <v>15.824117204777245</v>
      </c>
      <c r="K81" s="433">
        <f>'Pseudo-load coefficients'!K272</f>
        <v>15.824117204777245</v>
      </c>
      <c r="L81" s="433">
        <f>'Pseudo-load coefficients'!L272</f>
        <v>13.840076180538738</v>
      </c>
      <c r="M81" s="433">
        <f>'Pseudo-load coefficients'!M272</f>
        <v>13.840076180538738</v>
      </c>
      <c r="N81" s="433">
        <f>'Pseudo-load coefficients'!N272</f>
        <v>11.761895903478191</v>
      </c>
      <c r="O81" s="433">
        <f>'Pseudo-load coefficients'!O272</f>
        <v>11.072184034591185</v>
      </c>
      <c r="P81" s="433">
        <f>'Pseudo-load coefficients'!P272</f>
        <v>9.8602515077830919</v>
      </c>
      <c r="Q81" s="433">
        <f>'Pseudo-load coefficients'!Q272</f>
        <v>34.196447562264005</v>
      </c>
      <c r="R81" s="433">
        <f>'Pseudo-load coefficients'!R272</f>
        <v>9.66398982153828</v>
      </c>
      <c r="S81" s="433">
        <f>'Pseudo-load coefficients'!S272</f>
        <v>9.66398982153828</v>
      </c>
      <c r="T81" s="433">
        <f>'Pseudo-load coefficients'!T272</f>
        <v>9.66398982153828</v>
      </c>
      <c r="U81" s="433">
        <f>'Pseudo-load coefficients'!U272</f>
        <v>9.66398982153828</v>
      </c>
      <c r="V81" s="433">
        <f>'Pseudo-load coefficients'!V272</f>
        <v>9.66398982153828</v>
      </c>
      <c r="W81" s="433">
        <f>'Pseudo-load coefficients'!W272</f>
        <v>9.66398982153828</v>
      </c>
      <c r="X81" s="433">
        <f>'Pseudo-load coefficients'!X272</f>
        <v>9.66398982153828</v>
      </c>
      <c r="Y81" s="433">
        <f>'Pseudo-load coefficients'!Y272</f>
        <v>9.66398982153828</v>
      </c>
    </row>
    <row r="82" spans="5:25" x14ac:dyDescent="0.3">
      <c r="E82" s="32"/>
      <c r="F82" s="191" t="s">
        <v>193</v>
      </c>
      <c r="G82" s="28" t="s">
        <v>285</v>
      </c>
      <c r="J82" s="194">
        <f>'Pseudo-load coefficients'!J272</f>
        <v>15.824117204777245</v>
      </c>
      <c r="K82" s="194">
        <f>'Pseudo-load coefficients'!K272</f>
        <v>15.824117204777245</v>
      </c>
      <c r="L82" s="194">
        <f>'Pseudo-load coefficients'!L272</f>
        <v>13.840076180538738</v>
      </c>
      <c r="M82" s="194">
        <f>'Pseudo-load coefficients'!M272</f>
        <v>13.840076180538738</v>
      </c>
      <c r="N82" s="194">
        <f>'Pseudo-load coefficients'!N272</f>
        <v>11.761895903478191</v>
      </c>
      <c r="O82" s="194">
        <f>'Pseudo-load coefficients'!O272</f>
        <v>11.072184034591185</v>
      </c>
      <c r="P82" s="194">
        <f>'Pseudo-load coefficients'!P272</f>
        <v>9.8602515077830919</v>
      </c>
      <c r="Q82" s="194">
        <f>'Pseudo-load coefficients'!Q272</f>
        <v>34.196447562264005</v>
      </c>
      <c r="R82" s="194">
        <f>'Pseudo-load coefficients'!R272</f>
        <v>9.66398982153828</v>
      </c>
      <c r="S82" s="194">
        <f>'Pseudo-load coefficients'!S272</f>
        <v>9.66398982153828</v>
      </c>
      <c r="T82" s="194">
        <f>'Pseudo-load coefficients'!T272</f>
        <v>9.66398982153828</v>
      </c>
      <c r="U82" s="194">
        <f>'Pseudo-load coefficients'!U272</f>
        <v>9.66398982153828</v>
      </c>
      <c r="V82" s="194">
        <f>'Pseudo-load coefficients'!V272</f>
        <v>9.66398982153828</v>
      </c>
      <c r="W82" s="194">
        <f>'Pseudo-load coefficients'!W272</f>
        <v>9.66398982153828</v>
      </c>
      <c r="X82" s="194">
        <f>'Pseudo-load coefficients'!X272</f>
        <v>9.66398982153828</v>
      </c>
      <c r="Y82" s="194">
        <f>'Pseudo-load coefficients'!Y272</f>
        <v>9.66398982153828</v>
      </c>
    </row>
    <row r="83" spans="5:25" x14ac:dyDescent="0.3">
      <c r="E83" s="32"/>
      <c r="F83" s="191" t="s">
        <v>194</v>
      </c>
      <c r="G83" s="28" t="s">
        <v>285</v>
      </c>
      <c r="J83" s="194">
        <f>'Pseudo-load coefficients'!J273</f>
        <v>11.861381636673123</v>
      </c>
      <c r="K83" s="194">
        <f>'Pseudo-load coefficients'!K273</f>
        <v>11.861381636673123</v>
      </c>
      <c r="L83" s="194">
        <f>'Pseudo-load coefficients'!L273</f>
        <v>10.374191705837417</v>
      </c>
      <c r="M83" s="194">
        <f>'Pseudo-load coefficients'!M273</f>
        <v>10.374191705837417</v>
      </c>
      <c r="N83" s="194">
        <f>'Pseudo-load coefficients'!N273</f>
        <v>8.816437231636451</v>
      </c>
      <c r="O83" s="194">
        <f>'Pseudo-load coefficients'!O273</f>
        <v>8.2994456301244224</v>
      </c>
      <c r="P83" s="194">
        <f>'Pseudo-load coefficients'!P273</f>
        <v>7.3910098524856842</v>
      </c>
      <c r="Q83" s="194">
        <f>'Pseudo-load coefficients'!Q273</f>
        <v>28.269641682128224</v>
      </c>
      <c r="R83" s="194">
        <f>'Pseudo-load coefficients'!R273</f>
        <v>7.2438967635795981</v>
      </c>
      <c r="S83" s="194">
        <f>'Pseudo-load coefficients'!S273</f>
        <v>7.2438967635795981</v>
      </c>
      <c r="T83" s="194">
        <f>'Pseudo-load coefficients'!T273</f>
        <v>7.2438967635795981</v>
      </c>
      <c r="U83" s="194">
        <f>'Pseudo-load coefficients'!U273</f>
        <v>7.2438967635795981</v>
      </c>
      <c r="V83" s="194">
        <f>'Pseudo-load coefficients'!V273</f>
        <v>7.2438967635795981</v>
      </c>
      <c r="W83" s="194">
        <f>'Pseudo-load coefficients'!W273</f>
        <v>7.2438967635795981</v>
      </c>
      <c r="X83" s="194">
        <f>'Pseudo-load coefficients'!X273</f>
        <v>7.2438967635795981</v>
      </c>
      <c r="Y83" s="194">
        <f>'Pseudo-load coefficients'!Y273</f>
        <v>7.2438967635795981</v>
      </c>
    </row>
    <row r="84" spans="5:25" x14ac:dyDescent="0.3">
      <c r="E84" s="32"/>
      <c r="F84" s="191" t="s">
        <v>195</v>
      </c>
      <c r="G84" s="28" t="s">
        <v>285</v>
      </c>
      <c r="J84" s="194">
        <f>'Pseudo-load coefficients'!J274</f>
        <v>11.861381636673123</v>
      </c>
      <c r="K84" s="194">
        <f>'Pseudo-load coefficients'!K274</f>
        <v>11.861381636673123</v>
      </c>
      <c r="L84" s="194">
        <f>'Pseudo-load coefficients'!L274</f>
        <v>10.374191705837417</v>
      </c>
      <c r="M84" s="194">
        <f>'Pseudo-load coefficients'!M274</f>
        <v>10.374191705837417</v>
      </c>
      <c r="N84" s="194">
        <f>'Pseudo-load coefficients'!N274</f>
        <v>8.816437231636451</v>
      </c>
      <c r="O84" s="194">
        <f>'Pseudo-load coefficients'!O274</f>
        <v>8.2994456301244224</v>
      </c>
      <c r="P84" s="194">
        <f>'Pseudo-load coefficients'!P274</f>
        <v>7.3910098524856842</v>
      </c>
      <c r="Q84" s="194">
        <f>'Pseudo-load coefficients'!Q274</f>
        <v>28.269641682128224</v>
      </c>
      <c r="R84" s="194">
        <f>'Pseudo-load coefficients'!R274</f>
        <v>7.2438967635795981</v>
      </c>
      <c r="S84" s="194">
        <f>'Pseudo-load coefficients'!S274</f>
        <v>7.2438967635795981</v>
      </c>
      <c r="T84" s="194">
        <f>'Pseudo-load coefficients'!T274</f>
        <v>7.2438967635795981</v>
      </c>
      <c r="U84" s="194">
        <f>'Pseudo-load coefficients'!U274</f>
        <v>7.2438967635795981</v>
      </c>
      <c r="V84" s="194">
        <f>'Pseudo-load coefficients'!V274</f>
        <v>7.2438967635795981</v>
      </c>
      <c r="W84" s="194">
        <f>'Pseudo-load coefficients'!W274</f>
        <v>7.2438967635795981</v>
      </c>
      <c r="X84" s="194">
        <f>'Pseudo-load coefficients'!X274</f>
        <v>7.2438967635795981</v>
      </c>
      <c r="Y84" s="194">
        <f>'Pseudo-load coefficients'!Y274</f>
        <v>7.2438967635795981</v>
      </c>
    </row>
    <row r="85" spans="5:25" x14ac:dyDescent="0.3">
      <c r="E85" s="32"/>
      <c r="F85" s="191" t="s">
        <v>196</v>
      </c>
      <c r="G85" s="28" t="s">
        <v>285</v>
      </c>
      <c r="J85" s="194">
        <f>'Pseudo-load coefficients'!J275</f>
        <v>9.8622329948021186</v>
      </c>
      <c r="K85" s="194">
        <f>'Pseudo-load coefficients'!K275</f>
        <v>9.8622329948021186</v>
      </c>
      <c r="L85" s="194">
        <f>'Pseudo-load coefficients'!L275</f>
        <v>8.625697989463637</v>
      </c>
      <c r="M85" s="194">
        <f>'Pseudo-load coefficients'!M275</f>
        <v>8.625697989463637</v>
      </c>
      <c r="N85" s="194">
        <f>'Pseudo-load coefficients'!N275</f>
        <v>7.3304915755863416</v>
      </c>
      <c r="O85" s="194">
        <f>'Pseudo-load coefficients'!O275</f>
        <v>6.9006351063615989</v>
      </c>
      <c r="P85" s="194">
        <f>'Pseudo-load coefficients'!P275</f>
        <v>6.1453094980709633</v>
      </c>
      <c r="Q85" s="194">
        <f>'Pseudo-load coefficients'!Q275</f>
        <v>24.125295339028813</v>
      </c>
      <c r="R85" s="194">
        <f>'Pseudo-load coefficients'!R275</f>
        <v>6.0229912383758988</v>
      </c>
      <c r="S85" s="194">
        <f>'Pseudo-load coefficients'!S275</f>
        <v>6.0229912383758988</v>
      </c>
      <c r="T85" s="194">
        <f>'Pseudo-load coefficients'!T275</f>
        <v>6.0229912383758988</v>
      </c>
      <c r="U85" s="194">
        <f>'Pseudo-load coefficients'!U275</f>
        <v>6.0229912383758988</v>
      </c>
      <c r="V85" s="194">
        <f>'Pseudo-load coefficients'!V275</f>
        <v>6.0229912383758988</v>
      </c>
      <c r="W85" s="194">
        <f>'Pseudo-load coefficients'!W275</f>
        <v>6.0229912383758988</v>
      </c>
      <c r="X85" s="194">
        <f>'Pseudo-load coefficients'!X275</f>
        <v>6.0229912383758988</v>
      </c>
      <c r="Y85" s="194">
        <f>'Pseudo-load coefficients'!Y275</f>
        <v>6.0229912383758988</v>
      </c>
    </row>
    <row r="86" spans="5:25" x14ac:dyDescent="0.3">
      <c r="E86" s="32"/>
      <c r="F86" s="191" t="s">
        <v>197</v>
      </c>
      <c r="G86" s="28" t="s">
        <v>285</v>
      </c>
      <c r="J86" s="194">
        <f>'Pseudo-load coefficients'!J276</f>
        <v>9.8622329948021186</v>
      </c>
      <c r="K86" s="194">
        <f>'Pseudo-load coefficients'!K276</f>
        <v>9.8622329948021186</v>
      </c>
      <c r="L86" s="194">
        <f>'Pseudo-load coefficients'!L276</f>
        <v>8.625697989463637</v>
      </c>
      <c r="M86" s="194">
        <f>'Pseudo-load coefficients'!M276</f>
        <v>8.625697989463637</v>
      </c>
      <c r="N86" s="194">
        <f>'Pseudo-load coefficients'!N276</f>
        <v>7.3304915755863416</v>
      </c>
      <c r="O86" s="194">
        <f>'Pseudo-load coefficients'!O276</f>
        <v>6.9006351063615989</v>
      </c>
      <c r="P86" s="194">
        <f>'Pseudo-load coefficients'!P276</f>
        <v>6.1453094980709633</v>
      </c>
      <c r="Q86" s="194">
        <f>'Pseudo-load coefficients'!Q276</f>
        <v>24.125295339028813</v>
      </c>
      <c r="R86" s="194">
        <f>'Pseudo-load coefficients'!R276</f>
        <v>6.0229912383758988</v>
      </c>
      <c r="S86" s="194">
        <f>'Pseudo-load coefficients'!S276</f>
        <v>6.0229912383758988</v>
      </c>
      <c r="T86" s="194">
        <f>'Pseudo-load coefficients'!T276</f>
        <v>6.0229912383758988</v>
      </c>
      <c r="U86" s="194">
        <f>'Pseudo-load coefficients'!U276</f>
        <v>6.0229912383758988</v>
      </c>
      <c r="V86" s="194">
        <f>'Pseudo-load coefficients'!V276</f>
        <v>6.0229912383758988</v>
      </c>
      <c r="W86" s="194">
        <f>'Pseudo-load coefficients'!W276</f>
        <v>6.0229912383758988</v>
      </c>
      <c r="X86" s="194">
        <f>'Pseudo-load coefficients'!X276</f>
        <v>6.0229912383758988</v>
      </c>
      <c r="Y86" s="194">
        <f>'Pseudo-load coefficients'!Y276</f>
        <v>6.0229912383758988</v>
      </c>
    </row>
    <row r="87" spans="5:25" x14ac:dyDescent="0.3">
      <c r="E87" s="32"/>
      <c r="F87" s="191" t="s">
        <v>198</v>
      </c>
      <c r="G87" s="28" t="s">
        <v>285</v>
      </c>
      <c r="J87" s="194">
        <f>'Pseudo-load coefficients'!J277</f>
        <v>11.861381636673123</v>
      </c>
      <c r="K87" s="194">
        <f>'Pseudo-load coefficients'!K277</f>
        <v>11.861381636673123</v>
      </c>
      <c r="L87" s="194">
        <f>'Pseudo-load coefficients'!L277</f>
        <v>10.374191705837417</v>
      </c>
      <c r="M87" s="194">
        <f>'Pseudo-load coefficients'!M277</f>
        <v>10.374191705837417</v>
      </c>
      <c r="N87" s="194">
        <f>'Pseudo-load coefficients'!N277</f>
        <v>8.816437231636451</v>
      </c>
      <c r="O87" s="194">
        <f>'Pseudo-load coefficients'!O277</f>
        <v>8.2994456301244224</v>
      </c>
      <c r="P87" s="194">
        <f>'Pseudo-load coefficients'!P277</f>
        <v>7.3910098524856842</v>
      </c>
      <c r="Q87" s="194">
        <f>'Pseudo-load coefficients'!Q277</f>
        <v>28.269641682128224</v>
      </c>
      <c r="R87" s="194">
        <f>'Pseudo-load coefficients'!R277</f>
        <v>7.2438967635795981</v>
      </c>
      <c r="S87" s="194">
        <f>'Pseudo-load coefficients'!S277</f>
        <v>7.2438967635795981</v>
      </c>
      <c r="T87" s="194">
        <f>'Pseudo-load coefficients'!T277</f>
        <v>7.2438967635795981</v>
      </c>
      <c r="U87" s="194">
        <f>'Pseudo-load coefficients'!U277</f>
        <v>7.2438967635795981</v>
      </c>
      <c r="V87" s="194">
        <f>'Pseudo-load coefficients'!V277</f>
        <v>7.2438967635795981</v>
      </c>
      <c r="W87" s="194">
        <f>'Pseudo-load coefficients'!W277</f>
        <v>7.2438967635795981</v>
      </c>
      <c r="X87" s="194">
        <f>'Pseudo-load coefficients'!X277</f>
        <v>7.2438967635795981</v>
      </c>
      <c r="Y87" s="194">
        <f>'Pseudo-load coefficients'!Y277</f>
        <v>7.2438967635795981</v>
      </c>
    </row>
    <row r="88" spans="5:25" x14ac:dyDescent="0.3">
      <c r="E88" s="32"/>
      <c r="F88" s="191" t="s">
        <v>199</v>
      </c>
      <c r="G88" s="28" t="s">
        <v>285</v>
      </c>
      <c r="J88" s="194">
        <f>'Pseudo-load coefficients'!J278</f>
        <v>9.8622329948021186</v>
      </c>
      <c r="K88" s="194">
        <f>'Pseudo-load coefficients'!K278</f>
        <v>9.8622329948021186</v>
      </c>
      <c r="L88" s="194">
        <f>'Pseudo-load coefficients'!L278</f>
        <v>8.625697989463637</v>
      </c>
      <c r="M88" s="194">
        <f>'Pseudo-load coefficients'!M278</f>
        <v>8.625697989463637</v>
      </c>
      <c r="N88" s="194">
        <f>'Pseudo-load coefficients'!N278</f>
        <v>7.3304915755863416</v>
      </c>
      <c r="O88" s="194">
        <f>'Pseudo-load coefficients'!O278</f>
        <v>6.9006351063615989</v>
      </c>
      <c r="P88" s="194">
        <f>'Pseudo-load coefficients'!P278</f>
        <v>6.1453094980709633</v>
      </c>
      <c r="Q88" s="194">
        <f>'Pseudo-load coefficients'!Q278</f>
        <v>24.125295339028813</v>
      </c>
      <c r="R88" s="194">
        <f>'Pseudo-load coefficients'!R278</f>
        <v>6.0229912383758988</v>
      </c>
      <c r="S88" s="194">
        <f>'Pseudo-load coefficients'!S278</f>
        <v>6.0229912383758988</v>
      </c>
      <c r="T88" s="194">
        <f>'Pseudo-load coefficients'!T278</f>
        <v>6.0229912383758988</v>
      </c>
      <c r="U88" s="194">
        <f>'Pseudo-load coefficients'!U278</f>
        <v>6.0229912383758988</v>
      </c>
      <c r="V88" s="194">
        <f>'Pseudo-load coefficients'!V278</f>
        <v>6.0229912383758988</v>
      </c>
      <c r="W88" s="194">
        <f>'Pseudo-load coefficients'!W278</f>
        <v>6.0229912383758988</v>
      </c>
      <c r="X88" s="194">
        <f>'Pseudo-load coefficients'!X278</f>
        <v>6.0229912383758988</v>
      </c>
      <c r="Y88" s="194">
        <f>'Pseudo-load coefficients'!Y278</f>
        <v>6.0229912383758988</v>
      </c>
    </row>
    <row r="89" spans="5:25" x14ac:dyDescent="0.3">
      <c r="E89" s="32"/>
      <c r="F89" s="191" t="s">
        <v>200</v>
      </c>
      <c r="G89" s="28" t="s">
        <v>285</v>
      </c>
      <c r="J89" s="194">
        <f>'Pseudo-load coefficients'!J279</f>
        <v>9.8622329948021186</v>
      </c>
      <c r="K89" s="194">
        <f>'Pseudo-load coefficients'!K279</f>
        <v>9.8622329948021186</v>
      </c>
      <c r="L89" s="194">
        <f>'Pseudo-load coefficients'!L279</f>
        <v>8.625697989463637</v>
      </c>
      <c r="M89" s="194">
        <f>'Pseudo-load coefficients'!M279</f>
        <v>8.625697989463637</v>
      </c>
      <c r="N89" s="194">
        <f>'Pseudo-load coefficients'!N279</f>
        <v>7.3304915755863416</v>
      </c>
      <c r="O89" s="194">
        <f>'Pseudo-load coefficients'!O279</f>
        <v>6.9006351063615989</v>
      </c>
      <c r="P89" s="194">
        <f>'Pseudo-load coefficients'!P279</f>
        <v>6.1453094980709633</v>
      </c>
      <c r="Q89" s="194">
        <f>'Pseudo-load coefficients'!Q279</f>
        <v>24.125295339028813</v>
      </c>
      <c r="R89" s="194">
        <f>'Pseudo-load coefficients'!R279</f>
        <v>6.0229912383758988</v>
      </c>
      <c r="S89" s="194">
        <f>'Pseudo-load coefficients'!S279</f>
        <v>6.0229912383758988</v>
      </c>
      <c r="T89" s="194">
        <f>'Pseudo-load coefficients'!T279</f>
        <v>6.0229912383758988</v>
      </c>
      <c r="U89" s="194">
        <f>'Pseudo-load coefficients'!U279</f>
        <v>6.0229912383758988</v>
      </c>
      <c r="V89" s="194">
        <f>'Pseudo-load coefficients'!V279</f>
        <v>6.0229912383758988</v>
      </c>
      <c r="W89" s="194">
        <f>'Pseudo-load coefficients'!W279</f>
        <v>6.0229912383758988</v>
      </c>
      <c r="X89" s="194">
        <f>'Pseudo-load coefficients'!X279</f>
        <v>6.0229912383758988</v>
      </c>
      <c r="Y89" s="194">
        <f>'Pseudo-load coefficients'!Y279</f>
        <v>6.0229912383758988</v>
      </c>
    </row>
    <row r="90" spans="5:25" x14ac:dyDescent="0.3">
      <c r="E90" s="32"/>
      <c r="F90" s="192" t="s">
        <v>201</v>
      </c>
      <c r="G90" s="67" t="s">
        <v>285</v>
      </c>
      <c r="H90" s="37"/>
      <c r="I90" s="37"/>
      <c r="J90" s="195">
        <f>'Pseudo-load coefficients'!J280</f>
        <v>9.8622329948021186</v>
      </c>
      <c r="K90" s="195">
        <f>'Pseudo-load coefficients'!K280</f>
        <v>9.8622329948021186</v>
      </c>
      <c r="L90" s="195">
        <f>'Pseudo-load coefficients'!L280</f>
        <v>8.625697989463637</v>
      </c>
      <c r="M90" s="195">
        <f>'Pseudo-load coefficients'!M280</f>
        <v>8.625697989463637</v>
      </c>
      <c r="N90" s="195">
        <f>'Pseudo-load coefficients'!N280</f>
        <v>7.3304915755863416</v>
      </c>
      <c r="O90" s="195">
        <f>'Pseudo-load coefficients'!O280</f>
        <v>6.9006351063615989</v>
      </c>
      <c r="P90" s="195">
        <f>'Pseudo-load coefficients'!P280</f>
        <v>6.1453094980709633</v>
      </c>
      <c r="Q90" s="195">
        <f>'Pseudo-load coefficients'!Q280</f>
        <v>24.125295339028813</v>
      </c>
      <c r="R90" s="195">
        <f>'Pseudo-load coefficients'!R280</f>
        <v>6.0229912383758988</v>
      </c>
      <c r="S90" s="195">
        <f>'Pseudo-load coefficients'!S280</f>
        <v>6.0229912383758988</v>
      </c>
      <c r="T90" s="195">
        <f>'Pseudo-load coefficients'!T280</f>
        <v>6.0229912383758988</v>
      </c>
      <c r="U90" s="195">
        <f>'Pseudo-load coefficients'!U280</f>
        <v>6.0229912383758988</v>
      </c>
      <c r="V90" s="195">
        <f>'Pseudo-load coefficients'!V280</f>
        <v>6.0229912383758988</v>
      </c>
      <c r="W90" s="195">
        <f>'Pseudo-load coefficients'!W280</f>
        <v>6.0229912383758988</v>
      </c>
      <c r="X90" s="195">
        <f>'Pseudo-load coefficients'!X280</f>
        <v>6.0229912383758988</v>
      </c>
      <c r="Y90" s="195">
        <f>'Pseudo-load coefficients'!Y280</f>
        <v>6.0229912383758988</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512</v>
      </c>
      <c r="J92" s="163"/>
      <c r="K92" s="163"/>
      <c r="L92" s="163"/>
      <c r="M92" s="163"/>
      <c r="N92" s="163"/>
      <c r="O92" s="163"/>
      <c r="P92" s="163"/>
      <c r="Q92" s="163"/>
      <c r="R92" s="163"/>
      <c r="S92" s="163"/>
      <c r="T92" s="163"/>
      <c r="U92" s="163"/>
      <c r="V92" s="163"/>
      <c r="W92" s="163"/>
      <c r="X92" s="163"/>
      <c r="Y92" s="163"/>
    </row>
    <row r="93" spans="5:25" x14ac:dyDescent="0.3">
      <c r="E93" s="32"/>
      <c r="F93" s="190" t="s">
        <v>191</v>
      </c>
      <c r="G93" s="64" t="s">
        <v>285</v>
      </c>
      <c r="H93" s="23"/>
      <c r="I93" s="23"/>
      <c r="J93" s="433">
        <f>'Pseudo-load coefficients'!J283</f>
        <v>0.71286714529223738</v>
      </c>
      <c r="K93" s="433">
        <f>'Pseudo-load coefficients'!K283</f>
        <v>0.71286714529223738</v>
      </c>
      <c r="L93" s="433">
        <f>'Pseudo-load coefficients'!L283</f>
        <v>0.62348726755317441</v>
      </c>
      <c r="M93" s="433">
        <f>'Pseudo-load coefficients'!M283</f>
        <v>0.62348726755317441</v>
      </c>
      <c r="N93" s="433">
        <f>'Pseudo-load coefficients'!N283</f>
        <v>0.52986647200803438</v>
      </c>
      <c r="O93" s="433">
        <f>'Pseudo-load coefficients'!O283</f>
        <v>0.49879535918164436</v>
      </c>
      <c r="P93" s="433">
        <f>'Pseudo-load coefficients'!P283</f>
        <v>0.44419851377837155</v>
      </c>
      <c r="Q93" s="433">
        <f>'Pseudo-load coefficients'!Q283</f>
        <v>1.0940711204794933</v>
      </c>
      <c r="R93" s="433">
        <f>'Pseudo-load coefficients'!R283</f>
        <v>0.4353570405895012</v>
      </c>
      <c r="S93" s="433">
        <f>'Pseudo-load coefficients'!S283</f>
        <v>0.4353570405895012</v>
      </c>
      <c r="T93" s="433">
        <f>'Pseudo-load coefficients'!T283</f>
        <v>0.4353570405895012</v>
      </c>
      <c r="U93" s="433">
        <f>'Pseudo-load coefficients'!U283</f>
        <v>0.4353570405895012</v>
      </c>
      <c r="V93" s="433">
        <f>'Pseudo-load coefficients'!V283</f>
        <v>0.4353570405895012</v>
      </c>
      <c r="W93" s="433">
        <f>'Pseudo-load coefficients'!W283</f>
        <v>0.4353570405895012</v>
      </c>
      <c r="X93" s="433">
        <f>'Pseudo-load coefficients'!X283</f>
        <v>0.4353570405895012</v>
      </c>
      <c r="Y93" s="433">
        <f>'Pseudo-load coefficients'!Y283</f>
        <v>0.4353570405895012</v>
      </c>
    </row>
    <row r="94" spans="5:25" x14ac:dyDescent="0.3">
      <c r="E94" s="32"/>
      <c r="F94" s="191" t="s">
        <v>193</v>
      </c>
      <c r="G94" s="28" t="s">
        <v>285</v>
      </c>
      <c r="J94" s="194">
        <f>'Pseudo-load coefficients'!J283</f>
        <v>0.71286714529223738</v>
      </c>
      <c r="K94" s="194">
        <f>'Pseudo-load coefficients'!K283</f>
        <v>0.71286714529223738</v>
      </c>
      <c r="L94" s="194">
        <f>'Pseudo-load coefficients'!L283</f>
        <v>0.62348726755317441</v>
      </c>
      <c r="M94" s="194">
        <f>'Pseudo-load coefficients'!M283</f>
        <v>0.62348726755317441</v>
      </c>
      <c r="N94" s="194">
        <f>'Pseudo-load coefficients'!N283</f>
        <v>0.52986647200803438</v>
      </c>
      <c r="O94" s="194">
        <f>'Pseudo-load coefficients'!O283</f>
        <v>0.49879535918164436</v>
      </c>
      <c r="P94" s="194">
        <f>'Pseudo-load coefficients'!P283</f>
        <v>0.44419851377837155</v>
      </c>
      <c r="Q94" s="194">
        <f>'Pseudo-load coefficients'!Q283</f>
        <v>1.0940711204794933</v>
      </c>
      <c r="R94" s="194">
        <f>'Pseudo-load coefficients'!R283</f>
        <v>0.4353570405895012</v>
      </c>
      <c r="S94" s="194">
        <f>'Pseudo-load coefficients'!S283</f>
        <v>0.4353570405895012</v>
      </c>
      <c r="T94" s="194">
        <f>'Pseudo-load coefficients'!T283</f>
        <v>0.4353570405895012</v>
      </c>
      <c r="U94" s="194">
        <f>'Pseudo-load coefficients'!U283</f>
        <v>0.4353570405895012</v>
      </c>
      <c r="V94" s="194">
        <f>'Pseudo-load coefficients'!V283</f>
        <v>0.4353570405895012</v>
      </c>
      <c r="W94" s="194">
        <f>'Pseudo-load coefficients'!W283</f>
        <v>0.4353570405895012</v>
      </c>
      <c r="X94" s="194">
        <f>'Pseudo-load coefficients'!X283</f>
        <v>0.4353570405895012</v>
      </c>
      <c r="Y94" s="194">
        <f>'Pseudo-load coefficients'!Y283</f>
        <v>0.4353570405895012</v>
      </c>
    </row>
    <row r="95" spans="5:25" x14ac:dyDescent="0.3">
      <c r="E95" s="32"/>
      <c r="F95" s="191" t="s">
        <v>194</v>
      </c>
      <c r="G95" s="28" t="s">
        <v>285</v>
      </c>
      <c r="J95" s="194">
        <f>'Pseudo-load coefficients'!J284</f>
        <v>1.6235578587856365</v>
      </c>
      <c r="K95" s="194">
        <f>'Pseudo-load coefficients'!K284</f>
        <v>1.6235578587856365</v>
      </c>
      <c r="L95" s="194">
        <f>'Pseudo-load coefficients'!L284</f>
        <v>1.4199948191942044</v>
      </c>
      <c r="M95" s="194">
        <f>'Pseudo-load coefficients'!M284</f>
        <v>1.4199948191942044</v>
      </c>
      <c r="N95" s="194">
        <f>'Pseudo-load coefficients'!N284</f>
        <v>1.2067730718365477</v>
      </c>
      <c r="O95" s="194">
        <f>'Pseudo-load coefficients'!O284</f>
        <v>1.136008484432508</v>
      </c>
      <c r="P95" s="194">
        <f>'Pseudo-load coefficients'!P284</f>
        <v>1.0116639442123947</v>
      </c>
      <c r="Q95" s="194">
        <f>'Pseudo-load coefficients'!Q284</f>
        <v>1.4016836955203626</v>
      </c>
      <c r="R95" s="194">
        <f>'Pseudo-load coefficients'!R284</f>
        <v>0.99152745261809017</v>
      </c>
      <c r="S95" s="194">
        <f>'Pseudo-load coefficients'!S284</f>
        <v>0.99152745261809017</v>
      </c>
      <c r="T95" s="194">
        <f>'Pseudo-load coefficients'!T284</f>
        <v>0.99152745261809017</v>
      </c>
      <c r="U95" s="194">
        <f>'Pseudo-load coefficients'!U284</f>
        <v>0.99152745261809017</v>
      </c>
      <c r="V95" s="194">
        <f>'Pseudo-load coefficients'!V284</f>
        <v>0.99152745261809017</v>
      </c>
      <c r="W95" s="194">
        <f>'Pseudo-load coefficients'!W284</f>
        <v>0.99152745261809017</v>
      </c>
      <c r="X95" s="194">
        <f>'Pseudo-load coefficients'!X284</f>
        <v>0.99152745261809017</v>
      </c>
      <c r="Y95" s="194">
        <f>'Pseudo-load coefficients'!Y284</f>
        <v>0.99152745261809017</v>
      </c>
    </row>
    <row r="96" spans="5:25" x14ac:dyDescent="0.3">
      <c r="E96" s="32"/>
      <c r="F96" s="191" t="s">
        <v>195</v>
      </c>
      <c r="G96" s="28" t="s">
        <v>285</v>
      </c>
      <c r="J96" s="194">
        <f>'Pseudo-load coefficients'!J285</f>
        <v>1.6235578587856365</v>
      </c>
      <c r="K96" s="194">
        <f>'Pseudo-load coefficients'!K285</f>
        <v>1.6235578587856365</v>
      </c>
      <c r="L96" s="194">
        <f>'Pseudo-load coefficients'!L285</f>
        <v>1.4199948191942044</v>
      </c>
      <c r="M96" s="194">
        <f>'Pseudo-load coefficients'!M285</f>
        <v>1.4199948191942044</v>
      </c>
      <c r="N96" s="194">
        <f>'Pseudo-load coefficients'!N285</f>
        <v>1.2067730718365477</v>
      </c>
      <c r="O96" s="194">
        <f>'Pseudo-load coefficients'!O285</f>
        <v>1.136008484432508</v>
      </c>
      <c r="P96" s="194">
        <f>'Pseudo-load coefficients'!P285</f>
        <v>1.0116639442123947</v>
      </c>
      <c r="Q96" s="194">
        <f>'Pseudo-load coefficients'!Q285</f>
        <v>1.4016836955203626</v>
      </c>
      <c r="R96" s="194">
        <f>'Pseudo-load coefficients'!R285</f>
        <v>0.99152745261809017</v>
      </c>
      <c r="S96" s="194">
        <f>'Pseudo-load coefficients'!S285</f>
        <v>0.99152745261809017</v>
      </c>
      <c r="T96" s="194">
        <f>'Pseudo-load coefficients'!T285</f>
        <v>0.99152745261809017</v>
      </c>
      <c r="U96" s="194">
        <f>'Pseudo-load coefficients'!U285</f>
        <v>0.99152745261809017</v>
      </c>
      <c r="V96" s="194">
        <f>'Pseudo-load coefficients'!V285</f>
        <v>0.99152745261809017</v>
      </c>
      <c r="W96" s="194">
        <f>'Pseudo-load coefficients'!W285</f>
        <v>0.99152745261809017</v>
      </c>
      <c r="X96" s="194">
        <f>'Pseudo-load coefficients'!X285</f>
        <v>0.99152745261809017</v>
      </c>
      <c r="Y96" s="194">
        <f>'Pseudo-load coefficients'!Y285</f>
        <v>0.99152745261809017</v>
      </c>
    </row>
    <row r="97" spans="3:25" x14ac:dyDescent="0.3">
      <c r="E97" s="32"/>
      <c r="F97" s="191" t="s">
        <v>196</v>
      </c>
      <c r="G97" s="28" t="s">
        <v>285</v>
      </c>
      <c r="J97" s="194">
        <f>'Pseudo-load coefficients'!J286</f>
        <v>2.1099819033762928</v>
      </c>
      <c r="K97" s="194">
        <f>'Pseudo-load coefficients'!K286</f>
        <v>2.1099819033762928</v>
      </c>
      <c r="L97" s="194">
        <f>'Pseudo-load coefficients'!L286</f>
        <v>1.8454306110340197</v>
      </c>
      <c r="M97" s="194">
        <f>'Pseudo-load coefficients'!M286</f>
        <v>1.8454306110340197</v>
      </c>
      <c r="N97" s="194">
        <f>'Pseudo-load coefficients'!N286</f>
        <v>1.5683268257291756</v>
      </c>
      <c r="O97" s="194">
        <f>'Pseudo-load coefficients'!O286</f>
        <v>1.4763609016234012</v>
      </c>
      <c r="P97" s="194">
        <f>'Pseudo-load coefficients'!P286</f>
        <v>1.3147622691950351</v>
      </c>
      <c r="Q97" s="194">
        <f>'Pseudo-load coefficients'!Q286</f>
        <v>1.6676484460892242</v>
      </c>
      <c r="R97" s="194">
        <f>'Pseudo-load coefficients'!R286</f>
        <v>1.2885928089373944</v>
      </c>
      <c r="S97" s="194">
        <f>'Pseudo-load coefficients'!S286</f>
        <v>1.2885928089373944</v>
      </c>
      <c r="T97" s="194">
        <f>'Pseudo-load coefficients'!T286</f>
        <v>1.2885928089373944</v>
      </c>
      <c r="U97" s="194">
        <f>'Pseudo-load coefficients'!U286</f>
        <v>1.2885928089373944</v>
      </c>
      <c r="V97" s="194">
        <f>'Pseudo-load coefficients'!V286</f>
        <v>1.2885928089373944</v>
      </c>
      <c r="W97" s="194">
        <f>'Pseudo-load coefficients'!W286</f>
        <v>1.2885928089373944</v>
      </c>
      <c r="X97" s="194">
        <f>'Pseudo-load coefficients'!X286</f>
        <v>1.2885928089373944</v>
      </c>
      <c r="Y97" s="194">
        <f>'Pseudo-load coefficients'!Y286</f>
        <v>1.2885928089373944</v>
      </c>
    </row>
    <row r="98" spans="3:25" x14ac:dyDescent="0.3">
      <c r="E98" s="32"/>
      <c r="F98" s="191" t="s">
        <v>197</v>
      </c>
      <c r="G98" s="28" t="s">
        <v>285</v>
      </c>
      <c r="J98" s="194">
        <f>'Pseudo-load coefficients'!J287</f>
        <v>2.1099819033762928</v>
      </c>
      <c r="K98" s="194">
        <f>'Pseudo-load coefficients'!K287</f>
        <v>2.1099819033762928</v>
      </c>
      <c r="L98" s="194">
        <f>'Pseudo-load coefficients'!L287</f>
        <v>1.8454306110340197</v>
      </c>
      <c r="M98" s="194">
        <f>'Pseudo-load coefficients'!M287</f>
        <v>1.8454306110340197</v>
      </c>
      <c r="N98" s="194">
        <f>'Pseudo-load coefficients'!N287</f>
        <v>1.5683268257291756</v>
      </c>
      <c r="O98" s="194">
        <f>'Pseudo-load coefficients'!O287</f>
        <v>1.4763609016234012</v>
      </c>
      <c r="P98" s="194">
        <f>'Pseudo-load coefficients'!P287</f>
        <v>1.3147622691950351</v>
      </c>
      <c r="Q98" s="194">
        <f>'Pseudo-load coefficients'!Q287</f>
        <v>1.6676484460892242</v>
      </c>
      <c r="R98" s="194">
        <f>'Pseudo-load coefficients'!R287</f>
        <v>1.2885928089373944</v>
      </c>
      <c r="S98" s="194">
        <f>'Pseudo-load coefficients'!S287</f>
        <v>1.2885928089373944</v>
      </c>
      <c r="T98" s="194">
        <f>'Pseudo-load coefficients'!T287</f>
        <v>1.2885928089373944</v>
      </c>
      <c r="U98" s="194">
        <f>'Pseudo-load coefficients'!U287</f>
        <v>1.2885928089373944</v>
      </c>
      <c r="V98" s="194">
        <f>'Pseudo-load coefficients'!V287</f>
        <v>1.2885928089373944</v>
      </c>
      <c r="W98" s="194">
        <f>'Pseudo-load coefficients'!W287</f>
        <v>1.2885928089373944</v>
      </c>
      <c r="X98" s="194">
        <f>'Pseudo-load coefficients'!X287</f>
        <v>1.2885928089373944</v>
      </c>
      <c r="Y98" s="194">
        <f>'Pseudo-load coefficients'!Y287</f>
        <v>1.2885928089373944</v>
      </c>
    </row>
    <row r="99" spans="3:25" x14ac:dyDescent="0.3">
      <c r="E99" s="32"/>
      <c r="F99" s="191" t="s">
        <v>198</v>
      </c>
      <c r="G99" s="28" t="s">
        <v>285</v>
      </c>
      <c r="J99" s="194">
        <f>'Pseudo-load coefficients'!J288</f>
        <v>1.6235578587856365</v>
      </c>
      <c r="K99" s="194">
        <f>'Pseudo-load coefficients'!K288</f>
        <v>1.6235578587856365</v>
      </c>
      <c r="L99" s="194">
        <f>'Pseudo-load coefficients'!L288</f>
        <v>1.4199948191942044</v>
      </c>
      <c r="M99" s="194">
        <f>'Pseudo-load coefficients'!M288</f>
        <v>1.4199948191942044</v>
      </c>
      <c r="N99" s="194">
        <f>'Pseudo-load coefficients'!N288</f>
        <v>1.2067730718365477</v>
      </c>
      <c r="O99" s="194">
        <f>'Pseudo-load coefficients'!O288</f>
        <v>1.136008484432508</v>
      </c>
      <c r="P99" s="194">
        <f>'Pseudo-load coefficients'!P288</f>
        <v>1.0116639442123947</v>
      </c>
      <c r="Q99" s="194">
        <f>'Pseudo-load coefficients'!Q288</f>
        <v>1.4016836955203626</v>
      </c>
      <c r="R99" s="194">
        <f>'Pseudo-load coefficients'!R288</f>
        <v>0.99152745261809017</v>
      </c>
      <c r="S99" s="194">
        <f>'Pseudo-load coefficients'!S288</f>
        <v>0.99152745261809017</v>
      </c>
      <c r="T99" s="194">
        <f>'Pseudo-load coefficients'!T288</f>
        <v>0.99152745261809017</v>
      </c>
      <c r="U99" s="194">
        <f>'Pseudo-load coefficients'!U288</f>
        <v>0.99152745261809017</v>
      </c>
      <c r="V99" s="194">
        <f>'Pseudo-load coefficients'!V288</f>
        <v>0.99152745261809017</v>
      </c>
      <c r="W99" s="194">
        <f>'Pseudo-load coefficients'!W288</f>
        <v>0.99152745261809017</v>
      </c>
      <c r="X99" s="194">
        <f>'Pseudo-load coefficients'!X288</f>
        <v>0.99152745261809017</v>
      </c>
      <c r="Y99" s="194">
        <f>'Pseudo-load coefficients'!Y288</f>
        <v>0.99152745261809017</v>
      </c>
    </row>
    <row r="100" spans="3:25" x14ac:dyDescent="0.3">
      <c r="E100" s="32"/>
      <c r="F100" s="191" t="s">
        <v>199</v>
      </c>
      <c r="G100" s="28" t="s">
        <v>285</v>
      </c>
      <c r="J100" s="194">
        <f>'Pseudo-load coefficients'!J289</f>
        <v>2.1099819033762928</v>
      </c>
      <c r="K100" s="194">
        <f>'Pseudo-load coefficients'!K289</f>
        <v>2.1099819033762928</v>
      </c>
      <c r="L100" s="194">
        <f>'Pseudo-load coefficients'!L289</f>
        <v>1.8454306110340197</v>
      </c>
      <c r="M100" s="194">
        <f>'Pseudo-load coefficients'!M289</f>
        <v>1.8454306110340197</v>
      </c>
      <c r="N100" s="194">
        <f>'Pseudo-load coefficients'!N289</f>
        <v>1.5683268257291756</v>
      </c>
      <c r="O100" s="194">
        <f>'Pseudo-load coefficients'!O289</f>
        <v>1.4763609016234012</v>
      </c>
      <c r="P100" s="194">
        <f>'Pseudo-load coefficients'!P289</f>
        <v>1.3147622691950351</v>
      </c>
      <c r="Q100" s="194">
        <f>'Pseudo-load coefficients'!Q289</f>
        <v>1.6676484460892242</v>
      </c>
      <c r="R100" s="194">
        <f>'Pseudo-load coefficients'!R289</f>
        <v>1.2885928089373944</v>
      </c>
      <c r="S100" s="194">
        <f>'Pseudo-load coefficients'!S289</f>
        <v>1.2885928089373944</v>
      </c>
      <c r="T100" s="194">
        <f>'Pseudo-load coefficients'!T289</f>
        <v>1.2885928089373944</v>
      </c>
      <c r="U100" s="194">
        <f>'Pseudo-load coefficients'!U289</f>
        <v>1.2885928089373944</v>
      </c>
      <c r="V100" s="194">
        <f>'Pseudo-load coefficients'!V289</f>
        <v>1.2885928089373944</v>
      </c>
      <c r="W100" s="194">
        <f>'Pseudo-load coefficients'!W289</f>
        <v>1.2885928089373944</v>
      </c>
      <c r="X100" s="194">
        <f>'Pseudo-load coefficients'!X289</f>
        <v>1.2885928089373944</v>
      </c>
      <c r="Y100" s="194">
        <f>'Pseudo-load coefficients'!Y289</f>
        <v>1.2885928089373944</v>
      </c>
    </row>
    <row r="101" spans="3:25" x14ac:dyDescent="0.3">
      <c r="E101" s="32"/>
      <c r="F101" s="191" t="s">
        <v>200</v>
      </c>
      <c r="G101" s="28" t="s">
        <v>285</v>
      </c>
      <c r="J101" s="194">
        <f>'Pseudo-load coefficients'!J290</f>
        <v>2.1099819033762928</v>
      </c>
      <c r="K101" s="194">
        <f>'Pseudo-load coefficients'!K290</f>
        <v>2.1099819033762928</v>
      </c>
      <c r="L101" s="194">
        <f>'Pseudo-load coefficients'!L290</f>
        <v>1.8454306110340197</v>
      </c>
      <c r="M101" s="194">
        <f>'Pseudo-load coefficients'!M290</f>
        <v>1.8454306110340197</v>
      </c>
      <c r="N101" s="194">
        <f>'Pseudo-load coefficients'!N290</f>
        <v>1.5683268257291756</v>
      </c>
      <c r="O101" s="194">
        <f>'Pseudo-load coefficients'!O290</f>
        <v>1.4763609016234012</v>
      </c>
      <c r="P101" s="194">
        <f>'Pseudo-load coefficients'!P290</f>
        <v>1.3147622691950351</v>
      </c>
      <c r="Q101" s="194">
        <f>'Pseudo-load coefficients'!Q290</f>
        <v>1.6676484460892242</v>
      </c>
      <c r="R101" s="194">
        <f>'Pseudo-load coefficients'!R290</f>
        <v>1.2885928089373944</v>
      </c>
      <c r="S101" s="194">
        <f>'Pseudo-load coefficients'!S290</f>
        <v>1.2885928089373944</v>
      </c>
      <c r="T101" s="194">
        <f>'Pseudo-load coefficients'!T290</f>
        <v>1.2885928089373944</v>
      </c>
      <c r="U101" s="194">
        <f>'Pseudo-load coefficients'!U290</f>
        <v>1.2885928089373944</v>
      </c>
      <c r="V101" s="194">
        <f>'Pseudo-load coefficients'!V290</f>
        <v>1.2885928089373944</v>
      </c>
      <c r="W101" s="194">
        <f>'Pseudo-load coefficients'!W290</f>
        <v>1.2885928089373944</v>
      </c>
      <c r="X101" s="194">
        <f>'Pseudo-load coefficients'!X290</f>
        <v>1.2885928089373944</v>
      </c>
      <c r="Y101" s="194">
        <f>'Pseudo-load coefficients'!Y290</f>
        <v>1.2885928089373944</v>
      </c>
    </row>
    <row r="102" spans="3:25" x14ac:dyDescent="0.3">
      <c r="E102" s="32"/>
      <c r="F102" s="192" t="s">
        <v>201</v>
      </c>
      <c r="G102" s="67" t="s">
        <v>285</v>
      </c>
      <c r="H102" s="37"/>
      <c r="I102" s="37"/>
      <c r="J102" s="195">
        <f>'Pseudo-load coefficients'!J291</f>
        <v>2.1099819033762928</v>
      </c>
      <c r="K102" s="195">
        <f>'Pseudo-load coefficients'!K291</f>
        <v>2.1099819033762928</v>
      </c>
      <c r="L102" s="195">
        <f>'Pseudo-load coefficients'!L291</f>
        <v>1.8454306110340197</v>
      </c>
      <c r="M102" s="195">
        <f>'Pseudo-load coefficients'!M291</f>
        <v>1.8454306110340197</v>
      </c>
      <c r="N102" s="195">
        <f>'Pseudo-load coefficients'!N291</f>
        <v>1.5683268257291756</v>
      </c>
      <c r="O102" s="195">
        <f>'Pseudo-load coefficients'!O291</f>
        <v>1.4763609016234012</v>
      </c>
      <c r="P102" s="195">
        <f>'Pseudo-load coefficients'!P291</f>
        <v>1.3147622691950351</v>
      </c>
      <c r="Q102" s="195">
        <f>'Pseudo-load coefficients'!Q291</f>
        <v>1.6676484460892242</v>
      </c>
      <c r="R102" s="195">
        <f>'Pseudo-load coefficients'!R291</f>
        <v>1.2885928089373944</v>
      </c>
      <c r="S102" s="195">
        <f>'Pseudo-load coefficients'!S291</f>
        <v>1.2885928089373944</v>
      </c>
      <c r="T102" s="195">
        <f>'Pseudo-load coefficients'!T291</f>
        <v>1.2885928089373944</v>
      </c>
      <c r="U102" s="195">
        <f>'Pseudo-load coefficients'!U291</f>
        <v>1.2885928089373944</v>
      </c>
      <c r="V102" s="195">
        <f>'Pseudo-load coefficients'!V291</f>
        <v>1.2885928089373944</v>
      </c>
      <c r="W102" s="195">
        <f>'Pseudo-load coefficients'!W291</f>
        <v>1.2885928089373944</v>
      </c>
      <c r="X102" s="195">
        <f>'Pseudo-load coefficients'!X291</f>
        <v>1.2885928089373944</v>
      </c>
      <c r="Y102" s="195">
        <f>'Pseudo-load coefficients'!Y291</f>
        <v>1.2885928089373944</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515</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191</v>
      </c>
      <c r="G105" s="64" t="s">
        <v>285</v>
      </c>
      <c r="H105" s="23"/>
      <c r="I105" s="23"/>
      <c r="J105" s="433">
        <f>'Pseudo-load coefficients'!J294</f>
        <v>0</v>
      </c>
      <c r="K105" s="433">
        <f>'Pseudo-load coefficients'!K294</f>
        <v>0</v>
      </c>
      <c r="L105" s="433">
        <f>'Pseudo-load coefficients'!L294</f>
        <v>0</v>
      </c>
      <c r="M105" s="433">
        <f>'Pseudo-load coefficients'!M294</f>
        <v>0</v>
      </c>
      <c r="N105" s="433">
        <f>'Pseudo-load coefficients'!N294</f>
        <v>0</v>
      </c>
      <c r="O105" s="433">
        <f>'Pseudo-load coefficients'!O294</f>
        <v>0</v>
      </c>
      <c r="P105" s="433">
        <f>'Pseudo-load coefficients'!P294</f>
        <v>0</v>
      </c>
      <c r="Q105" s="433">
        <f>'Pseudo-load coefficients'!Q294</f>
        <v>0</v>
      </c>
      <c r="R105" s="433">
        <f>'Pseudo-load coefficients'!R294</f>
        <v>0</v>
      </c>
      <c r="S105" s="433">
        <f>'Pseudo-load coefficients'!S294</f>
        <v>0</v>
      </c>
      <c r="T105" s="433">
        <f>'Pseudo-load coefficients'!T294</f>
        <v>0</v>
      </c>
      <c r="U105" s="433">
        <f>'Pseudo-load coefficients'!U294</f>
        <v>0</v>
      </c>
      <c r="V105" s="433">
        <f>'Pseudo-load coefficients'!V294</f>
        <v>0</v>
      </c>
      <c r="W105" s="433">
        <f>'Pseudo-load coefficients'!W294</f>
        <v>0</v>
      </c>
      <c r="X105" s="433">
        <f>'Pseudo-load coefficients'!X294</f>
        <v>0</v>
      </c>
      <c r="Y105" s="433">
        <f>'Pseudo-load coefficients'!Y294</f>
        <v>0</v>
      </c>
    </row>
    <row r="106" spans="3:25" x14ac:dyDescent="0.3">
      <c r="C106" s="32"/>
      <c r="E106" s="32"/>
      <c r="F106" s="191" t="s">
        <v>193</v>
      </c>
      <c r="G106" s="28" t="s">
        <v>285</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3">
      <c r="C107" s="32"/>
      <c r="E107" s="32"/>
      <c r="F107" s="191" t="s">
        <v>194</v>
      </c>
      <c r="G107" s="28" t="s">
        <v>285</v>
      </c>
      <c r="J107" s="194">
        <f>'Pseudo-load coefficients'!J295</f>
        <v>0.11593126124259819</v>
      </c>
      <c r="K107" s="194">
        <f>'Pseudo-load coefficients'!K295</f>
        <v>0.11593126124259819</v>
      </c>
      <c r="L107" s="194">
        <f>'Pseudo-load coefficients'!L295</f>
        <v>0.10139570293495453</v>
      </c>
      <c r="M107" s="194">
        <f>'Pseudo-load coefficients'!M295</f>
        <v>0.10139570293495453</v>
      </c>
      <c r="N107" s="194">
        <f>'Pseudo-load coefficients'!N295</f>
        <v>8.6170457981865678E-2</v>
      </c>
      <c r="O107" s="194">
        <f>'Pseudo-load coefficients'!O295</f>
        <v>8.1117464135869594E-2</v>
      </c>
      <c r="P107" s="194">
        <f>'Pseudo-load coefficients'!P295</f>
        <v>7.2238557050210858E-2</v>
      </c>
      <c r="Q107" s="194">
        <f>'Pseudo-load coefficients'!Q295</f>
        <v>0.10018276583196245</v>
      </c>
      <c r="R107" s="194">
        <f>'Pseudo-load coefficients'!R295</f>
        <v>7.0800697071956201E-2</v>
      </c>
      <c r="S107" s="194">
        <f>'Pseudo-load coefficients'!S295</f>
        <v>7.0800697071956201E-2</v>
      </c>
      <c r="T107" s="194">
        <f>'Pseudo-load coefficients'!T295</f>
        <v>7.0800697071956201E-2</v>
      </c>
      <c r="U107" s="194">
        <f>'Pseudo-load coefficients'!U295</f>
        <v>7.0800697071956201E-2</v>
      </c>
      <c r="V107" s="194">
        <f>'Pseudo-load coefficients'!V295</f>
        <v>7.0800697071956201E-2</v>
      </c>
      <c r="W107" s="194">
        <f>'Pseudo-load coefficients'!W295</f>
        <v>7.0800697071956201E-2</v>
      </c>
      <c r="X107" s="194">
        <f>'Pseudo-load coefficients'!X295</f>
        <v>7.0800697071956201E-2</v>
      </c>
      <c r="Y107" s="194">
        <f>'Pseudo-load coefficients'!Y295</f>
        <v>7.0800697071956201E-2</v>
      </c>
    </row>
    <row r="108" spans="3:25" x14ac:dyDescent="0.3">
      <c r="C108" s="32"/>
      <c r="E108" s="32"/>
      <c r="F108" s="191" t="s">
        <v>195</v>
      </c>
      <c r="G108" s="28" t="s">
        <v>285</v>
      </c>
      <c r="J108" s="194">
        <f>'Pseudo-load coefficients'!J296</f>
        <v>0.11593126124259819</v>
      </c>
      <c r="K108" s="194">
        <f>'Pseudo-load coefficients'!K296</f>
        <v>0.11593126124259819</v>
      </c>
      <c r="L108" s="194">
        <f>'Pseudo-load coefficients'!L296</f>
        <v>0.10139570293495453</v>
      </c>
      <c r="M108" s="194">
        <f>'Pseudo-load coefficients'!M296</f>
        <v>0.10139570293495453</v>
      </c>
      <c r="N108" s="194">
        <f>'Pseudo-load coefficients'!N296</f>
        <v>8.6170457981865678E-2</v>
      </c>
      <c r="O108" s="194">
        <f>'Pseudo-load coefficients'!O296</f>
        <v>8.1117464135869594E-2</v>
      </c>
      <c r="P108" s="194">
        <f>'Pseudo-load coefficients'!P296</f>
        <v>7.2238557050210858E-2</v>
      </c>
      <c r="Q108" s="194">
        <f>'Pseudo-load coefficients'!Q296</f>
        <v>0.10018276583196245</v>
      </c>
      <c r="R108" s="194">
        <f>'Pseudo-load coefficients'!R296</f>
        <v>7.0800697071956201E-2</v>
      </c>
      <c r="S108" s="194">
        <f>'Pseudo-load coefficients'!S296</f>
        <v>7.0800697071956201E-2</v>
      </c>
      <c r="T108" s="194">
        <f>'Pseudo-load coefficients'!T296</f>
        <v>7.0800697071956201E-2</v>
      </c>
      <c r="U108" s="194">
        <f>'Pseudo-load coefficients'!U296</f>
        <v>7.0800697071956201E-2</v>
      </c>
      <c r="V108" s="194">
        <f>'Pseudo-load coefficients'!V296</f>
        <v>7.0800697071956201E-2</v>
      </c>
      <c r="W108" s="194">
        <f>'Pseudo-load coefficients'!W296</f>
        <v>7.0800697071956201E-2</v>
      </c>
      <c r="X108" s="194">
        <f>'Pseudo-load coefficients'!X296</f>
        <v>7.0800697071956201E-2</v>
      </c>
      <c r="Y108" s="194">
        <f>'Pseudo-load coefficients'!Y296</f>
        <v>7.0800697071956201E-2</v>
      </c>
    </row>
    <row r="109" spans="3:25" x14ac:dyDescent="0.3">
      <c r="C109" s="32"/>
      <c r="E109" s="32"/>
      <c r="F109" s="191" t="s">
        <v>196</v>
      </c>
      <c r="G109" s="28" t="s">
        <v>285</v>
      </c>
      <c r="J109" s="194">
        <f>'Pseudo-load coefficients'!J297</f>
        <v>0.16029071744126216</v>
      </c>
      <c r="K109" s="194">
        <f>'Pseudo-load coefficients'!K297</f>
        <v>0.16029071744126216</v>
      </c>
      <c r="L109" s="194">
        <f>'Pseudo-load coefficients'!L297</f>
        <v>0.14019333348659346</v>
      </c>
      <c r="M109" s="194">
        <f>'Pseudo-load coefficients'!M297</f>
        <v>0.14019333348659346</v>
      </c>
      <c r="N109" s="194">
        <f>'Pseudo-load coefficients'!N297</f>
        <v>0.11914236405357193</v>
      </c>
      <c r="O109" s="194">
        <f>'Pseudo-load coefficients'!O297</f>
        <v>0.11215591363355887</v>
      </c>
      <c r="P109" s="194">
        <f>'Pseudo-load coefficients'!P297</f>
        <v>9.9879618425518818E-2</v>
      </c>
      <c r="Q109" s="194">
        <f>'Pseudo-load coefficients'!Q297</f>
        <v>0.13851628316931211</v>
      </c>
      <c r="R109" s="194">
        <f>'Pseudo-load coefficients'!R297</f>
        <v>9.7891581678362052E-2</v>
      </c>
      <c r="S109" s="194">
        <f>'Pseudo-load coefficients'!S297</f>
        <v>9.7891581678362052E-2</v>
      </c>
      <c r="T109" s="194">
        <f>'Pseudo-load coefficients'!T297</f>
        <v>9.7891581678362052E-2</v>
      </c>
      <c r="U109" s="194">
        <f>'Pseudo-load coefficients'!U297</f>
        <v>9.7891581678362052E-2</v>
      </c>
      <c r="V109" s="194">
        <f>'Pseudo-load coefficients'!V297</f>
        <v>9.7891581678362052E-2</v>
      </c>
      <c r="W109" s="194">
        <f>'Pseudo-load coefficients'!W297</f>
        <v>9.7891581678362052E-2</v>
      </c>
      <c r="X109" s="194">
        <f>'Pseudo-load coefficients'!X297</f>
        <v>9.7891581678362052E-2</v>
      </c>
      <c r="Y109" s="194">
        <f>'Pseudo-load coefficients'!Y297</f>
        <v>9.7891581678362052E-2</v>
      </c>
    </row>
    <row r="110" spans="3:25" x14ac:dyDescent="0.3">
      <c r="C110" s="32"/>
      <c r="E110" s="32"/>
      <c r="F110" s="191" t="s">
        <v>197</v>
      </c>
      <c r="G110" s="28" t="s">
        <v>285</v>
      </c>
      <c r="J110" s="194">
        <f>'Pseudo-load coefficients'!J298</f>
        <v>0.16029071744126216</v>
      </c>
      <c r="K110" s="194">
        <f>'Pseudo-load coefficients'!K298</f>
        <v>0.16029071744126216</v>
      </c>
      <c r="L110" s="194">
        <f>'Pseudo-load coefficients'!L298</f>
        <v>0.14019333348659346</v>
      </c>
      <c r="M110" s="194">
        <f>'Pseudo-load coefficients'!M298</f>
        <v>0.14019333348659346</v>
      </c>
      <c r="N110" s="194">
        <f>'Pseudo-load coefficients'!N298</f>
        <v>0.11914236405357193</v>
      </c>
      <c r="O110" s="194">
        <f>'Pseudo-load coefficients'!O298</f>
        <v>0.11215591363355887</v>
      </c>
      <c r="P110" s="194">
        <f>'Pseudo-load coefficients'!P298</f>
        <v>9.9879618425518818E-2</v>
      </c>
      <c r="Q110" s="194">
        <f>'Pseudo-load coefficients'!Q298</f>
        <v>0.13851628316931211</v>
      </c>
      <c r="R110" s="194">
        <f>'Pseudo-load coefficients'!R298</f>
        <v>9.7891581678362052E-2</v>
      </c>
      <c r="S110" s="194">
        <f>'Pseudo-load coefficients'!S298</f>
        <v>9.7891581678362052E-2</v>
      </c>
      <c r="T110" s="194">
        <f>'Pseudo-load coefficients'!T298</f>
        <v>9.7891581678362052E-2</v>
      </c>
      <c r="U110" s="194">
        <f>'Pseudo-load coefficients'!U298</f>
        <v>9.7891581678362052E-2</v>
      </c>
      <c r="V110" s="194">
        <f>'Pseudo-load coefficients'!V298</f>
        <v>9.7891581678362052E-2</v>
      </c>
      <c r="W110" s="194">
        <f>'Pseudo-load coefficients'!W298</f>
        <v>9.7891581678362052E-2</v>
      </c>
      <c r="X110" s="194">
        <f>'Pseudo-load coefficients'!X298</f>
        <v>9.7891581678362052E-2</v>
      </c>
      <c r="Y110" s="194">
        <f>'Pseudo-load coefficients'!Y298</f>
        <v>9.7891581678362052E-2</v>
      </c>
    </row>
    <row r="111" spans="3:25" x14ac:dyDescent="0.3">
      <c r="C111" s="32"/>
      <c r="E111" s="32"/>
      <c r="F111" s="191" t="s">
        <v>198</v>
      </c>
      <c r="G111" s="28" t="s">
        <v>285</v>
      </c>
      <c r="J111" s="194">
        <f>'Pseudo-load coefficients'!J299</f>
        <v>0.11593126124259819</v>
      </c>
      <c r="K111" s="194">
        <f>'Pseudo-load coefficients'!K299</f>
        <v>0.11593126124259819</v>
      </c>
      <c r="L111" s="194">
        <f>'Pseudo-load coefficients'!L299</f>
        <v>0.10139570293495453</v>
      </c>
      <c r="M111" s="194">
        <f>'Pseudo-load coefficients'!M299</f>
        <v>0.10139570293495453</v>
      </c>
      <c r="N111" s="194">
        <f>'Pseudo-load coefficients'!N299</f>
        <v>8.6170457981865678E-2</v>
      </c>
      <c r="O111" s="194">
        <f>'Pseudo-load coefficients'!O299</f>
        <v>8.1117464135869594E-2</v>
      </c>
      <c r="P111" s="194">
        <f>'Pseudo-load coefficients'!P299</f>
        <v>7.2238557050210858E-2</v>
      </c>
      <c r="Q111" s="194">
        <f>'Pseudo-load coefficients'!Q299</f>
        <v>0.10018276583196245</v>
      </c>
      <c r="R111" s="194">
        <f>'Pseudo-load coefficients'!R299</f>
        <v>7.0800697071956201E-2</v>
      </c>
      <c r="S111" s="194">
        <f>'Pseudo-load coefficients'!S299</f>
        <v>7.0800697071956201E-2</v>
      </c>
      <c r="T111" s="194">
        <f>'Pseudo-load coefficients'!T299</f>
        <v>7.0800697071956201E-2</v>
      </c>
      <c r="U111" s="194">
        <f>'Pseudo-load coefficients'!U299</f>
        <v>7.0800697071956201E-2</v>
      </c>
      <c r="V111" s="194">
        <f>'Pseudo-load coefficients'!V299</f>
        <v>7.0800697071956201E-2</v>
      </c>
      <c r="W111" s="194">
        <f>'Pseudo-load coefficients'!W299</f>
        <v>7.0800697071956201E-2</v>
      </c>
      <c r="X111" s="194">
        <f>'Pseudo-load coefficients'!X299</f>
        <v>7.0800697071956201E-2</v>
      </c>
      <c r="Y111" s="194">
        <f>'Pseudo-load coefficients'!Y299</f>
        <v>7.0800697071956201E-2</v>
      </c>
    </row>
    <row r="112" spans="3:25" x14ac:dyDescent="0.3">
      <c r="C112" s="32"/>
      <c r="E112" s="32"/>
      <c r="F112" s="191" t="s">
        <v>199</v>
      </c>
      <c r="G112" s="28" t="s">
        <v>285</v>
      </c>
      <c r="J112" s="194">
        <f>'Pseudo-load coefficients'!J300</f>
        <v>0.16029071744126216</v>
      </c>
      <c r="K112" s="194">
        <f>'Pseudo-load coefficients'!K300</f>
        <v>0.16029071744126216</v>
      </c>
      <c r="L112" s="194">
        <f>'Pseudo-load coefficients'!L300</f>
        <v>0.14019333348659346</v>
      </c>
      <c r="M112" s="194">
        <f>'Pseudo-load coefficients'!M300</f>
        <v>0.14019333348659346</v>
      </c>
      <c r="N112" s="194">
        <f>'Pseudo-load coefficients'!N300</f>
        <v>0.11914236405357193</v>
      </c>
      <c r="O112" s="194">
        <f>'Pseudo-load coefficients'!O300</f>
        <v>0.11215591363355887</v>
      </c>
      <c r="P112" s="194">
        <f>'Pseudo-load coefficients'!P300</f>
        <v>9.9879618425518818E-2</v>
      </c>
      <c r="Q112" s="194">
        <f>'Pseudo-load coefficients'!Q300</f>
        <v>0.13851628316931211</v>
      </c>
      <c r="R112" s="194">
        <f>'Pseudo-load coefficients'!R300</f>
        <v>9.7891581678362052E-2</v>
      </c>
      <c r="S112" s="194">
        <f>'Pseudo-load coefficients'!S300</f>
        <v>9.7891581678362052E-2</v>
      </c>
      <c r="T112" s="194">
        <f>'Pseudo-load coefficients'!T300</f>
        <v>9.7891581678362052E-2</v>
      </c>
      <c r="U112" s="194">
        <f>'Pseudo-load coefficients'!U300</f>
        <v>9.7891581678362052E-2</v>
      </c>
      <c r="V112" s="194">
        <f>'Pseudo-load coefficients'!V300</f>
        <v>9.7891581678362052E-2</v>
      </c>
      <c r="W112" s="194">
        <f>'Pseudo-load coefficients'!W300</f>
        <v>9.7891581678362052E-2</v>
      </c>
      <c r="X112" s="194">
        <f>'Pseudo-load coefficients'!X300</f>
        <v>9.7891581678362052E-2</v>
      </c>
      <c r="Y112" s="194">
        <f>'Pseudo-load coefficients'!Y300</f>
        <v>9.7891581678362052E-2</v>
      </c>
    </row>
    <row r="113" spans="2:27" x14ac:dyDescent="0.3">
      <c r="C113" s="32"/>
      <c r="E113" s="32"/>
      <c r="F113" s="191" t="s">
        <v>200</v>
      </c>
      <c r="G113" s="28" t="s">
        <v>285</v>
      </c>
      <c r="J113" s="194">
        <f>'Pseudo-load coefficients'!J301</f>
        <v>0.16029071744126216</v>
      </c>
      <c r="K113" s="194">
        <f>'Pseudo-load coefficients'!K301</f>
        <v>0.16029071744126216</v>
      </c>
      <c r="L113" s="194">
        <f>'Pseudo-load coefficients'!L301</f>
        <v>0.14019333348659346</v>
      </c>
      <c r="M113" s="194">
        <f>'Pseudo-load coefficients'!M301</f>
        <v>0.14019333348659346</v>
      </c>
      <c r="N113" s="194">
        <f>'Pseudo-load coefficients'!N301</f>
        <v>0.11914236405357193</v>
      </c>
      <c r="O113" s="194">
        <f>'Pseudo-load coefficients'!O301</f>
        <v>0.11215591363355887</v>
      </c>
      <c r="P113" s="194">
        <f>'Pseudo-load coefficients'!P301</f>
        <v>9.9879618425518818E-2</v>
      </c>
      <c r="Q113" s="194">
        <f>'Pseudo-load coefficients'!Q301</f>
        <v>0.13851628316931211</v>
      </c>
      <c r="R113" s="194">
        <f>'Pseudo-load coefficients'!R301</f>
        <v>9.7891581678362052E-2</v>
      </c>
      <c r="S113" s="194">
        <f>'Pseudo-load coefficients'!S301</f>
        <v>9.7891581678362052E-2</v>
      </c>
      <c r="T113" s="194">
        <f>'Pseudo-load coefficients'!T301</f>
        <v>9.7891581678362052E-2</v>
      </c>
      <c r="U113" s="194">
        <f>'Pseudo-load coefficients'!U301</f>
        <v>9.7891581678362052E-2</v>
      </c>
      <c r="V113" s="194">
        <f>'Pseudo-load coefficients'!V301</f>
        <v>9.7891581678362052E-2</v>
      </c>
      <c r="W113" s="194">
        <f>'Pseudo-load coefficients'!W301</f>
        <v>9.7891581678362052E-2</v>
      </c>
      <c r="X113" s="194">
        <f>'Pseudo-load coefficients'!X301</f>
        <v>9.7891581678362052E-2</v>
      </c>
      <c r="Y113" s="194">
        <f>'Pseudo-load coefficients'!Y301</f>
        <v>9.7891581678362052E-2</v>
      </c>
    </row>
    <row r="114" spans="2:27" x14ac:dyDescent="0.3">
      <c r="C114" s="32"/>
      <c r="E114" s="32"/>
      <c r="F114" s="192" t="s">
        <v>201</v>
      </c>
      <c r="G114" s="67" t="s">
        <v>285</v>
      </c>
      <c r="H114" s="37"/>
      <c r="I114" s="37"/>
      <c r="J114" s="195">
        <f>'Pseudo-load coefficients'!J302</f>
        <v>0.16029071744126216</v>
      </c>
      <c r="K114" s="195">
        <f>'Pseudo-load coefficients'!K302</f>
        <v>0.16029071744126216</v>
      </c>
      <c r="L114" s="195">
        <f>'Pseudo-load coefficients'!L302</f>
        <v>0.14019333348659346</v>
      </c>
      <c r="M114" s="195">
        <f>'Pseudo-load coefficients'!M302</f>
        <v>0.14019333348659346</v>
      </c>
      <c r="N114" s="195">
        <f>'Pseudo-load coefficients'!N302</f>
        <v>0.11914236405357193</v>
      </c>
      <c r="O114" s="195">
        <f>'Pseudo-load coefficients'!O302</f>
        <v>0.11215591363355887</v>
      </c>
      <c r="P114" s="195">
        <f>'Pseudo-load coefficients'!P302</f>
        <v>9.9879618425518818E-2</v>
      </c>
      <c r="Q114" s="195">
        <f>'Pseudo-load coefficients'!Q302</f>
        <v>0.13851628316931211</v>
      </c>
      <c r="R114" s="195">
        <f>'Pseudo-load coefficients'!R302</f>
        <v>9.7891581678362052E-2</v>
      </c>
      <c r="S114" s="195">
        <f>'Pseudo-load coefficients'!S302</f>
        <v>9.7891581678362052E-2</v>
      </c>
      <c r="T114" s="195">
        <f>'Pseudo-load coefficients'!T302</f>
        <v>9.7891581678362052E-2</v>
      </c>
      <c r="U114" s="195">
        <f>'Pseudo-load coefficients'!U302</f>
        <v>9.7891581678362052E-2</v>
      </c>
      <c r="V114" s="195">
        <f>'Pseudo-load coefficients'!V302</f>
        <v>9.7891581678362052E-2</v>
      </c>
      <c r="W114" s="195">
        <f>'Pseudo-load coefficients'!W302</f>
        <v>9.7891581678362052E-2</v>
      </c>
      <c r="X114" s="195">
        <f>'Pseudo-load coefficients'!X302</f>
        <v>9.7891581678362052E-2</v>
      </c>
      <c r="Y114" s="195">
        <f>'Pseudo-load coefficients'!Y302</f>
        <v>9.7891581678362052E-2</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621</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622</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156</v>
      </c>
      <c r="J121" s="163"/>
      <c r="K121" s="163"/>
      <c r="L121" s="163"/>
      <c r="M121" s="163"/>
      <c r="N121" s="163"/>
      <c r="O121" s="163"/>
      <c r="P121" s="163"/>
      <c r="Q121" s="163"/>
      <c r="R121" s="163"/>
      <c r="S121" s="163"/>
      <c r="T121" s="163"/>
      <c r="U121" s="163"/>
      <c r="V121" s="163"/>
      <c r="W121" s="163"/>
      <c r="X121" s="163"/>
      <c r="Y121" s="163"/>
      <c r="AA121" t="s">
        <v>617</v>
      </c>
    </row>
    <row r="122" spans="2:27" x14ac:dyDescent="0.3">
      <c r="E122" s="32" t="s">
        <v>623</v>
      </c>
      <c r="J122" s="89"/>
      <c r="K122" s="89"/>
      <c r="L122" s="89"/>
      <c r="M122" s="89"/>
      <c r="N122" s="89"/>
      <c r="O122" s="89"/>
      <c r="P122" s="89"/>
      <c r="Q122" s="89"/>
      <c r="R122" s="89"/>
      <c r="S122" s="89"/>
      <c r="T122" s="89"/>
      <c r="U122" s="89"/>
      <c r="V122" s="89"/>
      <c r="W122" s="89"/>
      <c r="X122" s="89"/>
      <c r="Y122" s="89"/>
    </row>
    <row r="123" spans="2:27" x14ac:dyDescent="0.3">
      <c r="E123" s="32"/>
      <c r="F123" s="190" t="s">
        <v>191</v>
      </c>
      <c r="G123" s="23" t="s">
        <v>271</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193</v>
      </c>
      <c r="G124" t="s">
        <v>271</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194</v>
      </c>
      <c r="G125" t="s">
        <v>271</v>
      </c>
      <c r="H125" s="267"/>
      <c r="I125" s="267"/>
      <c r="J125" s="275">
        <f t="shared" ref="J125:Y125" si="2">hundred * $H20 * J57 / $H45 * J$78 * (1 - J69) / hours_in_year</f>
        <v>0.13500475740654214</v>
      </c>
      <c r="K125" s="275">
        <f t="shared" si="2"/>
        <v>0.13500475740654214</v>
      </c>
      <c r="L125" s="275">
        <f t="shared" si="2"/>
        <v>0.10856727840922394</v>
      </c>
      <c r="M125" s="275">
        <f t="shared" si="2"/>
        <v>0.10856727840922394</v>
      </c>
      <c r="N125" s="275">
        <f t="shared" si="2"/>
        <v>9.051156453779996E-2</v>
      </c>
      <c r="O125" s="275">
        <f t="shared" si="2"/>
        <v>8.7204111140669949E-2</v>
      </c>
      <c r="P125" s="275">
        <f t="shared" si="2"/>
        <v>6.9826546144522328E-2</v>
      </c>
      <c r="Q125" s="275">
        <f t="shared" si="2"/>
        <v>0.12665947788156301</v>
      </c>
      <c r="R125" s="275">
        <f t="shared" si="2"/>
        <v>-6.5346644407084029E-2</v>
      </c>
      <c r="S125" s="275">
        <f t="shared" si="2"/>
        <v>-6.3583804697497567E-2</v>
      </c>
      <c r="T125" s="275">
        <f t="shared" si="2"/>
        <v>-6.5346644407084029E-2</v>
      </c>
      <c r="U125" s="275">
        <f t="shared" si="2"/>
        <v>-6.5346644407084029E-2</v>
      </c>
      <c r="V125" s="275">
        <f t="shared" si="2"/>
        <v>-6.3583804697497567E-2</v>
      </c>
      <c r="W125" s="275">
        <f t="shared" si="2"/>
        <v>-6.3583804697497567E-2</v>
      </c>
      <c r="X125" s="275">
        <f t="shared" si="2"/>
        <v>-6.2854353783185934E-2</v>
      </c>
      <c r="Y125" s="275">
        <f t="shared" si="2"/>
        <v>-6.2854353783185934E-2</v>
      </c>
      <c r="Z125" s="267"/>
      <c r="AA125" s="267"/>
    </row>
    <row r="126" spans="2:27" x14ac:dyDescent="0.3">
      <c r="E126" s="32"/>
      <c r="F126" s="191" t="s">
        <v>195</v>
      </c>
      <c r="G126" t="s">
        <v>271</v>
      </c>
      <c r="H126" s="267"/>
      <c r="I126" s="267"/>
      <c r="J126" s="275">
        <f t="shared" ref="J126:Y126" si="3">hundred * $H21 * J58 / $H46 * J$78 * (1 - J70) / hours_in_year</f>
        <v>7.0538726019762771E-2</v>
      </c>
      <c r="K126" s="275">
        <f t="shared" si="3"/>
        <v>7.0538726019762771E-2</v>
      </c>
      <c r="L126" s="275">
        <f t="shared" si="3"/>
        <v>5.6725389930951026E-2</v>
      </c>
      <c r="M126" s="275">
        <f t="shared" si="3"/>
        <v>5.6725389930951026E-2</v>
      </c>
      <c r="N126" s="275">
        <f t="shared" si="3"/>
        <v>4.7291447910431633E-2</v>
      </c>
      <c r="O126" s="275">
        <f t="shared" si="3"/>
        <v>4.5563334372175079E-2</v>
      </c>
      <c r="P126" s="275">
        <f t="shared" si="3"/>
        <v>3.6483718811201701E-2</v>
      </c>
      <c r="Q126" s="275">
        <f t="shared" si="3"/>
        <v>6.6178395337502582E-2</v>
      </c>
      <c r="R126" s="275">
        <f t="shared" si="3"/>
        <v>-3.4143011955212729E-2</v>
      </c>
      <c r="S126" s="275">
        <f t="shared" si="3"/>
        <v>-3.3221944655955835E-2</v>
      </c>
      <c r="T126" s="275">
        <f t="shared" si="3"/>
        <v>-3.4143011955212729E-2</v>
      </c>
      <c r="U126" s="275">
        <f t="shared" si="3"/>
        <v>-3.4143011955212729E-2</v>
      </c>
      <c r="V126" s="275">
        <f t="shared" si="3"/>
        <v>-3.3221944655955835E-2</v>
      </c>
      <c r="W126" s="275">
        <f t="shared" si="3"/>
        <v>-3.3221944655955835E-2</v>
      </c>
      <c r="X126" s="275">
        <f t="shared" si="3"/>
        <v>-3.2840813359711597E-2</v>
      </c>
      <c r="Y126" s="275">
        <f t="shared" si="3"/>
        <v>-3.2840813359711597E-2</v>
      </c>
      <c r="Z126" s="267"/>
      <c r="AA126" s="267"/>
    </row>
    <row r="127" spans="2:27" x14ac:dyDescent="0.3">
      <c r="E127" s="32"/>
      <c r="F127" s="191" t="s">
        <v>196</v>
      </c>
      <c r="G127" t="s">
        <v>271</v>
      </c>
      <c r="H127" s="267"/>
      <c r="I127" s="267"/>
      <c r="J127" s="275">
        <f t="shared" ref="J127:Y127" si="4">hundred * $H22 * J59 / $H47 * J$78 * (1 - J71) / hours_in_year</f>
        <v>8.7141045378538493E-2</v>
      </c>
      <c r="K127" s="275">
        <f t="shared" si="4"/>
        <v>8.7141045378538493E-2</v>
      </c>
      <c r="L127" s="275">
        <f t="shared" si="4"/>
        <v>7.0076538902947988E-2</v>
      </c>
      <c r="M127" s="275">
        <f t="shared" si="4"/>
        <v>7.0076538902947988E-2</v>
      </c>
      <c r="N127" s="275">
        <f t="shared" si="4"/>
        <v>5.8422180848930111E-2</v>
      </c>
      <c r="O127" s="275">
        <f t="shared" si="4"/>
        <v>5.6287330551034298E-2</v>
      </c>
      <c r="P127" s="275">
        <f t="shared" si="4"/>
        <v>4.2122167771806045E-2</v>
      </c>
      <c r="Q127" s="275">
        <f t="shared" si="4"/>
        <v>8.1754447189313836E-2</v>
      </c>
      <c r="R127" s="275">
        <f t="shared" si="4"/>
        <v>-4.2179068463975379E-2</v>
      </c>
      <c r="S127" s="275">
        <f t="shared" si="4"/>
        <v>-4.1041214524016968E-2</v>
      </c>
      <c r="T127" s="275">
        <f t="shared" si="4"/>
        <v>-4.2179068463975379E-2</v>
      </c>
      <c r="U127" s="275">
        <f t="shared" si="4"/>
        <v>-4.2179068463975379E-2</v>
      </c>
      <c r="V127" s="275">
        <f t="shared" si="4"/>
        <v>-4.1041214524016968E-2</v>
      </c>
      <c r="W127" s="275">
        <f t="shared" si="4"/>
        <v>-4.1041214524016968E-2</v>
      </c>
      <c r="X127" s="275">
        <f t="shared" si="4"/>
        <v>-3.7916262244506019E-2</v>
      </c>
      <c r="Y127" s="275">
        <f t="shared" si="4"/>
        <v>-3.7916262244506019E-2</v>
      </c>
      <c r="Z127" s="267"/>
      <c r="AA127" s="267"/>
    </row>
    <row r="128" spans="2:27" x14ac:dyDescent="0.3">
      <c r="E128" s="32"/>
      <c r="F128" s="191" t="s">
        <v>197</v>
      </c>
      <c r="G128" t="s">
        <v>271</v>
      </c>
      <c r="H128" s="267"/>
      <c r="I128" s="267"/>
      <c r="J128" s="275">
        <f t="shared" ref="J128:Y128" si="5">hundred * $H23 * J60 / $H48 * J$78 * (1 - J72) / hours_in_year</f>
        <v>0.14018505310908116</v>
      </c>
      <c r="K128" s="275">
        <f t="shared" si="5"/>
        <v>0.14018505310908116</v>
      </c>
      <c r="L128" s="275">
        <f t="shared" si="5"/>
        <v>0.11273313609145408</v>
      </c>
      <c r="M128" s="275">
        <f t="shared" si="5"/>
        <v>0.11273313609145408</v>
      </c>
      <c r="N128" s="275">
        <f t="shared" si="5"/>
        <v>9.3984602657436828E-2</v>
      </c>
      <c r="O128" s="275">
        <f t="shared" si="5"/>
        <v>9.0550238276215306E-2</v>
      </c>
      <c r="P128" s="275">
        <f t="shared" si="5"/>
        <v>4.7010661588314663E-2</v>
      </c>
      <c r="Q128" s="275">
        <f t="shared" si="5"/>
        <v>0.13151955512298846</v>
      </c>
      <c r="R128" s="275">
        <f t="shared" si="5"/>
        <v>-6.7854074128082573E-2</v>
      </c>
      <c r="S128" s="275">
        <f t="shared" si="5"/>
        <v>-6.6023592128348255E-2</v>
      </c>
      <c r="T128" s="275">
        <f t="shared" si="5"/>
        <v>-6.7854074128082573E-2</v>
      </c>
      <c r="U128" s="275">
        <f t="shared" si="5"/>
        <v>-6.7854074128082573E-2</v>
      </c>
      <c r="V128" s="275">
        <f t="shared" si="5"/>
        <v>-6.6023592128348255E-2</v>
      </c>
      <c r="W128" s="275">
        <f t="shared" si="5"/>
        <v>-6.6023592128348255E-2</v>
      </c>
      <c r="X128" s="275">
        <f t="shared" si="5"/>
        <v>-4.2316639132313094E-2</v>
      </c>
      <c r="Y128" s="275">
        <f t="shared" si="5"/>
        <v>-4.2316639132313094E-2</v>
      </c>
      <c r="Z128" s="267"/>
      <c r="AA128" s="267"/>
    </row>
    <row r="129" spans="4:27" x14ac:dyDescent="0.3">
      <c r="E129" s="32"/>
      <c r="F129" s="191" t="s">
        <v>198</v>
      </c>
      <c r="G129" t="s">
        <v>271</v>
      </c>
      <c r="H129" s="267"/>
      <c r="I129" s="267"/>
      <c r="J129" s="275">
        <f t="shared" ref="J129:Y129" si="6">hundred * $H24 * J61 / $H49 * J$78 * (1 - J73) / hours_in_year</f>
        <v>1.1804564015218233E-2</v>
      </c>
      <c r="K129" s="275">
        <f t="shared" si="6"/>
        <v>1.1804564015218233E-2</v>
      </c>
      <c r="L129" s="275">
        <f t="shared" si="6"/>
        <v>9.4929201945116067E-3</v>
      </c>
      <c r="M129" s="275">
        <f t="shared" si="6"/>
        <v>9.4929201945116067E-3</v>
      </c>
      <c r="N129" s="275">
        <f t="shared" si="6"/>
        <v>7.9141622727158852E-3</v>
      </c>
      <c r="O129" s="275">
        <f t="shared" si="6"/>
        <v>7.6249647206903569E-3</v>
      </c>
      <c r="P129" s="275">
        <f t="shared" si="6"/>
        <v>3.9586271989012246E-3</v>
      </c>
      <c r="Q129" s="275">
        <f t="shared" si="6"/>
        <v>1.1074868349154747E-2</v>
      </c>
      <c r="R129" s="275">
        <f t="shared" si="6"/>
        <v>-5.7137886242055163E-3</v>
      </c>
      <c r="S129" s="275">
        <f t="shared" si="6"/>
        <v>-5.5596492101571823E-3</v>
      </c>
      <c r="T129" s="275">
        <f t="shared" si="6"/>
        <v>-5.7137886242055163E-3</v>
      </c>
      <c r="U129" s="275">
        <f t="shared" si="6"/>
        <v>-5.7137886242055163E-3</v>
      </c>
      <c r="V129" s="275">
        <f t="shared" si="6"/>
        <v>-5.5596492101571823E-3</v>
      </c>
      <c r="W129" s="275">
        <f t="shared" si="6"/>
        <v>-5.5596492101571823E-3</v>
      </c>
      <c r="X129" s="275">
        <f t="shared" si="6"/>
        <v>-3.5633576081580093E-3</v>
      </c>
      <c r="Y129" s="275">
        <f t="shared" si="6"/>
        <v>-3.5633576081580093E-3</v>
      </c>
      <c r="Z129" s="267"/>
      <c r="AA129" s="267"/>
    </row>
    <row r="130" spans="4:27" x14ac:dyDescent="0.3">
      <c r="E130" s="32"/>
      <c r="F130" s="191" t="s">
        <v>199</v>
      </c>
      <c r="G130" t="s">
        <v>271</v>
      </c>
      <c r="H130" s="267"/>
      <c r="I130" s="267"/>
      <c r="J130" s="275">
        <f t="shared" ref="J130:Y130" si="7">hundred * $H25 * J62 / $H50 * J$78 * (1 - J74) / hours_in_year</f>
        <v>0.16822026863148162</v>
      </c>
      <c r="K130" s="275">
        <f t="shared" si="7"/>
        <v>0.16822026863148162</v>
      </c>
      <c r="L130" s="275">
        <f t="shared" si="7"/>
        <v>0.13527831973796425</v>
      </c>
      <c r="M130" s="275">
        <f t="shared" si="7"/>
        <v>0.13527831973796425</v>
      </c>
      <c r="N130" s="275">
        <f t="shared" si="7"/>
        <v>0.11278031969610111</v>
      </c>
      <c r="O130" s="275">
        <f t="shared" si="7"/>
        <v>0.10865912641640151</v>
      </c>
      <c r="P130" s="275">
        <f t="shared" si="7"/>
        <v>6.0495747203952809E-2</v>
      </c>
      <c r="Q130" s="275">
        <f t="shared" si="7"/>
        <v>0.15782178201171482</v>
      </c>
      <c r="R130" s="275">
        <f t="shared" si="7"/>
        <v>-8.1424020067850544E-2</v>
      </c>
      <c r="S130" s="275">
        <f t="shared" si="7"/>
        <v>-7.9227465107880618E-2</v>
      </c>
      <c r="T130" s="275">
        <f t="shared" si="7"/>
        <v>-8.1424020067850544E-2</v>
      </c>
      <c r="U130" s="275">
        <f t="shared" si="7"/>
        <v>-8.1424020067850544E-2</v>
      </c>
      <c r="V130" s="275">
        <f t="shared" si="7"/>
        <v>-7.9227465107880618E-2</v>
      </c>
      <c r="W130" s="275">
        <f t="shared" si="7"/>
        <v>-7.9227465107880618E-2</v>
      </c>
      <c r="X130" s="275">
        <f t="shared" si="7"/>
        <v>0</v>
      </c>
      <c r="Y130" s="275">
        <f t="shared" si="7"/>
        <v>0</v>
      </c>
      <c r="Z130" s="267"/>
      <c r="AA130" s="267"/>
    </row>
    <row r="131" spans="4:27" x14ac:dyDescent="0.3">
      <c r="E131" s="32"/>
      <c r="F131" s="191" t="s">
        <v>200</v>
      </c>
      <c r="G131" t="s">
        <v>271</v>
      </c>
      <c r="H131" s="267"/>
      <c r="I131" s="267"/>
      <c r="J131" s="275">
        <f t="shared" ref="J131:Y131" si="8">hundred * $H26 * J63 / $H51 * J$78 * (1 - J75) / hours_in_year</f>
        <v>4.3031741754219442E-2</v>
      </c>
      <c r="K131" s="275">
        <f t="shared" si="8"/>
        <v>4.3031741754219442E-2</v>
      </c>
      <c r="L131" s="275">
        <f t="shared" si="8"/>
        <v>3.46049959809622E-2</v>
      </c>
      <c r="M131" s="275">
        <f t="shared" si="8"/>
        <v>3.46049959809622E-2</v>
      </c>
      <c r="N131" s="275">
        <f t="shared" si="8"/>
        <v>2.8849874225041452E-2</v>
      </c>
      <c r="O131" s="275">
        <f t="shared" si="8"/>
        <v>2.7795648557861249E-2</v>
      </c>
      <c r="P131" s="275">
        <f t="shared" si="8"/>
        <v>0</v>
      </c>
      <c r="Q131" s="275">
        <f t="shared" si="8"/>
        <v>4.0371747245253532E-2</v>
      </c>
      <c r="R131" s="275">
        <f t="shared" si="8"/>
        <v>-2.082874693195207E-2</v>
      </c>
      <c r="S131" s="275">
        <f t="shared" si="8"/>
        <v>0</v>
      </c>
      <c r="T131" s="275">
        <f t="shared" si="8"/>
        <v>-2.082874693195207E-2</v>
      </c>
      <c r="U131" s="275">
        <f t="shared" si="8"/>
        <v>-2.082874693195207E-2</v>
      </c>
      <c r="V131" s="275">
        <f t="shared" si="8"/>
        <v>0</v>
      </c>
      <c r="W131" s="275">
        <f t="shared" si="8"/>
        <v>0</v>
      </c>
      <c r="X131" s="275">
        <f t="shared" si="8"/>
        <v>0</v>
      </c>
      <c r="Y131" s="275">
        <f t="shared" si="8"/>
        <v>0</v>
      </c>
      <c r="Z131" s="267"/>
      <c r="AA131" s="267"/>
    </row>
    <row r="132" spans="4:27" x14ac:dyDescent="0.3">
      <c r="E132" s="32"/>
      <c r="F132" s="192" t="s">
        <v>201</v>
      </c>
      <c r="G132" s="37" t="s">
        <v>271</v>
      </c>
      <c r="H132" s="269"/>
      <c r="I132" s="269"/>
      <c r="J132" s="276">
        <f t="shared" ref="J132:Y132" si="9">hundred * $H27 * J64 / $H52 * J$78 * (1 - J76) / hours_in_year</f>
        <v>1.8059040288978267E-2</v>
      </c>
      <c r="K132" s="276">
        <f t="shared" si="9"/>
        <v>1.8059040288978267E-2</v>
      </c>
      <c r="L132" s="276">
        <f t="shared" si="9"/>
        <v>1.4522605666056967E-2</v>
      </c>
      <c r="M132" s="276">
        <f t="shared" si="9"/>
        <v>1.4522605666056967E-2</v>
      </c>
      <c r="N132" s="276">
        <f t="shared" si="9"/>
        <v>1.2107365858852154E-2</v>
      </c>
      <c r="O132" s="276">
        <f t="shared" si="9"/>
        <v>0</v>
      </c>
      <c r="P132" s="276">
        <f t="shared" si="9"/>
        <v>0</v>
      </c>
      <c r="Q132" s="276">
        <f t="shared" si="9"/>
        <v>1.6942726004507871E-2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624</v>
      </c>
      <c r="J134" s="89"/>
      <c r="K134" s="89"/>
      <c r="L134" s="89"/>
      <c r="M134" s="89"/>
      <c r="N134" s="89"/>
      <c r="O134" s="89"/>
      <c r="P134" s="89"/>
      <c r="Q134" s="89"/>
      <c r="R134" s="89"/>
      <c r="S134" s="89"/>
      <c r="T134" s="89"/>
      <c r="U134" s="89"/>
      <c r="V134" s="89"/>
      <c r="W134" s="89"/>
      <c r="X134" s="89"/>
      <c r="Y134" s="89"/>
    </row>
    <row r="135" spans="4:27" x14ac:dyDescent="0.3">
      <c r="D135" s="32"/>
      <c r="E135" s="32"/>
      <c r="F135" s="190" t="s">
        <v>191</v>
      </c>
      <c r="G135" s="23" t="s">
        <v>271</v>
      </c>
      <c r="H135" s="266"/>
      <c r="I135" s="266"/>
      <c r="J135" s="274">
        <f t="shared" ref="J135:Y135" si="10">hundred * $H30 * J55 / $H43 * J$78 / hours_in_year</f>
        <v>6.8602111154455081E-2</v>
      </c>
      <c r="K135" s="274">
        <f t="shared" si="10"/>
        <v>6.8602111154455081E-2</v>
      </c>
      <c r="L135" s="274">
        <f t="shared" si="10"/>
        <v>5.5168015144371009E-2</v>
      </c>
      <c r="M135" s="274">
        <f t="shared" si="10"/>
        <v>5.5168015144371009E-2</v>
      </c>
      <c r="N135" s="274">
        <f t="shared" si="10"/>
        <v>4.5993078543800227E-2</v>
      </c>
      <c r="O135" s="274">
        <f t="shared" si="10"/>
        <v>4.4312409729257422E-2</v>
      </c>
      <c r="P135" s="274">
        <f t="shared" si="10"/>
        <v>3.548207168517218E-2</v>
      </c>
      <c r="Q135" s="274">
        <f t="shared" si="10"/>
        <v>6.4361491752698549E-2</v>
      </c>
      <c r="R135" s="274">
        <f t="shared" si="10"/>
        <v>-3.3205628077875374E-2</v>
      </c>
      <c r="S135" s="274">
        <f t="shared" si="10"/>
        <v>-3.230984834368153E-2</v>
      </c>
      <c r="T135" s="274">
        <f t="shared" si="10"/>
        <v>-3.3205628077875374E-2</v>
      </c>
      <c r="U135" s="274">
        <f t="shared" si="10"/>
        <v>-3.3205628077875374E-2</v>
      </c>
      <c r="V135" s="274">
        <f t="shared" si="10"/>
        <v>-3.230984834368153E-2</v>
      </c>
      <c r="W135" s="274">
        <f t="shared" si="10"/>
        <v>-3.230984834368153E-2</v>
      </c>
      <c r="X135" s="274">
        <f t="shared" si="10"/>
        <v>-3.1939180867463383E-2</v>
      </c>
      <c r="Y135" s="274">
        <f t="shared" si="10"/>
        <v>-3.1939180867463383E-2</v>
      </c>
      <c r="Z135" s="267"/>
      <c r="AA135" s="267"/>
    </row>
    <row r="136" spans="4:27" x14ac:dyDescent="0.3">
      <c r="D136" s="32"/>
      <c r="E136" s="32"/>
      <c r="F136" s="191" t="s">
        <v>193</v>
      </c>
      <c r="G136" t="s">
        <v>271</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194</v>
      </c>
      <c r="G137" t="s">
        <v>271</v>
      </c>
      <c r="H137" s="267"/>
      <c r="I137" s="267"/>
      <c r="J137" s="275">
        <f t="shared" ref="J137:Y137" si="12">hundred * $H32 * J57 / $H45 * J$78 / hours_in_year</f>
        <v>8.6541756221709787E-2</v>
      </c>
      <c r="K137" s="275">
        <f t="shared" si="12"/>
        <v>8.6541756221709787E-2</v>
      </c>
      <c r="L137" s="275">
        <f t="shared" si="12"/>
        <v>6.9594606310445881E-2</v>
      </c>
      <c r="M137" s="275">
        <f t="shared" si="12"/>
        <v>6.9594606310445881E-2</v>
      </c>
      <c r="N137" s="275">
        <f t="shared" si="12"/>
        <v>5.8020397976703143E-2</v>
      </c>
      <c r="O137" s="275">
        <f t="shared" si="12"/>
        <v>5.5900229538881692E-2</v>
      </c>
      <c r="P137" s="275">
        <f t="shared" si="12"/>
        <v>4.4760733253614883E-2</v>
      </c>
      <c r="Q137" s="275">
        <f t="shared" si="12"/>
        <v>8.1192202916132925E-2</v>
      </c>
      <c r="R137" s="275">
        <f t="shared" si="12"/>
        <v>-4.1888993238623287E-2</v>
      </c>
      <c r="S137" s="275">
        <f t="shared" si="12"/>
        <v>-4.0758964583813909E-2</v>
      </c>
      <c r="T137" s="275">
        <f t="shared" si="12"/>
        <v>-4.1888993238623287E-2</v>
      </c>
      <c r="U137" s="275">
        <f t="shared" si="12"/>
        <v>-4.1888993238623287E-2</v>
      </c>
      <c r="V137" s="275">
        <f t="shared" si="12"/>
        <v>-4.0758964583813909E-2</v>
      </c>
      <c r="W137" s="275">
        <f t="shared" si="12"/>
        <v>-4.0758964583813909E-2</v>
      </c>
      <c r="X137" s="275">
        <f t="shared" si="12"/>
        <v>-4.0291366519754859E-2</v>
      </c>
      <c r="Y137" s="275">
        <f t="shared" si="12"/>
        <v>-4.0291366519754859E-2</v>
      </c>
      <c r="Z137" s="267"/>
      <c r="AA137" s="267"/>
    </row>
    <row r="138" spans="4:27" x14ac:dyDescent="0.3">
      <c r="D138" s="32"/>
      <c r="E138" s="32"/>
      <c r="F138" s="191" t="s">
        <v>195</v>
      </c>
      <c r="G138" t="s">
        <v>271</v>
      </c>
      <c r="H138" s="267"/>
      <c r="I138" s="267"/>
      <c r="J138" s="275">
        <f t="shared" ref="J138:Y138" si="13">hundred * $H33 * J58 / $H46 * J$78 / hours_in_year</f>
        <v>4.5217260107431358E-2</v>
      </c>
      <c r="K138" s="275">
        <f t="shared" si="13"/>
        <v>4.5217260107431358E-2</v>
      </c>
      <c r="L138" s="275">
        <f t="shared" si="13"/>
        <v>3.6362532412120063E-2</v>
      </c>
      <c r="M138" s="275">
        <f t="shared" si="13"/>
        <v>3.6362532412120063E-2</v>
      </c>
      <c r="N138" s="275">
        <f t="shared" si="13"/>
        <v>3.03151165563143E-2</v>
      </c>
      <c r="O138" s="275">
        <f t="shared" si="13"/>
        <v>2.9207348330777767E-2</v>
      </c>
      <c r="P138" s="275">
        <f t="shared" si="13"/>
        <v>2.3387065464016185E-2</v>
      </c>
      <c r="Q138" s="275">
        <f t="shared" si="13"/>
        <v>4.2422168421781495E-2</v>
      </c>
      <c r="R138" s="275">
        <f t="shared" si="13"/>
        <v>-2.188660810229905E-2</v>
      </c>
      <c r="S138" s="275">
        <f t="shared" si="13"/>
        <v>-2.1296178674423075E-2</v>
      </c>
      <c r="T138" s="275">
        <f t="shared" si="13"/>
        <v>-2.188660810229905E-2</v>
      </c>
      <c r="U138" s="275">
        <f t="shared" si="13"/>
        <v>-2.188660810229905E-2</v>
      </c>
      <c r="V138" s="275">
        <f t="shared" si="13"/>
        <v>-2.1296178674423075E-2</v>
      </c>
      <c r="W138" s="275">
        <f t="shared" si="13"/>
        <v>-2.1296178674423075E-2</v>
      </c>
      <c r="X138" s="275">
        <f t="shared" si="13"/>
        <v>-2.105186304909509E-2</v>
      </c>
      <c r="Y138" s="275">
        <f t="shared" si="13"/>
        <v>-2.105186304909509E-2</v>
      </c>
      <c r="Z138" s="267"/>
      <c r="AA138" s="267"/>
    </row>
    <row r="139" spans="4:27" x14ac:dyDescent="0.3">
      <c r="D139" s="32"/>
      <c r="E139" s="32"/>
      <c r="F139" s="191" t="s">
        <v>196</v>
      </c>
      <c r="G139" t="s">
        <v>271</v>
      </c>
      <c r="H139" s="267"/>
      <c r="I139" s="267"/>
      <c r="J139" s="275">
        <f t="shared" ref="J139:Y139" si="14">hundred * $H34 * J59 / $H47 * J$78 / hours_in_year</f>
        <v>5.5859802653806225E-2</v>
      </c>
      <c r="K139" s="275">
        <f t="shared" si="14"/>
        <v>5.5859802653806225E-2</v>
      </c>
      <c r="L139" s="275">
        <f t="shared" si="14"/>
        <v>4.4920985475628922E-2</v>
      </c>
      <c r="M139" s="275">
        <f t="shared" si="14"/>
        <v>4.4920985475628922E-2</v>
      </c>
      <c r="N139" s="275">
        <f t="shared" si="14"/>
        <v>3.7450221978057106E-2</v>
      </c>
      <c r="O139" s="275">
        <f t="shared" si="14"/>
        <v>3.6081724322126418E-2</v>
      </c>
      <c r="P139" s="275">
        <f t="shared" si="14"/>
        <v>2.8891552879757254E-2</v>
      </c>
      <c r="Q139" s="275">
        <f t="shared" si="14"/>
        <v>5.2406845318736829E-2</v>
      </c>
      <c r="R139" s="275">
        <f t="shared" si="14"/>
        <v>-2.703794096437729E-2</v>
      </c>
      <c r="S139" s="275">
        <f t="shared" si="14"/>
        <v>-2.6308545347663855E-2</v>
      </c>
      <c r="T139" s="275">
        <f t="shared" si="14"/>
        <v>-2.703794096437729E-2</v>
      </c>
      <c r="U139" s="275">
        <f t="shared" si="14"/>
        <v>-2.703794096437729E-2</v>
      </c>
      <c r="V139" s="275">
        <f t="shared" si="14"/>
        <v>-2.6308545347663855E-2</v>
      </c>
      <c r="W139" s="275">
        <f t="shared" si="14"/>
        <v>-2.6308545347663855E-2</v>
      </c>
      <c r="X139" s="275">
        <f t="shared" si="14"/>
        <v>-2.6006726471782437E-2</v>
      </c>
      <c r="Y139" s="275">
        <f t="shared" si="14"/>
        <v>-2.6006726471782437E-2</v>
      </c>
      <c r="Z139" s="267"/>
      <c r="AA139" s="267"/>
    </row>
    <row r="140" spans="4:27" x14ac:dyDescent="0.3">
      <c r="D140" s="32"/>
      <c r="E140" s="32"/>
      <c r="F140" s="191" t="s">
        <v>197</v>
      </c>
      <c r="G140" t="s">
        <v>271</v>
      </c>
      <c r="H140" s="267"/>
      <c r="I140" s="267"/>
      <c r="J140" s="275">
        <f t="shared" ref="J140:Y140" si="15">hundred * $H35 * J60 / $H48 * J$78 / hours_in_year</f>
        <v>8.986246799852142E-2</v>
      </c>
      <c r="K140" s="275">
        <f t="shared" si="15"/>
        <v>8.986246799852142E-2</v>
      </c>
      <c r="L140" s="275">
        <f t="shared" si="15"/>
        <v>7.2265035463577529E-2</v>
      </c>
      <c r="M140" s="275">
        <f t="shared" si="15"/>
        <v>7.2265035463577529E-2</v>
      </c>
      <c r="N140" s="275">
        <f t="shared" si="15"/>
        <v>6.0246710767986697E-2</v>
      </c>
      <c r="O140" s="275">
        <f t="shared" si="15"/>
        <v>5.8045188904863126E-2</v>
      </c>
      <c r="P140" s="275">
        <f t="shared" si="15"/>
        <v>4.6478256684422223E-2</v>
      </c>
      <c r="Q140" s="275">
        <f t="shared" si="15"/>
        <v>8.4307645867373215E-2</v>
      </c>
      <c r="R140" s="275">
        <f t="shared" si="15"/>
        <v>-4.3496324534395905E-2</v>
      </c>
      <c r="S140" s="275">
        <f t="shared" si="15"/>
        <v>-4.232293531439825E-2</v>
      </c>
      <c r="T140" s="275">
        <f t="shared" si="15"/>
        <v>-4.3496324534395905E-2</v>
      </c>
      <c r="U140" s="275">
        <f t="shared" si="15"/>
        <v>-4.3496324534395905E-2</v>
      </c>
      <c r="V140" s="275">
        <f t="shared" si="15"/>
        <v>-4.232293531439825E-2</v>
      </c>
      <c r="W140" s="275">
        <f t="shared" si="15"/>
        <v>-4.232293531439825E-2</v>
      </c>
      <c r="X140" s="275">
        <f t="shared" si="15"/>
        <v>-4.1837394947502667E-2</v>
      </c>
      <c r="Y140" s="275">
        <f t="shared" si="15"/>
        <v>-4.1837394947502667E-2</v>
      </c>
      <c r="Z140" s="267"/>
      <c r="AA140" s="267"/>
    </row>
    <row r="141" spans="4:27" x14ac:dyDescent="0.3">
      <c r="D141" s="32"/>
      <c r="E141" s="32"/>
      <c r="F141" s="191" t="s">
        <v>198</v>
      </c>
      <c r="G141" t="s">
        <v>271</v>
      </c>
      <c r="H141" s="267"/>
      <c r="I141" s="267"/>
      <c r="J141" s="275">
        <f t="shared" ref="J141:Y141" si="16">hundred * $H36 * J61 / $H49 * J$78 / hours_in_year</f>
        <v>7.5670496427933977E-3</v>
      </c>
      <c r="K141" s="275">
        <f t="shared" si="16"/>
        <v>7.5670496427933977E-3</v>
      </c>
      <c r="L141" s="275">
        <f t="shared" si="16"/>
        <v>6.0852224846541505E-3</v>
      </c>
      <c r="M141" s="275">
        <f t="shared" si="16"/>
        <v>6.0852224846541505E-3</v>
      </c>
      <c r="N141" s="275">
        <f t="shared" si="16"/>
        <v>5.0731953100138765E-3</v>
      </c>
      <c r="O141" s="275">
        <f t="shared" si="16"/>
        <v>4.8878117388857691E-3</v>
      </c>
      <c r="P141" s="275">
        <f t="shared" si="16"/>
        <v>3.9137949744191738E-3</v>
      </c>
      <c r="Q141" s="275">
        <f t="shared" si="16"/>
        <v>7.0992946861414457E-3</v>
      </c>
      <c r="R141" s="275">
        <f t="shared" si="16"/>
        <v>-3.6626953873138877E-3</v>
      </c>
      <c r="S141" s="275">
        <f t="shared" si="16"/>
        <v>-3.5638877908189081E-3</v>
      </c>
      <c r="T141" s="275">
        <f t="shared" si="16"/>
        <v>-3.6626953873138877E-3</v>
      </c>
      <c r="U141" s="275">
        <f t="shared" si="16"/>
        <v>-3.6626953873138877E-3</v>
      </c>
      <c r="V141" s="275">
        <f t="shared" si="16"/>
        <v>-3.5638877908189081E-3</v>
      </c>
      <c r="W141" s="275">
        <f t="shared" si="16"/>
        <v>-3.5638877908189081E-3</v>
      </c>
      <c r="X141" s="275">
        <f t="shared" si="16"/>
        <v>-3.5230018888209856E-3</v>
      </c>
      <c r="Y141" s="275">
        <f t="shared" si="16"/>
        <v>-3.5230018888209856E-3</v>
      </c>
      <c r="Z141" s="267"/>
      <c r="AA141" s="267"/>
    </row>
    <row r="142" spans="4:27" x14ac:dyDescent="0.3">
      <c r="D142" s="32"/>
      <c r="E142" s="32"/>
      <c r="F142" s="191" t="s">
        <v>199</v>
      </c>
      <c r="G142" t="s">
        <v>271</v>
      </c>
      <c r="H142" s="267"/>
      <c r="I142" s="267"/>
      <c r="J142" s="275">
        <f t="shared" ref="J142:Y142" si="17">hundred * $H37 * J62 / $H50 * J$78 / hours_in_year</f>
        <v>0.20702774092420145</v>
      </c>
      <c r="K142" s="275">
        <f t="shared" si="17"/>
        <v>0.20702774092420145</v>
      </c>
      <c r="L142" s="275">
        <f t="shared" si="17"/>
        <v>0.16648626921840076</v>
      </c>
      <c r="M142" s="275">
        <f t="shared" si="17"/>
        <v>0.16648626921840076</v>
      </c>
      <c r="N142" s="275">
        <f t="shared" si="17"/>
        <v>0.13879810677595983</v>
      </c>
      <c r="O142" s="275">
        <f t="shared" si="17"/>
        <v>0.13372617732566686</v>
      </c>
      <c r="P142" s="275">
        <f t="shared" si="17"/>
        <v>0.10707794586310963</v>
      </c>
      <c r="Q142" s="275">
        <f t="shared" si="17"/>
        <v>0.19423038177459195</v>
      </c>
      <c r="R142" s="275">
        <f t="shared" si="17"/>
        <v>-0.10020808472576193</v>
      </c>
      <c r="S142" s="275">
        <f t="shared" si="17"/>
        <v>-9.7504796858741374E-2</v>
      </c>
      <c r="T142" s="275">
        <f t="shared" si="17"/>
        <v>-0.10020808472576193</v>
      </c>
      <c r="U142" s="275">
        <f t="shared" si="17"/>
        <v>-0.10020808472576193</v>
      </c>
      <c r="V142" s="275">
        <f t="shared" si="17"/>
        <v>-9.7504796858741374E-2</v>
      </c>
      <c r="W142" s="275">
        <f t="shared" si="17"/>
        <v>-9.7504796858741374E-2</v>
      </c>
      <c r="X142" s="275">
        <f t="shared" si="17"/>
        <v>0</v>
      </c>
      <c r="Y142" s="275">
        <f t="shared" si="17"/>
        <v>0</v>
      </c>
      <c r="Z142" s="267"/>
      <c r="AA142" s="267"/>
    </row>
    <row r="143" spans="4:27" x14ac:dyDescent="0.3">
      <c r="D143" s="32"/>
      <c r="E143" s="32"/>
      <c r="F143" s="191" t="s">
        <v>200</v>
      </c>
      <c r="G143" t="s">
        <v>271</v>
      </c>
      <c r="H143" s="267"/>
      <c r="I143" s="267"/>
      <c r="J143" s="275">
        <f t="shared" ref="J143:Y143" si="18">hundred * $H38 * J63 / $H51 * J$78 / hours_in_year</f>
        <v>9.4767391770508205E-2</v>
      </c>
      <c r="K143" s="275">
        <f t="shared" si="18"/>
        <v>9.4767391770508205E-2</v>
      </c>
      <c r="L143" s="275">
        <f t="shared" si="18"/>
        <v>7.6209446275159104E-2</v>
      </c>
      <c r="M143" s="275">
        <f t="shared" si="18"/>
        <v>7.6209446275159104E-2</v>
      </c>
      <c r="N143" s="275">
        <f t="shared" si="18"/>
        <v>6.3535130621253738E-2</v>
      </c>
      <c r="O143" s="275">
        <f t="shared" si="18"/>
        <v>6.1213444053537798E-2</v>
      </c>
      <c r="P143" s="275">
        <f t="shared" si="18"/>
        <v>0</v>
      </c>
      <c r="Q143" s="275">
        <f t="shared" si="18"/>
        <v>8.8909373213454199E-2</v>
      </c>
      <c r="R143" s="275">
        <f t="shared" si="18"/>
        <v>-4.5870465384904496E-2</v>
      </c>
      <c r="S143" s="275">
        <f t="shared" si="18"/>
        <v>0</v>
      </c>
      <c r="T143" s="275">
        <f t="shared" si="18"/>
        <v>-4.5870465384904496E-2</v>
      </c>
      <c r="U143" s="275">
        <f t="shared" si="18"/>
        <v>-4.5870465384904496E-2</v>
      </c>
      <c r="V143" s="275">
        <f t="shared" si="18"/>
        <v>0</v>
      </c>
      <c r="W143" s="275">
        <f t="shared" si="18"/>
        <v>0</v>
      </c>
      <c r="X143" s="275">
        <f t="shared" si="18"/>
        <v>0</v>
      </c>
      <c r="Y143" s="275">
        <f t="shared" si="18"/>
        <v>0</v>
      </c>
      <c r="Z143" s="267"/>
      <c r="AA143" s="267"/>
    </row>
    <row r="144" spans="4:27" x14ac:dyDescent="0.3">
      <c r="D144" s="32"/>
      <c r="E144" s="32"/>
      <c r="F144" s="192" t="s">
        <v>201</v>
      </c>
      <c r="G144" s="37" t="s">
        <v>271</v>
      </c>
      <c r="H144" s="269"/>
      <c r="I144" s="269"/>
      <c r="J144" s="276">
        <f t="shared" ref="J144:Y144" si="19">hundred * $H39 * J64 / $H52 * J$78 / hours_in_year</f>
        <v>0.18889098992629347</v>
      </c>
      <c r="K144" s="276">
        <f t="shared" si="19"/>
        <v>0.18889098992629347</v>
      </c>
      <c r="L144" s="276">
        <f t="shared" si="19"/>
        <v>0.15190117064221365</v>
      </c>
      <c r="M144" s="276">
        <f t="shared" si="19"/>
        <v>0.15190117064221365</v>
      </c>
      <c r="N144" s="276">
        <f t="shared" si="19"/>
        <v>0.12663864113942808</v>
      </c>
      <c r="O144" s="276">
        <f t="shared" si="19"/>
        <v>0</v>
      </c>
      <c r="P144" s="276">
        <f t="shared" si="19"/>
        <v>0</v>
      </c>
      <c r="Q144" s="276">
        <f t="shared" si="19"/>
        <v>0.17721474872585893</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625</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626</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156</v>
      </c>
      <c r="J150" s="163"/>
      <c r="K150" s="163"/>
      <c r="L150" s="163"/>
      <c r="M150" s="163"/>
      <c r="N150" s="163"/>
      <c r="O150" s="163"/>
      <c r="P150" s="163"/>
      <c r="Q150" s="163"/>
      <c r="R150" s="163"/>
      <c r="S150" s="163"/>
      <c r="T150" s="163"/>
      <c r="U150" s="163"/>
      <c r="V150" s="163"/>
      <c r="W150" s="163"/>
      <c r="X150" s="163"/>
      <c r="Y150" s="163"/>
      <c r="AA150" t="s">
        <v>627</v>
      </c>
    </row>
    <row r="151" spans="3:27" x14ac:dyDescent="0.3">
      <c r="E151" s="32" t="s">
        <v>623</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191</v>
      </c>
      <c r="G152" s="23" t="s">
        <v>271</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193</v>
      </c>
      <c r="G153" t="s">
        <v>271</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194</v>
      </c>
      <c r="G154" t="s">
        <v>271</v>
      </c>
      <c r="H154" s="267"/>
      <c r="I154" s="267"/>
      <c r="J154" s="275">
        <f t="shared" ref="J154:Y154" si="22">hundred * $H20 * J57 / $H45 * J83 * (1 - J69) / hours_in_year</f>
        <v>0.77510148798839484</v>
      </c>
      <c r="K154" s="275">
        <f t="shared" si="22"/>
        <v>0.77510148798839484</v>
      </c>
      <c r="L154" s="275">
        <f t="shared" si="22"/>
        <v>0.67791861641227813</v>
      </c>
      <c r="M154" s="275">
        <f t="shared" si="22"/>
        <v>0.67791861641227813</v>
      </c>
      <c r="N154" s="275">
        <f t="shared" si="22"/>
        <v>0.57612458871312344</v>
      </c>
      <c r="O154" s="275">
        <f t="shared" si="22"/>
        <v>0.5277103300433309</v>
      </c>
      <c r="P154" s="275">
        <f t="shared" si="22"/>
        <v>0.46455714808314802</v>
      </c>
      <c r="Q154" s="275">
        <f t="shared" si="22"/>
        <v>1.8473262225177138</v>
      </c>
      <c r="R154" s="275">
        <f t="shared" si="22"/>
        <v>-0.47336434593126281</v>
      </c>
      <c r="S154" s="275">
        <f t="shared" si="22"/>
        <v>-0.4605945170642799</v>
      </c>
      <c r="T154" s="275">
        <f t="shared" si="22"/>
        <v>-0.47336434593126281</v>
      </c>
      <c r="U154" s="275">
        <f t="shared" si="22"/>
        <v>-0.47336434593126281</v>
      </c>
      <c r="V154" s="275">
        <f t="shared" si="22"/>
        <v>-0.4605945170642799</v>
      </c>
      <c r="W154" s="275">
        <f t="shared" si="22"/>
        <v>-0.4605945170642799</v>
      </c>
      <c r="X154" s="275">
        <f t="shared" si="22"/>
        <v>-0.45531044994690761</v>
      </c>
      <c r="Y154" s="275">
        <f t="shared" si="22"/>
        <v>-0.45531044994690761</v>
      </c>
      <c r="Z154" s="267"/>
      <c r="AA154" s="267"/>
    </row>
    <row r="155" spans="3:27" x14ac:dyDescent="0.3">
      <c r="E155" s="32"/>
      <c r="F155" s="191" t="s">
        <v>195</v>
      </c>
      <c r="G155" t="s">
        <v>271</v>
      </c>
      <c r="H155" s="267"/>
      <c r="I155" s="267"/>
      <c r="J155" s="275">
        <f t="shared" ref="J155:Y155" si="23">hundred * $H21 * J58 / $H46 * J84 * (1 - J70) / hours_in_year</f>
        <v>0.40498329502627117</v>
      </c>
      <c r="K155" s="275">
        <f t="shared" si="23"/>
        <v>0.40498329502627117</v>
      </c>
      <c r="L155" s="275">
        <f t="shared" si="23"/>
        <v>0.35420615143807566</v>
      </c>
      <c r="M155" s="275">
        <f t="shared" si="23"/>
        <v>0.35420615143807566</v>
      </c>
      <c r="N155" s="275">
        <f t="shared" si="23"/>
        <v>0.30101972180214592</v>
      </c>
      <c r="O155" s="275">
        <f t="shared" si="23"/>
        <v>0.275723723399108</v>
      </c>
      <c r="P155" s="275">
        <f t="shared" si="23"/>
        <v>0.24272677510527194</v>
      </c>
      <c r="Q155" s="275">
        <f t="shared" si="23"/>
        <v>0.96521071392248403</v>
      </c>
      <c r="R155" s="275">
        <f t="shared" si="23"/>
        <v>-0.24732845380122503</v>
      </c>
      <c r="S155" s="275">
        <f t="shared" si="23"/>
        <v>-0.24065633737309897</v>
      </c>
      <c r="T155" s="275">
        <f t="shared" si="23"/>
        <v>-0.24732845380122503</v>
      </c>
      <c r="U155" s="275">
        <f t="shared" si="23"/>
        <v>-0.24732845380122503</v>
      </c>
      <c r="V155" s="275">
        <f t="shared" si="23"/>
        <v>-0.24065633737309897</v>
      </c>
      <c r="W155" s="275">
        <f t="shared" si="23"/>
        <v>-0.24065633737309897</v>
      </c>
      <c r="X155" s="275">
        <f t="shared" si="23"/>
        <v>-0.23789546160973649</v>
      </c>
      <c r="Y155" s="275">
        <f t="shared" si="23"/>
        <v>-0.23789546160973649</v>
      </c>
      <c r="Z155" s="267"/>
      <c r="AA155" s="267"/>
    </row>
    <row r="156" spans="3:27" x14ac:dyDescent="0.3">
      <c r="E156" s="32"/>
      <c r="F156" s="191" t="s">
        <v>196</v>
      </c>
      <c r="G156" t="s">
        <v>271</v>
      </c>
      <c r="H156" s="267"/>
      <c r="I156" s="267"/>
      <c r="J156" s="275">
        <f t="shared" ref="J156:Y156" si="24">hundred * $H22 * J59 / $H47 * J85 * (1 - J71) / hours_in_year</f>
        <v>0.4159798006954355</v>
      </c>
      <c r="K156" s="275">
        <f t="shared" si="24"/>
        <v>0.4159798006954355</v>
      </c>
      <c r="L156" s="275">
        <f t="shared" si="24"/>
        <v>0.36382390604716153</v>
      </c>
      <c r="M156" s="275">
        <f t="shared" si="24"/>
        <v>0.36382390604716153</v>
      </c>
      <c r="N156" s="275">
        <f t="shared" si="24"/>
        <v>0.309193306041251</v>
      </c>
      <c r="O156" s="275">
        <f t="shared" si="24"/>
        <v>0.28321044575214904</v>
      </c>
      <c r="P156" s="275">
        <f t="shared" si="24"/>
        <v>0.2330071665025123</v>
      </c>
      <c r="Q156" s="275">
        <f t="shared" si="24"/>
        <v>1.0175824838185223</v>
      </c>
      <c r="R156" s="275">
        <f t="shared" si="24"/>
        <v>-0.2540441598013809</v>
      </c>
      <c r="S156" s="275">
        <f t="shared" si="24"/>
        <v>-0.24719087549045987</v>
      </c>
      <c r="T156" s="275">
        <f t="shared" si="24"/>
        <v>-0.2540441598013809</v>
      </c>
      <c r="U156" s="275">
        <f t="shared" si="24"/>
        <v>-0.2540441598013809</v>
      </c>
      <c r="V156" s="275">
        <f t="shared" si="24"/>
        <v>-0.24719087549045987</v>
      </c>
      <c r="W156" s="275">
        <f t="shared" si="24"/>
        <v>-0.24719087549045987</v>
      </c>
      <c r="X156" s="275">
        <f t="shared" si="24"/>
        <v>-0.22836931529062268</v>
      </c>
      <c r="Y156" s="275">
        <f t="shared" si="24"/>
        <v>-0.22836931529062268</v>
      </c>
      <c r="Z156" s="267"/>
      <c r="AA156" s="267"/>
    </row>
    <row r="157" spans="3:27" x14ac:dyDescent="0.3">
      <c r="E157" s="32"/>
      <c r="F157" s="191" t="s">
        <v>197</v>
      </c>
      <c r="G157" t="s">
        <v>271</v>
      </c>
      <c r="H157" s="267"/>
      <c r="I157" s="267"/>
      <c r="J157" s="275">
        <f t="shared" ref="J157:Y157" si="25">hundred * $H23 * J60 / $H48 * J86 * (1 - J72) / hours_in_year</f>
        <v>0.66919268869772486</v>
      </c>
      <c r="K157" s="275">
        <f t="shared" si="25"/>
        <v>0.66919268869772486</v>
      </c>
      <c r="L157" s="275">
        <f t="shared" si="25"/>
        <v>0.5852887507835185</v>
      </c>
      <c r="M157" s="275">
        <f t="shared" si="25"/>
        <v>0.5852887507835185</v>
      </c>
      <c r="N157" s="275">
        <f t="shared" si="25"/>
        <v>0.49740371876512046</v>
      </c>
      <c r="O157" s="275">
        <f t="shared" si="25"/>
        <v>0.45560471768897925</v>
      </c>
      <c r="P157" s="275">
        <f t="shared" si="25"/>
        <v>0.26004884438624504</v>
      </c>
      <c r="Q157" s="275">
        <f t="shared" si="25"/>
        <v>1.6369995782963462</v>
      </c>
      <c r="R157" s="275">
        <f t="shared" si="25"/>
        <v>-0.40868449396155015</v>
      </c>
      <c r="S157" s="275">
        <f t="shared" si="25"/>
        <v>-0.39765951691514551</v>
      </c>
      <c r="T157" s="275">
        <f t="shared" si="25"/>
        <v>-0.40868449396155015</v>
      </c>
      <c r="U157" s="275">
        <f t="shared" si="25"/>
        <v>-0.40868449396155015</v>
      </c>
      <c r="V157" s="275">
        <f t="shared" si="25"/>
        <v>-0.39765951691514551</v>
      </c>
      <c r="W157" s="275">
        <f t="shared" si="25"/>
        <v>-0.39765951691514551</v>
      </c>
      <c r="X157" s="275">
        <f t="shared" si="25"/>
        <v>-0.25487274673143645</v>
      </c>
      <c r="Y157" s="275">
        <f t="shared" si="25"/>
        <v>-0.25487274673143645</v>
      </c>
      <c r="Z157" s="267"/>
      <c r="AA157" s="267"/>
    </row>
    <row r="158" spans="3:27" x14ac:dyDescent="0.3">
      <c r="E158" s="32"/>
      <c r="F158" s="191" t="s">
        <v>198</v>
      </c>
      <c r="G158" t="s">
        <v>271</v>
      </c>
      <c r="H158" s="267"/>
      <c r="I158" s="267"/>
      <c r="J158" s="275">
        <f t="shared" ref="J158:Y158" si="26">hundred * $H24 * J61 / $H49 * J87 * (1 - J73) / hours_in_year</f>
        <v>6.7773427462983094E-2</v>
      </c>
      <c r="K158" s="275">
        <f t="shared" si="26"/>
        <v>6.7773427462983094E-2</v>
      </c>
      <c r="L158" s="275">
        <f t="shared" si="26"/>
        <v>5.9275938554141053E-2</v>
      </c>
      <c r="M158" s="275">
        <f t="shared" si="26"/>
        <v>5.9275938554141053E-2</v>
      </c>
      <c r="N158" s="275">
        <f t="shared" si="26"/>
        <v>5.0375258760146327E-2</v>
      </c>
      <c r="O158" s="275">
        <f t="shared" si="26"/>
        <v>4.6142006342263717E-2</v>
      </c>
      <c r="P158" s="275">
        <f t="shared" si="26"/>
        <v>2.6336811189825667E-2</v>
      </c>
      <c r="Q158" s="275">
        <f t="shared" si="26"/>
        <v>0.16152675705371033</v>
      </c>
      <c r="R158" s="275">
        <f t="shared" si="26"/>
        <v>-4.1390094922660263E-2</v>
      </c>
      <c r="S158" s="275">
        <f t="shared" si="26"/>
        <v>-4.0273524920095484E-2</v>
      </c>
      <c r="T158" s="275">
        <f t="shared" si="26"/>
        <v>-4.1390094922660263E-2</v>
      </c>
      <c r="U158" s="275">
        <f t="shared" si="26"/>
        <v>-4.1390094922660263E-2</v>
      </c>
      <c r="V158" s="275">
        <f t="shared" si="26"/>
        <v>-4.0273524920095484E-2</v>
      </c>
      <c r="W158" s="275">
        <f t="shared" si="26"/>
        <v>-4.0273524920095484E-2</v>
      </c>
      <c r="X158" s="275">
        <f t="shared" si="26"/>
        <v>-2.5812594645212541E-2</v>
      </c>
      <c r="Y158" s="275">
        <f t="shared" si="26"/>
        <v>-2.5812594645212541E-2</v>
      </c>
      <c r="Z158" s="267"/>
      <c r="AA158" s="267"/>
    </row>
    <row r="159" spans="3:27" x14ac:dyDescent="0.3">
      <c r="E159" s="32"/>
      <c r="F159" s="191" t="s">
        <v>199</v>
      </c>
      <c r="G159" t="s">
        <v>271</v>
      </c>
      <c r="H159" s="267"/>
      <c r="I159" s="267"/>
      <c r="J159" s="275">
        <f t="shared" ref="J159:Y159" si="27">hundred * $H25 * J62 / $H50 * J88 * (1 - J74) / hours_in_year</f>
        <v>0.80302265728258548</v>
      </c>
      <c r="K159" s="275">
        <f t="shared" si="27"/>
        <v>0.80302265728258548</v>
      </c>
      <c r="L159" s="275">
        <f t="shared" si="27"/>
        <v>0.70233900619330525</v>
      </c>
      <c r="M159" s="275">
        <f t="shared" si="27"/>
        <v>0.70233900619330525</v>
      </c>
      <c r="N159" s="275">
        <f t="shared" si="27"/>
        <v>0.59687809315775164</v>
      </c>
      <c r="O159" s="275">
        <f t="shared" si="27"/>
        <v>0.54671982711147959</v>
      </c>
      <c r="P159" s="275">
        <f t="shared" si="27"/>
        <v>0.33464428321469897</v>
      </c>
      <c r="Q159" s="275">
        <f t="shared" si="27"/>
        <v>1.9643785318279032</v>
      </c>
      <c r="R159" s="275">
        <f t="shared" si="27"/>
        <v>-0.49041615946200717</v>
      </c>
      <c r="S159" s="275">
        <f t="shared" si="27"/>
        <v>-0.47718632818349727</v>
      </c>
      <c r="T159" s="275">
        <f t="shared" si="27"/>
        <v>-0.49041615946200717</v>
      </c>
      <c r="U159" s="275">
        <f t="shared" si="27"/>
        <v>-0.49041615946200717</v>
      </c>
      <c r="V159" s="275">
        <f t="shared" si="27"/>
        <v>-0.47718632818349727</v>
      </c>
      <c r="W159" s="275">
        <f t="shared" si="27"/>
        <v>-0.47718632818349727</v>
      </c>
      <c r="X159" s="275">
        <f t="shared" si="27"/>
        <v>0</v>
      </c>
      <c r="Y159" s="275">
        <f t="shared" si="27"/>
        <v>0</v>
      </c>
      <c r="Z159" s="267"/>
      <c r="AA159" s="267"/>
    </row>
    <row r="160" spans="3:27" x14ac:dyDescent="0.3">
      <c r="E160" s="32"/>
      <c r="F160" s="191" t="s">
        <v>200</v>
      </c>
      <c r="G160" t="s">
        <v>271</v>
      </c>
      <c r="H160" s="267"/>
      <c r="I160" s="267"/>
      <c r="J160" s="275">
        <f t="shared" ref="J160:Y160" si="28">hundred * $H26 * J63 / $H51 * J89 * (1 - J75) / hours_in_year</f>
        <v>0.20541795523268105</v>
      </c>
      <c r="K160" s="275">
        <f t="shared" si="28"/>
        <v>0.20541795523268105</v>
      </c>
      <c r="L160" s="275">
        <f t="shared" si="28"/>
        <v>0.17966248053398587</v>
      </c>
      <c r="M160" s="275">
        <f t="shared" si="28"/>
        <v>0.17966248053398587</v>
      </c>
      <c r="N160" s="275">
        <f t="shared" si="28"/>
        <v>0.15268495391469453</v>
      </c>
      <c r="O160" s="275">
        <f t="shared" si="28"/>
        <v>0.13985417217298307</v>
      </c>
      <c r="P160" s="275">
        <f t="shared" si="28"/>
        <v>0</v>
      </c>
      <c r="Q160" s="275">
        <f t="shared" si="28"/>
        <v>0.50249967127523387</v>
      </c>
      <c r="R160" s="275">
        <f t="shared" si="28"/>
        <v>-0.12545136027749618</v>
      </c>
      <c r="S160" s="275">
        <f t="shared" si="28"/>
        <v>0</v>
      </c>
      <c r="T160" s="275">
        <f t="shared" si="28"/>
        <v>-0.12545136027749618</v>
      </c>
      <c r="U160" s="275">
        <f t="shared" si="28"/>
        <v>-0.12545136027749618</v>
      </c>
      <c r="V160" s="275">
        <f t="shared" si="28"/>
        <v>0</v>
      </c>
      <c r="W160" s="275">
        <f t="shared" si="28"/>
        <v>0</v>
      </c>
      <c r="X160" s="275">
        <f t="shared" si="28"/>
        <v>0</v>
      </c>
      <c r="Y160" s="275">
        <f t="shared" si="28"/>
        <v>0</v>
      </c>
      <c r="Z160" s="267"/>
      <c r="AA160" s="267"/>
    </row>
    <row r="161" spans="3:27" x14ac:dyDescent="0.3">
      <c r="E161" s="32"/>
      <c r="F161" s="192" t="s">
        <v>201</v>
      </c>
      <c r="G161" s="37" t="s">
        <v>271</v>
      </c>
      <c r="H161" s="269"/>
      <c r="I161" s="269"/>
      <c r="J161" s="276">
        <f t="shared" ref="J161:Y161" si="29">hundred * $H27 * J64 / $H52 * J90 * (1 - J76) / hours_in_year</f>
        <v>8.6207319954990536E-2</v>
      </c>
      <c r="K161" s="276">
        <f t="shared" si="29"/>
        <v>8.6207319954990536E-2</v>
      </c>
      <c r="L161" s="276">
        <f t="shared" si="29"/>
        <v>7.5398574217900069E-2</v>
      </c>
      <c r="M161" s="276">
        <f t="shared" si="29"/>
        <v>7.5398574217900069E-2</v>
      </c>
      <c r="N161" s="276">
        <f t="shared" si="29"/>
        <v>6.4076972529142129E-2</v>
      </c>
      <c r="O161" s="276">
        <f t="shared" si="29"/>
        <v>0</v>
      </c>
      <c r="P161" s="276">
        <f t="shared" si="29"/>
        <v>0</v>
      </c>
      <c r="Q161" s="276">
        <f t="shared" si="29"/>
        <v>0.21088297704956308</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624</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191</v>
      </c>
      <c r="G164" s="23" t="s">
        <v>271</v>
      </c>
      <c r="H164" s="266"/>
      <c r="I164" s="266"/>
      <c r="J164" s="274">
        <f t="shared" ref="J164:Y164" si="30">hundred * $H30 * J55 / $H43 * J81 / hours_in_year</f>
        <v>0.52544975056254206</v>
      </c>
      <c r="K164" s="274">
        <f t="shared" si="30"/>
        <v>0.52544975056254206</v>
      </c>
      <c r="L164" s="274">
        <f t="shared" si="30"/>
        <v>0.45956842222043126</v>
      </c>
      <c r="M164" s="274">
        <f t="shared" si="30"/>
        <v>0.45956842222043126</v>
      </c>
      <c r="N164" s="274">
        <f t="shared" si="30"/>
        <v>0.39056114086158278</v>
      </c>
      <c r="O164" s="274">
        <f t="shared" si="30"/>
        <v>0.35774058699097305</v>
      </c>
      <c r="P164" s="274">
        <f t="shared" si="30"/>
        <v>0.31492835630576266</v>
      </c>
      <c r="Q164" s="274">
        <f t="shared" si="30"/>
        <v>1.1355145193371066</v>
      </c>
      <c r="R164" s="274">
        <f t="shared" si="30"/>
        <v>-0.32089885176237332</v>
      </c>
      <c r="S164" s="274">
        <f t="shared" si="30"/>
        <v>-0.31224204552878376</v>
      </c>
      <c r="T164" s="274">
        <f t="shared" si="30"/>
        <v>-0.32089885176237332</v>
      </c>
      <c r="U164" s="274">
        <f t="shared" si="30"/>
        <v>-0.32089885176237332</v>
      </c>
      <c r="V164" s="274">
        <f t="shared" si="30"/>
        <v>-0.31224204552878376</v>
      </c>
      <c r="W164" s="274">
        <f t="shared" si="30"/>
        <v>-0.31224204552878376</v>
      </c>
      <c r="X164" s="274">
        <f t="shared" si="30"/>
        <v>-0.30865991881143628</v>
      </c>
      <c r="Y164" s="274">
        <f t="shared" si="30"/>
        <v>-0.30865991881143628</v>
      </c>
      <c r="Z164" s="267"/>
      <c r="AA164" s="267"/>
    </row>
    <row r="165" spans="3:27" x14ac:dyDescent="0.3">
      <c r="D165" s="32"/>
      <c r="E165" s="32"/>
      <c r="F165" s="191" t="s">
        <v>193</v>
      </c>
      <c r="G165" t="s">
        <v>271</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194</v>
      </c>
      <c r="G166" t="s">
        <v>271</v>
      </c>
      <c r="H166" s="267"/>
      <c r="I166" s="267"/>
      <c r="J166" s="275">
        <f t="shared" ref="J166:Y166" si="32">hundred * $H32 * J57 / $H45 * J83 / hours_in_year</f>
        <v>0.49686133517933084</v>
      </c>
      <c r="K166" s="275">
        <f t="shared" si="32"/>
        <v>0.49686133517933084</v>
      </c>
      <c r="L166" s="275">
        <f t="shared" si="32"/>
        <v>0.43456444622200535</v>
      </c>
      <c r="M166" s="275">
        <f t="shared" si="32"/>
        <v>0.43456444622200535</v>
      </c>
      <c r="N166" s="275">
        <f t="shared" si="32"/>
        <v>0.36931167958476585</v>
      </c>
      <c r="O166" s="275">
        <f t="shared" si="32"/>
        <v>0.33827681050353042</v>
      </c>
      <c r="P166" s="275">
        <f t="shared" si="32"/>
        <v>0.29779388691761999</v>
      </c>
      <c r="Q166" s="275">
        <f t="shared" si="32"/>
        <v>1.1841868292809721</v>
      </c>
      <c r="R166" s="275">
        <f t="shared" si="32"/>
        <v>-0.30343954255087086</v>
      </c>
      <c r="S166" s="275">
        <f t="shared" si="32"/>
        <v>-0.29525373163554502</v>
      </c>
      <c r="T166" s="275">
        <f t="shared" si="32"/>
        <v>-0.30343954255087086</v>
      </c>
      <c r="U166" s="275">
        <f t="shared" si="32"/>
        <v>-0.30343954255087086</v>
      </c>
      <c r="V166" s="275">
        <f t="shared" si="32"/>
        <v>-0.29525373163554502</v>
      </c>
      <c r="W166" s="275">
        <f t="shared" si="32"/>
        <v>-0.29525373163554502</v>
      </c>
      <c r="X166" s="275">
        <f t="shared" si="32"/>
        <v>-0.29186649953265165</v>
      </c>
      <c r="Y166" s="275">
        <f t="shared" si="32"/>
        <v>-0.29186649953265165</v>
      </c>
      <c r="Z166" s="267"/>
      <c r="AA166" s="267"/>
    </row>
    <row r="167" spans="3:27" x14ac:dyDescent="0.3">
      <c r="D167" s="32"/>
      <c r="E167" s="32"/>
      <c r="F167" s="191" t="s">
        <v>195</v>
      </c>
      <c r="G167" t="s">
        <v>271</v>
      </c>
      <c r="H167" s="267"/>
      <c r="I167" s="267"/>
      <c r="J167" s="275">
        <f t="shared" ref="J167:Y167" si="33">hundred * $H33 * J58 / $H46 * J84 / hours_in_year</f>
        <v>0.25960541143367111</v>
      </c>
      <c r="K167" s="275">
        <f t="shared" si="33"/>
        <v>0.25960541143367111</v>
      </c>
      <c r="L167" s="275">
        <f t="shared" si="33"/>
        <v>0.22705586824378482</v>
      </c>
      <c r="M167" s="275">
        <f t="shared" si="33"/>
        <v>0.22705586824378482</v>
      </c>
      <c r="N167" s="275">
        <f t="shared" si="33"/>
        <v>0.19296190654734538</v>
      </c>
      <c r="O167" s="275">
        <f t="shared" si="33"/>
        <v>0.17674647703778951</v>
      </c>
      <c r="P167" s="275">
        <f t="shared" si="33"/>
        <v>0.1555945272090411</v>
      </c>
      <c r="Q167" s="275">
        <f t="shared" si="33"/>
        <v>0.61872656868915854</v>
      </c>
      <c r="R167" s="275">
        <f t="shared" si="33"/>
        <v>-0.15854432959797909</v>
      </c>
      <c r="S167" s="275">
        <f t="shared" si="33"/>
        <v>-0.15426731977626618</v>
      </c>
      <c r="T167" s="275">
        <f t="shared" si="33"/>
        <v>-0.15854432959797909</v>
      </c>
      <c r="U167" s="275">
        <f t="shared" si="33"/>
        <v>-0.15854432959797909</v>
      </c>
      <c r="V167" s="275">
        <f t="shared" si="33"/>
        <v>-0.15426731977626618</v>
      </c>
      <c r="W167" s="275">
        <f t="shared" si="33"/>
        <v>-0.15426731977626618</v>
      </c>
      <c r="X167" s="275">
        <f t="shared" si="33"/>
        <v>-0.15249752260866084</v>
      </c>
      <c r="Y167" s="275">
        <f t="shared" si="33"/>
        <v>-0.15249752260866084</v>
      </c>
      <c r="Z167" s="267"/>
      <c r="AA167" s="267"/>
    </row>
    <row r="168" spans="3:27" x14ac:dyDescent="0.3">
      <c r="D168" s="32"/>
      <c r="E168" s="32"/>
      <c r="F168" s="191" t="s">
        <v>196</v>
      </c>
      <c r="G168" t="s">
        <v>271</v>
      </c>
      <c r="H168" s="267"/>
      <c r="I168" s="267"/>
      <c r="J168" s="275">
        <f t="shared" ref="J168:Y168" si="34">hundred * $H34 * J59 / $H47 * J85 / hours_in_year</f>
        <v>0.26665447349039351</v>
      </c>
      <c r="K168" s="275">
        <f t="shared" si="34"/>
        <v>0.26665447349039351</v>
      </c>
      <c r="L168" s="275">
        <f t="shared" si="34"/>
        <v>0.2332211130156657</v>
      </c>
      <c r="M168" s="275">
        <f t="shared" si="34"/>
        <v>0.2332211130156657</v>
      </c>
      <c r="N168" s="275">
        <f t="shared" si="34"/>
        <v>0.19820139846056856</v>
      </c>
      <c r="O168" s="275">
        <f t="shared" si="34"/>
        <v>0.1815456716233953</v>
      </c>
      <c r="P168" s="275">
        <f t="shared" si="34"/>
        <v>0.15981938320077818</v>
      </c>
      <c r="Q168" s="275">
        <f t="shared" si="34"/>
        <v>0.65229831112482761</v>
      </c>
      <c r="R168" s="275">
        <f t="shared" si="34"/>
        <v>-0.16284928153216921</v>
      </c>
      <c r="S168" s="275">
        <f t="shared" si="34"/>
        <v>-0.1584561381233944</v>
      </c>
      <c r="T168" s="275">
        <f t="shared" si="34"/>
        <v>-0.16284928153216921</v>
      </c>
      <c r="U168" s="275">
        <f t="shared" si="34"/>
        <v>-0.16284928153216921</v>
      </c>
      <c r="V168" s="275">
        <f t="shared" si="34"/>
        <v>-0.1584561381233944</v>
      </c>
      <c r="W168" s="275">
        <f t="shared" si="34"/>
        <v>-0.1584561381233944</v>
      </c>
      <c r="X168" s="275">
        <f t="shared" si="34"/>
        <v>-0.15663828567838417</v>
      </c>
      <c r="Y168" s="275">
        <f t="shared" si="34"/>
        <v>-0.15663828567838417</v>
      </c>
      <c r="Z168" s="267"/>
      <c r="AA168" s="267"/>
    </row>
    <row r="169" spans="3:27" x14ac:dyDescent="0.3">
      <c r="D169" s="32"/>
      <c r="E169" s="32"/>
      <c r="F169" s="191" t="s">
        <v>197</v>
      </c>
      <c r="G169" t="s">
        <v>271</v>
      </c>
      <c r="H169" s="267"/>
      <c r="I169" s="267"/>
      <c r="J169" s="275">
        <f t="shared" ref="J169:Y169" si="35">hundred * $H35 * J60 / $H48 * J86 / hours_in_year</f>
        <v>0.42897088697574021</v>
      </c>
      <c r="K169" s="275">
        <f t="shared" si="35"/>
        <v>0.42897088697574021</v>
      </c>
      <c r="L169" s="275">
        <f t="shared" si="35"/>
        <v>0.37518615908539665</v>
      </c>
      <c r="M169" s="275">
        <f t="shared" si="35"/>
        <v>0.37518615908539665</v>
      </c>
      <c r="N169" s="275">
        <f t="shared" si="35"/>
        <v>0.31884944056835868</v>
      </c>
      <c r="O169" s="275">
        <f t="shared" si="35"/>
        <v>0.29205513323480764</v>
      </c>
      <c r="P169" s="275">
        <f t="shared" si="35"/>
        <v>0.25710374054543433</v>
      </c>
      <c r="Q169" s="275">
        <f t="shared" si="35"/>
        <v>1.0493616755545463</v>
      </c>
      <c r="R169" s="275">
        <f t="shared" si="35"/>
        <v>-0.26197798157222119</v>
      </c>
      <c r="S169" s="275">
        <f t="shared" si="35"/>
        <v>-0.25491066858097056</v>
      </c>
      <c r="T169" s="275">
        <f t="shared" si="35"/>
        <v>-0.26197798157222119</v>
      </c>
      <c r="U169" s="275">
        <f t="shared" si="35"/>
        <v>-0.26197798157222119</v>
      </c>
      <c r="V169" s="275">
        <f t="shared" si="35"/>
        <v>-0.25491066858097056</v>
      </c>
      <c r="W169" s="275">
        <f t="shared" si="35"/>
        <v>-0.25491066858097056</v>
      </c>
      <c r="X169" s="275">
        <f t="shared" si="35"/>
        <v>-0.25198626320528067</v>
      </c>
      <c r="Y169" s="275">
        <f t="shared" si="35"/>
        <v>-0.25198626320528067</v>
      </c>
      <c r="Z169" s="267"/>
      <c r="AA169" s="267"/>
    </row>
    <row r="170" spans="3:27" x14ac:dyDescent="0.3">
      <c r="D170" s="32"/>
      <c r="E170" s="32"/>
      <c r="F170" s="191" t="s">
        <v>198</v>
      </c>
      <c r="G170" t="s">
        <v>271</v>
      </c>
      <c r="H170" s="267"/>
      <c r="I170" s="267"/>
      <c r="J170" s="275">
        <f t="shared" ref="J170:Y170" si="36">hundred * $H36 * J61 / $H49 * J87 / hours_in_year</f>
        <v>4.3444627807812296E-2</v>
      </c>
      <c r="K170" s="275">
        <f t="shared" si="36"/>
        <v>4.3444627807812296E-2</v>
      </c>
      <c r="L170" s="275">
        <f t="shared" si="36"/>
        <v>3.7997504108080699E-2</v>
      </c>
      <c r="M170" s="275">
        <f t="shared" si="36"/>
        <v>3.7997504108080699E-2</v>
      </c>
      <c r="N170" s="275">
        <f t="shared" si="36"/>
        <v>3.229192398085725E-2</v>
      </c>
      <c r="O170" s="275">
        <f t="shared" si="36"/>
        <v>2.9578292951765766E-2</v>
      </c>
      <c r="P170" s="275">
        <f t="shared" si="36"/>
        <v>2.603854167060158E-2</v>
      </c>
      <c r="Q170" s="275">
        <f t="shared" si="36"/>
        <v>0.10354308619014746</v>
      </c>
      <c r="R170" s="275">
        <f t="shared" si="36"/>
        <v>-2.6532187262140992E-2</v>
      </c>
      <c r="S170" s="275">
        <f t="shared" si="36"/>
        <v>-2.581643523367393E-2</v>
      </c>
      <c r="T170" s="275">
        <f t="shared" si="36"/>
        <v>-2.6532187262140992E-2</v>
      </c>
      <c r="U170" s="275">
        <f t="shared" si="36"/>
        <v>-2.6532187262140992E-2</v>
      </c>
      <c r="V170" s="275">
        <f t="shared" si="36"/>
        <v>-2.581643523367393E-2</v>
      </c>
      <c r="W170" s="275">
        <f t="shared" si="36"/>
        <v>-2.581643523367393E-2</v>
      </c>
      <c r="X170" s="275">
        <f t="shared" si="36"/>
        <v>-2.5520261980515151E-2</v>
      </c>
      <c r="Y170" s="275">
        <f t="shared" si="36"/>
        <v>-2.5520261980515151E-2</v>
      </c>
      <c r="Z170" s="267"/>
      <c r="AA170" s="267"/>
    </row>
    <row r="171" spans="3:27" x14ac:dyDescent="0.3">
      <c r="D171" s="32"/>
      <c r="E171" s="32"/>
      <c r="F171" s="191" t="s">
        <v>199</v>
      </c>
      <c r="G171" t="s">
        <v>271</v>
      </c>
      <c r="H171" s="267"/>
      <c r="I171" s="267"/>
      <c r="J171" s="275">
        <f t="shared" ref="J171:Y171" si="37">hundred * $H37 * J62 / $H50 * J88 / hours_in_year</f>
        <v>0.9882754795283355</v>
      </c>
      <c r="K171" s="275">
        <f t="shared" si="37"/>
        <v>0.9882754795283355</v>
      </c>
      <c r="L171" s="275">
        <f t="shared" si="37"/>
        <v>0.86436467494700642</v>
      </c>
      <c r="M171" s="275">
        <f t="shared" si="37"/>
        <v>0.86436467494700642</v>
      </c>
      <c r="N171" s="275">
        <f t="shared" si="37"/>
        <v>0.73457452088784014</v>
      </c>
      <c r="O171" s="275">
        <f t="shared" si="37"/>
        <v>0.67284502424208692</v>
      </c>
      <c r="P171" s="275">
        <f t="shared" si="37"/>
        <v>0.5923229995103082</v>
      </c>
      <c r="Q171" s="275">
        <f t="shared" si="37"/>
        <v>2.4175496393674285</v>
      </c>
      <c r="R171" s="275">
        <f t="shared" si="37"/>
        <v>-0.60355241631769374</v>
      </c>
      <c r="S171" s="275">
        <f t="shared" si="37"/>
        <v>-0.58727053717982114</v>
      </c>
      <c r="T171" s="275">
        <f t="shared" si="37"/>
        <v>-0.60355241631769374</v>
      </c>
      <c r="U171" s="275">
        <f t="shared" si="37"/>
        <v>-0.60355241631769374</v>
      </c>
      <c r="V171" s="275">
        <f t="shared" si="37"/>
        <v>-0.58727053717982114</v>
      </c>
      <c r="W171" s="275">
        <f t="shared" si="37"/>
        <v>-0.58727053717982114</v>
      </c>
      <c r="X171" s="275">
        <f t="shared" si="37"/>
        <v>0</v>
      </c>
      <c r="Y171" s="275">
        <f t="shared" si="37"/>
        <v>0</v>
      </c>
      <c r="Z171" s="267"/>
      <c r="AA171" s="267"/>
    </row>
    <row r="172" spans="3:27" x14ac:dyDescent="0.3">
      <c r="D172" s="32"/>
      <c r="E172" s="32"/>
      <c r="F172" s="191" t="s">
        <v>200</v>
      </c>
      <c r="G172" t="s">
        <v>271</v>
      </c>
      <c r="H172" s="267"/>
      <c r="I172" s="267"/>
      <c r="J172" s="275">
        <f t="shared" ref="J172:Y172" si="38">hundred * $H38 * J63 / $H51 * J89 / hours_in_year</f>
        <v>0.45238521720593361</v>
      </c>
      <c r="K172" s="275">
        <f t="shared" si="38"/>
        <v>0.45238521720593361</v>
      </c>
      <c r="L172" s="275">
        <f t="shared" si="38"/>
        <v>0.39566478104633207</v>
      </c>
      <c r="M172" s="275">
        <f t="shared" si="38"/>
        <v>0.39566478104633207</v>
      </c>
      <c r="N172" s="275">
        <f t="shared" si="38"/>
        <v>0.3362530600722673</v>
      </c>
      <c r="O172" s="275">
        <f t="shared" si="38"/>
        <v>0.30799625078521536</v>
      </c>
      <c r="P172" s="275">
        <f t="shared" si="38"/>
        <v>0</v>
      </c>
      <c r="Q172" s="275">
        <f t="shared" si="38"/>
        <v>1.106638524749519</v>
      </c>
      <c r="R172" s="275">
        <f t="shared" si="38"/>
        <v>-0.27627741111350473</v>
      </c>
      <c r="S172" s="275">
        <f t="shared" si="38"/>
        <v>0</v>
      </c>
      <c r="T172" s="275">
        <f t="shared" si="38"/>
        <v>-0.27627741111350473</v>
      </c>
      <c r="U172" s="275">
        <f t="shared" si="38"/>
        <v>-0.27627741111350473</v>
      </c>
      <c r="V172" s="275">
        <f t="shared" si="38"/>
        <v>0</v>
      </c>
      <c r="W172" s="275">
        <f t="shared" si="38"/>
        <v>0</v>
      </c>
      <c r="X172" s="275">
        <f t="shared" si="38"/>
        <v>0</v>
      </c>
      <c r="Y172" s="275">
        <f t="shared" si="38"/>
        <v>0</v>
      </c>
      <c r="Z172" s="267"/>
      <c r="AA172" s="267"/>
    </row>
    <row r="173" spans="3:27" x14ac:dyDescent="0.3">
      <c r="D173" s="32"/>
      <c r="E173" s="32"/>
      <c r="F173" s="192" t="s">
        <v>201</v>
      </c>
      <c r="G173" s="37" t="s">
        <v>271</v>
      </c>
      <c r="H173" s="269"/>
      <c r="I173" s="269"/>
      <c r="J173" s="276">
        <f t="shared" ref="J173:Y173" si="39">hundred * $H39 * J64 / $H52 * J90 / hours_in_year</f>
        <v>0.90169719678454585</v>
      </c>
      <c r="K173" s="276">
        <f t="shared" si="39"/>
        <v>0.90169719678454585</v>
      </c>
      <c r="L173" s="276">
        <f t="shared" si="39"/>
        <v>0.78864164956442628</v>
      </c>
      <c r="M173" s="276">
        <f t="shared" si="39"/>
        <v>0.78864164956442628</v>
      </c>
      <c r="N173" s="276">
        <f t="shared" si="39"/>
        <v>0.67022181571279715</v>
      </c>
      <c r="O173" s="276">
        <f t="shared" si="39"/>
        <v>0</v>
      </c>
      <c r="P173" s="276">
        <f t="shared" si="39"/>
        <v>0</v>
      </c>
      <c r="Q173" s="276">
        <f t="shared" si="39"/>
        <v>2.2057592018224295</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628</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626</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156</v>
      </c>
      <c r="J179" s="163"/>
      <c r="K179" s="163"/>
      <c r="L179" s="163"/>
      <c r="M179" s="163"/>
      <c r="N179" s="163"/>
      <c r="O179" s="163"/>
      <c r="P179" s="163"/>
      <c r="Q179" s="163"/>
      <c r="R179" s="163"/>
      <c r="S179" s="163"/>
      <c r="T179" s="163"/>
      <c r="U179" s="163"/>
      <c r="V179" s="163"/>
      <c r="W179" s="163"/>
      <c r="X179" s="163"/>
      <c r="Y179" s="163"/>
      <c r="AA179" t="s">
        <v>627</v>
      </c>
    </row>
    <row r="180" spans="4:27" x14ac:dyDescent="0.3">
      <c r="E180" s="32" t="s">
        <v>623</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191</v>
      </c>
      <c r="G181" s="23" t="s">
        <v>271</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193</v>
      </c>
      <c r="G182" t="s">
        <v>271</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194</v>
      </c>
      <c r="G183" t="s">
        <v>271</v>
      </c>
      <c r="H183" s="267"/>
      <c r="I183" s="267"/>
      <c r="J183" s="275">
        <f t="shared" ref="J183:Y183" si="42">hundred * $H20 * J57 / $H45 * J95 * (1 - J69) / hours_in_year</f>
        <v>0.10609405807239174</v>
      </c>
      <c r="K183" s="275">
        <f t="shared" si="42"/>
        <v>0.10609405807239174</v>
      </c>
      <c r="L183" s="275">
        <f t="shared" si="42"/>
        <v>9.2791896509785254E-2</v>
      </c>
      <c r="M183" s="275">
        <f t="shared" si="42"/>
        <v>9.2791896509785254E-2</v>
      </c>
      <c r="N183" s="275">
        <f t="shared" si="42"/>
        <v>7.8858570805347347E-2</v>
      </c>
      <c r="O183" s="275">
        <f t="shared" si="42"/>
        <v>7.22317416088568E-2</v>
      </c>
      <c r="P183" s="275">
        <f t="shared" si="42"/>
        <v>6.3587483459219135E-2</v>
      </c>
      <c r="Q183" s="275">
        <f t="shared" si="42"/>
        <v>9.1595326022376578E-2</v>
      </c>
      <c r="R183" s="275">
        <f t="shared" si="42"/>
        <v>-6.4792991866096189E-2</v>
      </c>
      <c r="S183" s="275">
        <f t="shared" si="42"/>
        <v>-6.3045087899475924E-2</v>
      </c>
      <c r="T183" s="275">
        <f t="shared" si="42"/>
        <v>-6.4792991866096189E-2</v>
      </c>
      <c r="U183" s="275">
        <f t="shared" si="42"/>
        <v>-6.4792991866096189E-2</v>
      </c>
      <c r="V183" s="275">
        <f t="shared" si="42"/>
        <v>-6.3045087899475924E-2</v>
      </c>
      <c r="W183" s="275">
        <f t="shared" si="42"/>
        <v>-6.3045087899475924E-2</v>
      </c>
      <c r="X183" s="275">
        <f t="shared" si="42"/>
        <v>-6.2321817292598558E-2</v>
      </c>
      <c r="Y183" s="275">
        <f t="shared" si="42"/>
        <v>-6.2321817292598558E-2</v>
      </c>
      <c r="Z183" s="267"/>
      <c r="AA183" s="267"/>
    </row>
    <row r="184" spans="4:27" x14ac:dyDescent="0.3">
      <c r="E184" s="32"/>
      <c r="F184" s="191" t="s">
        <v>195</v>
      </c>
      <c r="G184" t="s">
        <v>271</v>
      </c>
      <c r="H184" s="267"/>
      <c r="I184" s="267"/>
      <c r="J184" s="275">
        <f t="shared" ref="J184:Y184" si="43">hundred * $H21 * J58 / $H46 * J96 * (1 - J70) / hours_in_year</f>
        <v>5.5433155382497566E-2</v>
      </c>
      <c r="K184" s="275">
        <f t="shared" si="43"/>
        <v>5.5433155382497566E-2</v>
      </c>
      <c r="L184" s="275">
        <f t="shared" si="43"/>
        <v>4.8482900088087859E-2</v>
      </c>
      <c r="M184" s="275">
        <f t="shared" si="43"/>
        <v>4.8482900088087859E-2</v>
      </c>
      <c r="N184" s="275">
        <f t="shared" si="43"/>
        <v>4.1202867418944036E-2</v>
      </c>
      <c r="O184" s="275">
        <f t="shared" si="43"/>
        <v>3.7740410998513045E-2</v>
      </c>
      <c r="P184" s="275">
        <f t="shared" si="43"/>
        <v>3.3223866774628942E-2</v>
      </c>
      <c r="Q184" s="275">
        <f t="shared" si="43"/>
        <v>4.78577031735785E-2</v>
      </c>
      <c r="R184" s="275">
        <f t="shared" si="43"/>
        <v>-3.3853733668661075E-2</v>
      </c>
      <c r="S184" s="275">
        <f t="shared" si="43"/>
        <v>-3.294047015573906E-2</v>
      </c>
      <c r="T184" s="275">
        <f t="shared" si="43"/>
        <v>-3.3853733668661075E-2</v>
      </c>
      <c r="U184" s="275">
        <f t="shared" si="43"/>
        <v>-3.3853733668661075E-2</v>
      </c>
      <c r="V184" s="275">
        <f t="shared" si="43"/>
        <v>-3.294047015573906E-2</v>
      </c>
      <c r="W184" s="275">
        <f t="shared" si="43"/>
        <v>-3.294047015573906E-2</v>
      </c>
      <c r="X184" s="275">
        <f t="shared" si="43"/>
        <v>-3.2562568012460984E-2</v>
      </c>
      <c r="Y184" s="275">
        <f t="shared" si="43"/>
        <v>-3.2562568012460984E-2</v>
      </c>
      <c r="Z184" s="267"/>
      <c r="AA184" s="267"/>
    </row>
    <row r="185" spans="4:27" x14ac:dyDescent="0.3">
      <c r="E185" s="32"/>
      <c r="F185" s="191" t="s">
        <v>196</v>
      </c>
      <c r="G185" t="s">
        <v>271</v>
      </c>
      <c r="H185" s="267"/>
      <c r="I185" s="267"/>
      <c r="J185" s="275">
        <f t="shared" ref="J185:Y185" si="44">hundred * $H22 * J59 / $H47 * J97 * (1 - J71) / hours_in_year</f>
        <v>8.8997071160257735E-2</v>
      </c>
      <c r="K185" s="275">
        <f t="shared" si="44"/>
        <v>8.8997071160257735E-2</v>
      </c>
      <c r="L185" s="275">
        <f t="shared" si="44"/>
        <v>7.7838544088319819E-2</v>
      </c>
      <c r="M185" s="275">
        <f t="shared" si="44"/>
        <v>7.7838544088319819E-2</v>
      </c>
      <c r="N185" s="275">
        <f t="shared" si="44"/>
        <v>6.6150564556320082E-2</v>
      </c>
      <c r="O185" s="275">
        <f t="shared" si="44"/>
        <v>6.0591644478397114E-2</v>
      </c>
      <c r="P185" s="275">
        <f t="shared" si="44"/>
        <v>4.9850870987980779E-2</v>
      </c>
      <c r="Q185" s="275">
        <f t="shared" si="44"/>
        <v>7.0339857981439532E-2</v>
      </c>
      <c r="R185" s="275">
        <f t="shared" si="44"/>
        <v>-5.4351644310356696E-2</v>
      </c>
      <c r="S185" s="275">
        <f t="shared" si="44"/>
        <v>-5.2885413905705211E-2</v>
      </c>
      <c r="T185" s="275">
        <f t="shared" si="44"/>
        <v>-5.4351644310356696E-2</v>
      </c>
      <c r="U185" s="275">
        <f t="shared" si="44"/>
        <v>-5.4351644310356696E-2</v>
      </c>
      <c r="V185" s="275">
        <f t="shared" si="44"/>
        <v>-5.2885413905705211E-2</v>
      </c>
      <c r="W185" s="275">
        <f t="shared" si="44"/>
        <v>-5.2885413905705211E-2</v>
      </c>
      <c r="X185" s="275">
        <f t="shared" si="44"/>
        <v>-4.8858622870054887E-2</v>
      </c>
      <c r="Y185" s="275">
        <f t="shared" si="44"/>
        <v>-4.8858622870054887E-2</v>
      </c>
      <c r="Z185" s="267"/>
      <c r="AA185" s="267"/>
    </row>
    <row r="186" spans="4:27" x14ac:dyDescent="0.3">
      <c r="E186" s="32"/>
      <c r="F186" s="191" t="s">
        <v>197</v>
      </c>
      <c r="G186" t="s">
        <v>271</v>
      </c>
      <c r="H186" s="267"/>
      <c r="I186" s="267"/>
      <c r="J186" s="275">
        <f t="shared" ref="J186:Y186" si="45">hundred * $H23 * J60 / $H48 * J98 * (1 - J72) / hours_in_year</f>
        <v>0.14317086848060775</v>
      </c>
      <c r="K186" s="275">
        <f t="shared" si="45"/>
        <v>0.14317086848060775</v>
      </c>
      <c r="L186" s="275">
        <f t="shared" si="45"/>
        <v>0.12521998547933508</v>
      </c>
      <c r="M186" s="275">
        <f t="shared" si="45"/>
        <v>0.12521998547933508</v>
      </c>
      <c r="N186" s="275">
        <f t="shared" si="45"/>
        <v>0.10641736469008792</v>
      </c>
      <c r="O186" s="275">
        <f t="shared" si="45"/>
        <v>9.7474650003023924E-2</v>
      </c>
      <c r="P186" s="275">
        <f t="shared" si="45"/>
        <v>5.5636320490307388E-2</v>
      </c>
      <c r="Q186" s="275">
        <f t="shared" si="45"/>
        <v>0.11315674128051995</v>
      </c>
      <c r="R186" s="275">
        <f t="shared" si="45"/>
        <v>-8.743627197855211E-2</v>
      </c>
      <c r="S186" s="275">
        <f t="shared" si="45"/>
        <v>-8.5077526036805115E-2</v>
      </c>
      <c r="T186" s="275">
        <f t="shared" si="45"/>
        <v>-8.743627197855211E-2</v>
      </c>
      <c r="U186" s="275">
        <f t="shared" si="45"/>
        <v>-8.743627197855211E-2</v>
      </c>
      <c r="V186" s="275">
        <f t="shared" si="45"/>
        <v>-8.5077526036805115E-2</v>
      </c>
      <c r="W186" s="275">
        <f t="shared" si="45"/>
        <v>-8.5077526036805115E-2</v>
      </c>
      <c r="X186" s="275">
        <f t="shared" si="45"/>
        <v>-5.4528916884297396E-2</v>
      </c>
      <c r="Y186" s="275">
        <f t="shared" si="45"/>
        <v>-5.4528916884297396E-2</v>
      </c>
      <c r="Z186" s="267"/>
      <c r="AA186" s="267"/>
    </row>
    <row r="187" spans="4:27" x14ac:dyDescent="0.3">
      <c r="E187" s="32"/>
      <c r="F187" s="191" t="s">
        <v>198</v>
      </c>
      <c r="G187" t="s">
        <v>271</v>
      </c>
      <c r="H187" s="267"/>
      <c r="I187" s="267"/>
      <c r="J187" s="275">
        <f t="shared" ref="J187:Y187" si="46">hundred * $H24 * J61 / $H49 * J99 * (1 - J73) / hours_in_year</f>
        <v>9.2766664242688365E-3</v>
      </c>
      <c r="K187" s="275">
        <f t="shared" si="46"/>
        <v>9.2766664242688365E-3</v>
      </c>
      <c r="L187" s="275">
        <f t="shared" si="46"/>
        <v>8.1135502443426145E-3</v>
      </c>
      <c r="M187" s="275">
        <f t="shared" si="46"/>
        <v>8.1135502443426145E-3</v>
      </c>
      <c r="N187" s="275">
        <f t="shared" si="46"/>
        <v>6.8952462498572129E-3</v>
      </c>
      <c r="O187" s="275">
        <f t="shared" si="46"/>
        <v>6.3158086732070509E-3</v>
      </c>
      <c r="P187" s="275">
        <f t="shared" si="46"/>
        <v>3.6049204125083766E-3</v>
      </c>
      <c r="Q187" s="275">
        <f t="shared" si="46"/>
        <v>8.0089243541985964E-3</v>
      </c>
      <c r="R187" s="275">
        <f t="shared" si="46"/>
        <v>-5.6653782793567179E-3</v>
      </c>
      <c r="S187" s="275">
        <f t="shared" si="46"/>
        <v>-5.5125448187973271E-3</v>
      </c>
      <c r="T187" s="275">
        <f t="shared" si="46"/>
        <v>-5.6653782793567179E-3</v>
      </c>
      <c r="U187" s="275">
        <f t="shared" si="46"/>
        <v>-5.6653782793567179E-3</v>
      </c>
      <c r="V187" s="275">
        <f t="shared" si="46"/>
        <v>-5.5125448187973271E-3</v>
      </c>
      <c r="W187" s="275">
        <f t="shared" si="46"/>
        <v>-5.5125448187973271E-3</v>
      </c>
      <c r="X187" s="275">
        <f t="shared" si="46"/>
        <v>-3.5331668919842013E-3</v>
      </c>
      <c r="Y187" s="275">
        <f t="shared" si="46"/>
        <v>-3.5331668919842013E-3</v>
      </c>
      <c r="Z187" s="267"/>
      <c r="AA187" s="267"/>
    </row>
    <row r="188" spans="4:27" x14ac:dyDescent="0.3">
      <c r="E188" s="32"/>
      <c r="F188" s="191" t="s">
        <v>199</v>
      </c>
      <c r="G188" t="s">
        <v>271</v>
      </c>
      <c r="H188" s="267"/>
      <c r="I188" s="267"/>
      <c r="J188" s="275">
        <f t="shared" ref="J188:Y188" si="47">hundred * $H25 * J62 / $H50 * J100 * (1 - J74) / hours_in_year</f>
        <v>0.17180320884331277</v>
      </c>
      <c r="K188" s="275">
        <f t="shared" si="47"/>
        <v>0.17180320884331277</v>
      </c>
      <c r="L188" s="275">
        <f t="shared" si="47"/>
        <v>0.15026237910665971</v>
      </c>
      <c r="M188" s="275">
        <f t="shared" si="47"/>
        <v>0.15026237910665971</v>
      </c>
      <c r="N188" s="275">
        <f t="shared" si="47"/>
        <v>0.12769947493112074</v>
      </c>
      <c r="O188" s="275">
        <f t="shared" si="47"/>
        <v>0.11696833182000718</v>
      </c>
      <c r="P188" s="275">
        <f t="shared" si="47"/>
        <v>7.1595690552382157E-2</v>
      </c>
      <c r="Q188" s="275">
        <f t="shared" si="47"/>
        <v>0.13578664054048875</v>
      </c>
      <c r="R188" s="275">
        <f t="shared" si="47"/>
        <v>-0.10492240673420632</v>
      </c>
      <c r="S188" s="275">
        <f t="shared" si="47"/>
        <v>-0.10209194180835329</v>
      </c>
      <c r="T188" s="275">
        <f t="shared" si="47"/>
        <v>-0.10492240673420632</v>
      </c>
      <c r="U188" s="275">
        <f t="shared" si="47"/>
        <v>-0.10492240673420632</v>
      </c>
      <c r="V188" s="275">
        <f t="shared" si="47"/>
        <v>-0.10209194180835329</v>
      </c>
      <c r="W188" s="275">
        <f t="shared" si="47"/>
        <v>-0.10209194180835329</v>
      </c>
      <c r="X188" s="275">
        <f t="shared" si="47"/>
        <v>0</v>
      </c>
      <c r="Y188" s="275">
        <f t="shared" si="47"/>
        <v>0</v>
      </c>
      <c r="Z188" s="267"/>
      <c r="AA188" s="267"/>
    </row>
    <row r="189" spans="4:27" x14ac:dyDescent="0.3">
      <c r="E189" s="32"/>
      <c r="F189" s="191" t="s">
        <v>200</v>
      </c>
      <c r="G189" t="s">
        <v>271</v>
      </c>
      <c r="H189" s="267"/>
      <c r="I189" s="267"/>
      <c r="J189" s="275">
        <f t="shared" ref="J189:Y189" si="48">hundred * $H26 * J63 / $H51 * J101 * (1 - J75) / hours_in_year</f>
        <v>4.3948279096423341E-2</v>
      </c>
      <c r="K189" s="275">
        <f t="shared" si="48"/>
        <v>4.3948279096423341E-2</v>
      </c>
      <c r="L189" s="275">
        <f t="shared" si="48"/>
        <v>3.8438007177705263E-2</v>
      </c>
      <c r="M189" s="275">
        <f t="shared" si="48"/>
        <v>3.8438007177705263E-2</v>
      </c>
      <c r="N189" s="275">
        <f t="shared" si="48"/>
        <v>3.266628255970469E-2</v>
      </c>
      <c r="O189" s="275">
        <f t="shared" si="48"/>
        <v>2.9921192548603686E-2</v>
      </c>
      <c r="P189" s="275">
        <f t="shared" si="48"/>
        <v>0</v>
      </c>
      <c r="Q189" s="275">
        <f t="shared" si="48"/>
        <v>3.4735027455055557E-2</v>
      </c>
      <c r="R189" s="275">
        <f t="shared" si="48"/>
        <v>-2.6839773515690252E-2</v>
      </c>
      <c r="S189" s="275">
        <f t="shared" si="48"/>
        <v>0</v>
      </c>
      <c r="T189" s="275">
        <f t="shared" si="48"/>
        <v>-2.6839773515690252E-2</v>
      </c>
      <c r="U189" s="275">
        <f t="shared" si="48"/>
        <v>-2.6839773515690252E-2</v>
      </c>
      <c r="V189" s="275">
        <f t="shared" si="48"/>
        <v>0</v>
      </c>
      <c r="W189" s="275">
        <f t="shared" si="48"/>
        <v>0</v>
      </c>
      <c r="X189" s="275">
        <f t="shared" si="48"/>
        <v>0</v>
      </c>
      <c r="Y189" s="275">
        <f t="shared" si="48"/>
        <v>0</v>
      </c>
      <c r="Z189" s="267"/>
      <c r="AA189" s="267"/>
    </row>
    <row r="190" spans="4:27" x14ac:dyDescent="0.3">
      <c r="E190" s="32"/>
      <c r="F190" s="192" t="s">
        <v>201</v>
      </c>
      <c r="G190" s="37" t="s">
        <v>271</v>
      </c>
      <c r="H190" s="269"/>
      <c r="I190" s="269"/>
      <c r="J190" s="276">
        <f t="shared" ref="J190:Y190" si="49">hundred * $H27 * J64 / $H52 * J102 * (1 - J76) / hours_in_year</f>
        <v>1.8443681581997513E-2</v>
      </c>
      <c r="K190" s="276">
        <f t="shared" si="49"/>
        <v>1.8443681581997513E-2</v>
      </c>
      <c r="L190" s="276">
        <f t="shared" si="49"/>
        <v>1.6131197389474727E-2</v>
      </c>
      <c r="M190" s="276">
        <f t="shared" si="49"/>
        <v>1.6131197389474727E-2</v>
      </c>
      <c r="N190" s="276">
        <f t="shared" si="49"/>
        <v>1.3708989894163668E-2</v>
      </c>
      <c r="O190" s="276">
        <f t="shared" si="49"/>
        <v>0</v>
      </c>
      <c r="P190" s="276">
        <f t="shared" si="49"/>
        <v>0</v>
      </c>
      <c r="Q190" s="276">
        <f t="shared" si="49"/>
        <v>1.4577175700495716E-2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624</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191</v>
      </c>
      <c r="G193" s="23" t="s">
        <v>271</v>
      </c>
      <c r="H193" s="266"/>
      <c r="I193" s="266"/>
      <c r="J193" s="274">
        <f t="shared" ref="J193:Y193" si="50">hundred * $H30 * J55 / $H43 * J93 / hours_in_year</f>
        <v>2.3671201295510782E-2</v>
      </c>
      <c r="K193" s="274">
        <f t="shared" si="50"/>
        <v>2.3671201295510782E-2</v>
      </c>
      <c r="L193" s="274">
        <f t="shared" si="50"/>
        <v>2.0703286317661485E-2</v>
      </c>
      <c r="M193" s="274">
        <f t="shared" si="50"/>
        <v>2.0703286317661485E-2</v>
      </c>
      <c r="N193" s="274">
        <f t="shared" si="50"/>
        <v>1.759454900043475E-2</v>
      </c>
      <c r="O193" s="274">
        <f t="shared" si="50"/>
        <v>1.6116002409691087E-2</v>
      </c>
      <c r="P193" s="274">
        <f t="shared" si="50"/>
        <v>1.4187336672625834E-2</v>
      </c>
      <c r="Q193" s="274">
        <f t="shared" si="50"/>
        <v>3.6329318717386434E-2</v>
      </c>
      <c r="R193" s="274">
        <f t="shared" si="50"/>
        <v>-1.445630397089947E-2</v>
      </c>
      <c r="S193" s="274">
        <f t="shared" si="50"/>
        <v>-1.4066319956800787E-2</v>
      </c>
      <c r="T193" s="274">
        <f t="shared" si="50"/>
        <v>-1.445630397089947E-2</v>
      </c>
      <c r="U193" s="274">
        <f t="shared" si="50"/>
        <v>-1.445630397089947E-2</v>
      </c>
      <c r="V193" s="274">
        <f t="shared" si="50"/>
        <v>-1.4066319956800787E-2</v>
      </c>
      <c r="W193" s="274">
        <f t="shared" si="50"/>
        <v>-1.4066319956800787E-2</v>
      </c>
      <c r="X193" s="274">
        <f t="shared" si="50"/>
        <v>-1.3904947261311675E-2</v>
      </c>
      <c r="Y193" s="274">
        <f t="shared" si="50"/>
        <v>-1.3904947261311675E-2</v>
      </c>
      <c r="Z193" s="267"/>
      <c r="AA193" s="267"/>
    </row>
    <row r="194" spans="3:27" x14ac:dyDescent="0.3">
      <c r="D194" s="32"/>
      <c r="E194" s="32"/>
      <c r="F194" s="191" t="s">
        <v>193</v>
      </c>
      <c r="G194" t="s">
        <v>271</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194</v>
      </c>
      <c r="G195" t="s">
        <v>271</v>
      </c>
      <c r="H195" s="267"/>
      <c r="I195" s="267"/>
      <c r="J195" s="275">
        <f t="shared" ref="J195:Y195" si="52">hundred * $H32 * J57 / $H45 * J95 / hours_in_year</f>
        <v>6.8009204169185225E-2</v>
      </c>
      <c r="K195" s="275">
        <f t="shared" si="52"/>
        <v>6.8009204169185225E-2</v>
      </c>
      <c r="L195" s="275">
        <f t="shared" si="52"/>
        <v>5.948215338010613E-2</v>
      </c>
      <c r="M195" s="275">
        <f t="shared" si="52"/>
        <v>5.948215338010613E-2</v>
      </c>
      <c r="N195" s="275">
        <f t="shared" si="52"/>
        <v>5.05505090467138E-2</v>
      </c>
      <c r="O195" s="275">
        <f t="shared" si="52"/>
        <v>4.6302529583896711E-2</v>
      </c>
      <c r="P195" s="275">
        <f t="shared" si="52"/>
        <v>4.0761322771082423E-2</v>
      </c>
      <c r="Q195" s="275">
        <f t="shared" si="52"/>
        <v>5.8715118844340976E-2</v>
      </c>
      <c r="R195" s="275">
        <f t="shared" si="52"/>
        <v>-4.1534086758628554E-2</v>
      </c>
      <c r="S195" s="275">
        <f t="shared" si="52"/>
        <v>-4.0413632325139962E-2</v>
      </c>
      <c r="T195" s="275">
        <f t="shared" si="52"/>
        <v>-4.1534086758628554E-2</v>
      </c>
      <c r="U195" s="275">
        <f t="shared" si="52"/>
        <v>-4.1534086758628554E-2</v>
      </c>
      <c r="V195" s="275">
        <f t="shared" si="52"/>
        <v>-4.0413632325139962E-2</v>
      </c>
      <c r="W195" s="275">
        <f t="shared" si="52"/>
        <v>-4.0413632325139962E-2</v>
      </c>
      <c r="X195" s="275">
        <f t="shared" si="52"/>
        <v>-3.9949996007834339E-2</v>
      </c>
      <c r="Y195" s="275">
        <f t="shared" si="52"/>
        <v>-3.9949996007834339E-2</v>
      </c>
      <c r="Z195" s="267"/>
      <c r="AA195" s="267"/>
    </row>
    <row r="196" spans="3:27" x14ac:dyDescent="0.3">
      <c r="D196" s="32"/>
      <c r="E196" s="32"/>
      <c r="F196" s="191" t="s">
        <v>195</v>
      </c>
      <c r="G196" t="s">
        <v>271</v>
      </c>
      <c r="H196" s="267"/>
      <c r="I196" s="267"/>
      <c r="J196" s="275">
        <f t="shared" ref="J196:Y196" si="53">hundred * $H33 * J58 / $H46 * J96 / hours_in_year</f>
        <v>3.5534174586649016E-2</v>
      </c>
      <c r="K196" s="275">
        <f t="shared" si="53"/>
        <v>3.5534174586649016E-2</v>
      </c>
      <c r="L196" s="275">
        <f t="shared" si="53"/>
        <v>3.107887011499855E-2</v>
      </c>
      <c r="M196" s="275">
        <f t="shared" si="53"/>
        <v>3.107887011499855E-2</v>
      </c>
      <c r="N196" s="275">
        <f t="shared" si="53"/>
        <v>2.6412169291694099E-2</v>
      </c>
      <c r="O196" s="275">
        <f t="shared" si="53"/>
        <v>2.4192639660135257E-2</v>
      </c>
      <c r="P196" s="275">
        <f t="shared" si="53"/>
        <v>2.1297410805266707E-2</v>
      </c>
      <c r="Q196" s="275">
        <f t="shared" si="53"/>
        <v>3.0678101727236444E-2</v>
      </c>
      <c r="R196" s="275">
        <f t="shared" si="53"/>
        <v>-2.1701172778123032E-2</v>
      </c>
      <c r="S196" s="275">
        <f t="shared" si="53"/>
        <v>-2.111574579155041E-2</v>
      </c>
      <c r="T196" s="275">
        <f t="shared" si="53"/>
        <v>-2.1701172778123032E-2</v>
      </c>
      <c r="U196" s="275">
        <f t="shared" si="53"/>
        <v>-2.1701172778123032E-2</v>
      </c>
      <c r="V196" s="275">
        <f t="shared" si="53"/>
        <v>-2.111574579155041E-2</v>
      </c>
      <c r="W196" s="275">
        <f t="shared" si="53"/>
        <v>-2.111574579155041E-2</v>
      </c>
      <c r="X196" s="275">
        <f t="shared" si="53"/>
        <v>-2.0873500141934155E-2</v>
      </c>
      <c r="Y196" s="275">
        <f t="shared" si="53"/>
        <v>-2.0873500141934155E-2</v>
      </c>
      <c r="Z196" s="267"/>
      <c r="AA196" s="267"/>
    </row>
    <row r="197" spans="3:27" x14ac:dyDescent="0.3">
      <c r="D197" s="32"/>
      <c r="E197" s="32"/>
      <c r="F197" s="191" t="s">
        <v>196</v>
      </c>
      <c r="G197" t="s">
        <v>271</v>
      </c>
      <c r="H197" s="267"/>
      <c r="I197" s="267"/>
      <c r="J197" s="275">
        <f t="shared" ref="J197:Y197" si="54">hundred * $H34 * J59 / $H47 * J97 / hours_in_year</f>
        <v>5.7049566139392632E-2</v>
      </c>
      <c r="K197" s="275">
        <f t="shared" si="54"/>
        <v>5.7049566139392632E-2</v>
      </c>
      <c r="L197" s="275">
        <f t="shared" si="54"/>
        <v>4.9896643914992531E-2</v>
      </c>
      <c r="M197" s="275">
        <f t="shared" si="54"/>
        <v>4.9896643914992531E-2</v>
      </c>
      <c r="N197" s="275">
        <f t="shared" si="54"/>
        <v>4.2404328126914678E-2</v>
      </c>
      <c r="O197" s="275">
        <f t="shared" si="54"/>
        <v>3.8840907729877139E-2</v>
      </c>
      <c r="P197" s="275">
        <f t="shared" si="54"/>
        <v>3.4192662710375264E-2</v>
      </c>
      <c r="Q197" s="275">
        <f t="shared" si="54"/>
        <v>4.5089780234695967E-2</v>
      </c>
      <c r="R197" s="275">
        <f t="shared" si="54"/>
        <v>-3.484089629517037E-2</v>
      </c>
      <c r="S197" s="275">
        <f t="shared" si="54"/>
        <v>-3.3901002348602979E-2</v>
      </c>
      <c r="T197" s="275">
        <f t="shared" si="54"/>
        <v>-3.484089629517037E-2</v>
      </c>
      <c r="U197" s="275">
        <f t="shared" si="54"/>
        <v>-3.484089629517037E-2</v>
      </c>
      <c r="V197" s="275">
        <f t="shared" si="54"/>
        <v>-3.3901002348602979E-2</v>
      </c>
      <c r="W197" s="275">
        <f t="shared" si="54"/>
        <v>-3.3901002348602979E-2</v>
      </c>
      <c r="X197" s="275">
        <f t="shared" si="54"/>
        <v>-3.3512080715540619E-2</v>
      </c>
      <c r="Y197" s="275">
        <f t="shared" si="54"/>
        <v>-3.3512080715540619E-2</v>
      </c>
      <c r="Z197" s="267"/>
      <c r="AA197" s="267"/>
    </row>
    <row r="198" spans="3:27" x14ac:dyDescent="0.3">
      <c r="D198" s="32"/>
      <c r="E198" s="32"/>
      <c r="F198" s="191" t="s">
        <v>197</v>
      </c>
      <c r="G198" t="s">
        <v>271</v>
      </c>
      <c r="H198" s="267"/>
      <c r="I198" s="267"/>
      <c r="J198" s="275">
        <f t="shared" ref="J198:Y198" si="55">hundred * $H35 * J60 / $H48 * J98 / hours_in_year</f>
        <v>9.1776457630957625E-2</v>
      </c>
      <c r="K198" s="275">
        <f t="shared" si="55"/>
        <v>9.1776457630957625E-2</v>
      </c>
      <c r="L198" s="275">
        <f t="shared" si="55"/>
        <v>8.0269448763244253E-2</v>
      </c>
      <c r="M198" s="275">
        <f t="shared" si="55"/>
        <v>8.0269448763244253E-2</v>
      </c>
      <c r="N198" s="275">
        <f t="shared" si="55"/>
        <v>6.82164525879152E-2</v>
      </c>
      <c r="O198" s="275">
        <f t="shared" si="55"/>
        <v>6.2483926940113885E-2</v>
      </c>
      <c r="P198" s="275">
        <f t="shared" si="55"/>
        <v>5.5006228318387508E-2</v>
      </c>
      <c r="Q198" s="275">
        <f t="shared" si="55"/>
        <v>7.2536578020377926E-2</v>
      </c>
      <c r="R198" s="275">
        <f t="shared" si="55"/>
        <v>-5.6049051010229722E-2</v>
      </c>
      <c r="S198" s="275">
        <f t="shared" si="55"/>
        <v>-5.4537030099256083E-2</v>
      </c>
      <c r="T198" s="275">
        <f t="shared" si="55"/>
        <v>-5.6049051010229722E-2</v>
      </c>
      <c r="U198" s="275">
        <f t="shared" si="55"/>
        <v>-5.6049051010229722E-2</v>
      </c>
      <c r="V198" s="275">
        <f t="shared" si="55"/>
        <v>-5.4537030099256083E-2</v>
      </c>
      <c r="W198" s="275">
        <f t="shared" si="55"/>
        <v>-5.4537030099256083E-2</v>
      </c>
      <c r="X198" s="275">
        <f t="shared" si="55"/>
        <v>-5.3911366274025617E-2</v>
      </c>
      <c r="Y198" s="275">
        <f t="shared" si="55"/>
        <v>-5.3911366274025617E-2</v>
      </c>
      <c r="Z198" s="267"/>
      <c r="AA198" s="267"/>
    </row>
    <row r="199" spans="3:27" x14ac:dyDescent="0.3">
      <c r="D199" s="32"/>
      <c r="E199" s="32"/>
      <c r="F199" s="191" t="s">
        <v>198</v>
      </c>
      <c r="G199" t="s">
        <v>271</v>
      </c>
      <c r="H199" s="267"/>
      <c r="I199" s="267"/>
      <c r="J199" s="275">
        <f t="shared" ref="J199:Y199" si="56">hundred * $H36 * J61 / $H49 * J99 / hours_in_year</f>
        <v>5.9465978804113624E-3</v>
      </c>
      <c r="K199" s="275">
        <f t="shared" si="56"/>
        <v>5.9465978804113624E-3</v>
      </c>
      <c r="L199" s="275">
        <f t="shared" si="56"/>
        <v>5.20100847427223E-3</v>
      </c>
      <c r="M199" s="275">
        <f t="shared" si="56"/>
        <v>5.20100847427223E-3</v>
      </c>
      <c r="N199" s="275">
        <f t="shared" si="56"/>
        <v>4.4200421637503335E-3</v>
      </c>
      <c r="O199" s="275">
        <f t="shared" si="56"/>
        <v>4.0486067679357069E-3</v>
      </c>
      <c r="P199" s="275">
        <f t="shared" si="56"/>
        <v>3.5640939863123547E-3</v>
      </c>
      <c r="Q199" s="275">
        <f t="shared" si="56"/>
        <v>5.1339404060555156E-3</v>
      </c>
      <c r="R199" s="275">
        <f t="shared" si="56"/>
        <v>-3.6316630270993681E-3</v>
      </c>
      <c r="S199" s="275">
        <f t="shared" si="56"/>
        <v>-3.5336925826473849E-3</v>
      </c>
      <c r="T199" s="275">
        <f t="shared" si="56"/>
        <v>-3.6316630270993681E-3</v>
      </c>
      <c r="U199" s="275">
        <f t="shared" si="56"/>
        <v>-3.6316630270993681E-3</v>
      </c>
      <c r="V199" s="275">
        <f t="shared" si="56"/>
        <v>-3.5336925826473849E-3</v>
      </c>
      <c r="W199" s="275">
        <f t="shared" si="56"/>
        <v>-3.5336925826473849E-3</v>
      </c>
      <c r="X199" s="275">
        <f t="shared" si="56"/>
        <v>-3.493153088391392E-3</v>
      </c>
      <c r="Y199" s="275">
        <f t="shared" si="56"/>
        <v>-3.493153088391392E-3</v>
      </c>
      <c r="Z199" s="267"/>
      <c r="AA199" s="267"/>
    </row>
    <row r="200" spans="3:27" x14ac:dyDescent="0.3">
      <c r="D200" s="32"/>
      <c r="E200" s="32"/>
      <c r="F200" s="191" t="s">
        <v>199</v>
      </c>
      <c r="G200" t="s">
        <v>271</v>
      </c>
      <c r="H200" s="267"/>
      <c r="I200" s="267"/>
      <c r="J200" s="275">
        <f t="shared" ref="J200:Y200" si="57">hundred * $H37 * J62 / $H50 * J100 / hours_in_year</f>
        <v>0.21143724534335595</v>
      </c>
      <c r="K200" s="275">
        <f t="shared" si="57"/>
        <v>0.21143724534335595</v>
      </c>
      <c r="L200" s="275">
        <f t="shared" si="57"/>
        <v>0.18492706702601167</v>
      </c>
      <c r="M200" s="275">
        <f t="shared" si="57"/>
        <v>0.18492706702601167</v>
      </c>
      <c r="N200" s="275">
        <f t="shared" si="57"/>
        <v>0.15715902743035448</v>
      </c>
      <c r="O200" s="275">
        <f t="shared" si="57"/>
        <v>0.14395226980297798</v>
      </c>
      <c r="P200" s="275">
        <f t="shared" si="57"/>
        <v>0.12672493243457297</v>
      </c>
      <c r="Q200" s="275">
        <f t="shared" si="57"/>
        <v>0.16711185677849419</v>
      </c>
      <c r="R200" s="275">
        <f t="shared" si="57"/>
        <v>-0.12912741737500597</v>
      </c>
      <c r="S200" s="275">
        <f t="shared" si="57"/>
        <v>-0.12564398006907559</v>
      </c>
      <c r="T200" s="275">
        <f t="shared" si="57"/>
        <v>-0.12912741737500597</v>
      </c>
      <c r="U200" s="275">
        <f t="shared" si="57"/>
        <v>-0.12912741737500597</v>
      </c>
      <c r="V200" s="275">
        <f t="shared" si="57"/>
        <v>-0.12564398006907559</v>
      </c>
      <c r="W200" s="275">
        <f t="shared" si="57"/>
        <v>-0.12564398006907559</v>
      </c>
      <c r="X200" s="275">
        <f t="shared" si="57"/>
        <v>0</v>
      </c>
      <c r="Y200" s="275">
        <f t="shared" si="57"/>
        <v>0</v>
      </c>
      <c r="Z200" s="267"/>
      <c r="AA200" s="267"/>
    </row>
    <row r="201" spans="3:27" x14ac:dyDescent="0.3">
      <c r="D201" s="32"/>
      <c r="E201" s="32"/>
      <c r="F201" s="191" t="s">
        <v>200</v>
      </c>
      <c r="G201" t="s">
        <v>271</v>
      </c>
      <c r="H201" s="267"/>
      <c r="I201" s="267"/>
      <c r="J201" s="275">
        <f t="shared" ref="J201:Y201" si="58">hundred * $H38 * J63 / $H51 * J101 / hours_in_year</f>
        <v>9.6785851861597147E-2</v>
      </c>
      <c r="K201" s="275">
        <f t="shared" si="58"/>
        <v>9.6785851861597147E-2</v>
      </c>
      <c r="L201" s="275">
        <f t="shared" si="58"/>
        <v>8.465076096367917E-2</v>
      </c>
      <c r="M201" s="275">
        <f t="shared" si="58"/>
        <v>8.465076096367917E-2</v>
      </c>
      <c r="N201" s="275">
        <f t="shared" si="58"/>
        <v>7.1939881371827302E-2</v>
      </c>
      <c r="O201" s="275">
        <f t="shared" si="58"/>
        <v>6.5894459784823806E-2</v>
      </c>
      <c r="P201" s="275">
        <f t="shared" si="58"/>
        <v>0</v>
      </c>
      <c r="Q201" s="275">
        <f t="shared" si="58"/>
        <v>7.6495810320525534E-2</v>
      </c>
      <c r="R201" s="275">
        <f t="shared" si="58"/>
        <v>-5.9108351837599611E-2</v>
      </c>
      <c r="S201" s="275">
        <f t="shared" si="58"/>
        <v>0</v>
      </c>
      <c r="T201" s="275">
        <f t="shared" si="58"/>
        <v>-5.9108351837599611E-2</v>
      </c>
      <c r="U201" s="275">
        <f t="shared" si="58"/>
        <v>-5.9108351837599611E-2</v>
      </c>
      <c r="V201" s="275">
        <f t="shared" si="58"/>
        <v>0</v>
      </c>
      <c r="W201" s="275">
        <f t="shared" si="58"/>
        <v>0</v>
      </c>
      <c r="X201" s="275">
        <f t="shared" si="58"/>
        <v>0</v>
      </c>
      <c r="Y201" s="275">
        <f t="shared" si="58"/>
        <v>0</v>
      </c>
      <c r="Z201" s="267"/>
      <c r="AA201" s="267"/>
    </row>
    <row r="202" spans="3:27" x14ac:dyDescent="0.3">
      <c r="D202" s="32"/>
      <c r="E202" s="32"/>
      <c r="F202" s="192" t="s">
        <v>201</v>
      </c>
      <c r="G202" s="37" t="s">
        <v>271</v>
      </c>
      <c r="H202" s="269"/>
      <c r="I202" s="269"/>
      <c r="J202" s="276">
        <f t="shared" ref="J202:Y202" si="59">hundred * $H39 * J64 / $H52 * J102 / hours_in_year</f>
        <v>0.19291419788431977</v>
      </c>
      <c r="K202" s="276">
        <f t="shared" si="59"/>
        <v>0.19291419788431977</v>
      </c>
      <c r="L202" s="276">
        <f t="shared" si="59"/>
        <v>0.16872645471941164</v>
      </c>
      <c r="M202" s="276">
        <f t="shared" si="59"/>
        <v>0.16872645471941164</v>
      </c>
      <c r="N202" s="276">
        <f t="shared" si="59"/>
        <v>0.14339104573450376</v>
      </c>
      <c r="O202" s="276">
        <f t="shared" si="59"/>
        <v>0</v>
      </c>
      <c r="P202" s="276">
        <f t="shared" si="59"/>
        <v>0</v>
      </c>
      <c r="Q202" s="276">
        <f t="shared" si="59"/>
        <v>0.15247195334497657</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629</v>
      </c>
      <c r="D206" s="32"/>
      <c r="E206" s="32"/>
      <c r="I206" s="3" t="s">
        <v>156</v>
      </c>
      <c r="J206" s="163"/>
      <c r="K206" s="163"/>
      <c r="L206" s="163"/>
      <c r="M206" s="163"/>
      <c r="N206" s="163"/>
      <c r="O206" s="163"/>
      <c r="P206" s="163"/>
      <c r="Q206" s="163"/>
      <c r="R206" s="163"/>
      <c r="S206" s="163"/>
      <c r="T206" s="163"/>
      <c r="U206" s="163"/>
      <c r="V206" s="163"/>
      <c r="W206" s="163"/>
      <c r="X206" s="163"/>
      <c r="Y206" s="163"/>
      <c r="AA206" t="s">
        <v>627</v>
      </c>
    </row>
    <row r="207" spans="3:27" x14ac:dyDescent="0.3">
      <c r="C207" s="29" t="s">
        <v>630</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623</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191</v>
      </c>
      <c r="G210" s="23" t="s">
        <v>271</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193</v>
      </c>
      <c r="G211" t="s">
        <v>271</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194</v>
      </c>
      <c r="G212" t="s">
        <v>271</v>
      </c>
      <c r="H212" s="267"/>
      <c r="I212" s="267"/>
      <c r="J212" s="275">
        <f t="shared" ref="J212:Y212" si="62">hundred * $H20 * J57 / $H45 * J107 * (1 - J69) / hours_in_year</f>
        <v>7.5757189040848265E-3</v>
      </c>
      <c r="K212" s="275">
        <f t="shared" si="62"/>
        <v>7.5757189040848265E-3</v>
      </c>
      <c r="L212" s="275">
        <f t="shared" si="62"/>
        <v>6.6258689440967999E-3</v>
      </c>
      <c r="M212" s="275">
        <f t="shared" si="62"/>
        <v>6.6258689440967999E-3</v>
      </c>
      <c r="N212" s="275">
        <f t="shared" si="62"/>
        <v>5.630950276136552E-3</v>
      </c>
      <c r="O212" s="275">
        <f t="shared" si="62"/>
        <v>5.1577569971713953E-3</v>
      </c>
      <c r="P212" s="275">
        <f t="shared" si="62"/>
        <v>4.5405078216208131E-3</v>
      </c>
      <c r="Q212" s="275">
        <f t="shared" si="62"/>
        <v>6.5466075745394181E-3</v>
      </c>
      <c r="R212" s="275">
        <f t="shared" si="62"/>
        <v>-4.6265879753347979E-3</v>
      </c>
      <c r="S212" s="275">
        <f t="shared" si="62"/>
        <v>-4.5017776950699506E-3</v>
      </c>
      <c r="T212" s="275">
        <f t="shared" si="62"/>
        <v>-4.6265879753347979E-3</v>
      </c>
      <c r="U212" s="275">
        <f t="shared" si="62"/>
        <v>-4.6265879753347979E-3</v>
      </c>
      <c r="V212" s="275">
        <f t="shared" si="62"/>
        <v>-4.5017776950699506E-3</v>
      </c>
      <c r="W212" s="275">
        <f t="shared" si="62"/>
        <v>-4.5017776950699506E-3</v>
      </c>
      <c r="X212" s="275">
        <f t="shared" si="62"/>
        <v>-4.450132061856911E-3</v>
      </c>
      <c r="Y212" s="275">
        <f t="shared" si="62"/>
        <v>-4.450132061856911E-3</v>
      </c>
      <c r="Z212" s="267"/>
      <c r="AA212" s="267"/>
    </row>
    <row r="213" spans="3:27" x14ac:dyDescent="0.3">
      <c r="E213" s="32"/>
      <c r="F213" s="191" t="s">
        <v>195</v>
      </c>
      <c r="G213" t="s">
        <v>271</v>
      </c>
      <c r="H213" s="267"/>
      <c r="I213" s="267"/>
      <c r="J213" s="275">
        <f t="shared" ref="J213:Y213" si="63">hundred * $H21 * J58 / $H46 * J108 * (1 - J70) / hours_in_year</f>
        <v>3.9582424385889202E-3</v>
      </c>
      <c r="K213" s="275">
        <f t="shared" si="63"/>
        <v>3.9582424385889202E-3</v>
      </c>
      <c r="L213" s="275">
        <f t="shared" si="63"/>
        <v>3.4619546975153512E-3</v>
      </c>
      <c r="M213" s="275">
        <f t="shared" si="63"/>
        <v>3.4619546975153512E-3</v>
      </c>
      <c r="N213" s="275">
        <f t="shared" si="63"/>
        <v>2.942118977060996E-3</v>
      </c>
      <c r="O213" s="275">
        <f t="shared" si="63"/>
        <v>2.6948799041533415E-3</v>
      </c>
      <c r="P213" s="275">
        <f t="shared" si="63"/>
        <v>2.3723729694608529E-3</v>
      </c>
      <c r="Q213" s="275">
        <f t="shared" si="63"/>
        <v>3.4205413715069711E-3</v>
      </c>
      <c r="R213" s="275">
        <f t="shared" si="63"/>
        <v>-2.4173490465651953E-3</v>
      </c>
      <c r="S213" s="275">
        <f t="shared" si="63"/>
        <v>-2.3521368397276228E-3</v>
      </c>
      <c r="T213" s="275">
        <f t="shared" si="63"/>
        <v>-2.4173490465651953E-3</v>
      </c>
      <c r="U213" s="275">
        <f t="shared" si="63"/>
        <v>-2.4173490465651953E-3</v>
      </c>
      <c r="V213" s="275">
        <f t="shared" si="63"/>
        <v>-2.3521368397276228E-3</v>
      </c>
      <c r="W213" s="275">
        <f t="shared" si="63"/>
        <v>-2.3521368397276228E-3</v>
      </c>
      <c r="X213" s="275">
        <f t="shared" si="63"/>
        <v>-2.3251524782775929E-3</v>
      </c>
      <c r="Y213" s="275">
        <f t="shared" si="63"/>
        <v>-2.3251524782775929E-3</v>
      </c>
      <c r="Z213" s="267"/>
      <c r="AA213" s="267"/>
    </row>
    <row r="214" spans="3:27" x14ac:dyDescent="0.3">
      <c r="E214" s="32"/>
      <c r="F214" s="191" t="s">
        <v>196</v>
      </c>
      <c r="G214" t="s">
        <v>271</v>
      </c>
      <c r="H214" s="267"/>
      <c r="I214" s="267"/>
      <c r="J214" s="275">
        <f t="shared" ref="J214:Y214" si="64">hundred * $H22 * J59 / $H47 * J109 * (1 - J71) / hours_in_year</f>
        <v>6.7609131450947291E-3</v>
      </c>
      <c r="K214" s="275">
        <f t="shared" si="64"/>
        <v>6.7609131450947291E-3</v>
      </c>
      <c r="L214" s="275">
        <f t="shared" si="64"/>
        <v>5.9132242113239574E-3</v>
      </c>
      <c r="M214" s="275">
        <f t="shared" si="64"/>
        <v>5.9132242113239574E-3</v>
      </c>
      <c r="N214" s="275">
        <f t="shared" si="64"/>
        <v>5.0253139303754893E-3</v>
      </c>
      <c r="O214" s="275">
        <f t="shared" si="64"/>
        <v>4.6030149115720087E-3</v>
      </c>
      <c r="P214" s="275">
        <f t="shared" si="64"/>
        <v>3.7870618051031668E-3</v>
      </c>
      <c r="Q214" s="275">
        <f t="shared" si="64"/>
        <v>5.8424877911738161E-3</v>
      </c>
      <c r="R214" s="275">
        <f t="shared" si="64"/>
        <v>-4.1289757256584708E-3</v>
      </c>
      <c r="S214" s="275">
        <f t="shared" si="64"/>
        <v>-4.0175894037569855E-3</v>
      </c>
      <c r="T214" s="275">
        <f t="shared" si="64"/>
        <v>-4.1289757256584708E-3</v>
      </c>
      <c r="U214" s="275">
        <f t="shared" si="64"/>
        <v>-4.1289757256584708E-3</v>
      </c>
      <c r="V214" s="275">
        <f t="shared" si="64"/>
        <v>-4.0175894037569855E-3</v>
      </c>
      <c r="W214" s="275">
        <f t="shared" si="64"/>
        <v>-4.0175894037569855E-3</v>
      </c>
      <c r="X214" s="275">
        <f t="shared" si="64"/>
        <v>-3.7116828824462563E-3</v>
      </c>
      <c r="Y214" s="275">
        <f t="shared" si="64"/>
        <v>-3.7116828824462563E-3</v>
      </c>
      <c r="Z214" s="267"/>
      <c r="AA214" s="267"/>
    </row>
    <row r="215" spans="3:27" x14ac:dyDescent="0.3">
      <c r="E215" s="32"/>
      <c r="F215" s="191" t="s">
        <v>197</v>
      </c>
      <c r="G215" t="s">
        <v>271</v>
      </c>
      <c r="H215" s="267"/>
      <c r="I215" s="267"/>
      <c r="J215" s="275">
        <f t="shared" ref="J215:Y215" si="65">hundred * $H23 * J60 / $H48 * J110 * (1 - J72) / hours_in_year</f>
        <v>1.0876378223302943E-2</v>
      </c>
      <c r="K215" s="275">
        <f t="shared" si="65"/>
        <v>1.0876378223302943E-2</v>
      </c>
      <c r="L215" s="275">
        <f t="shared" si="65"/>
        <v>9.512688842662315E-3</v>
      </c>
      <c r="M215" s="275">
        <f t="shared" si="65"/>
        <v>9.512688842662315E-3</v>
      </c>
      <c r="N215" s="275">
        <f t="shared" si="65"/>
        <v>8.0842948022860697E-3</v>
      </c>
      <c r="O215" s="275">
        <f t="shared" si="65"/>
        <v>7.4049362965243433E-3</v>
      </c>
      <c r="P215" s="275">
        <f t="shared" si="65"/>
        <v>4.2265697695858095E-3</v>
      </c>
      <c r="Q215" s="275">
        <f t="shared" si="65"/>
        <v>9.398894146116981E-3</v>
      </c>
      <c r="R215" s="275">
        <f t="shared" si="65"/>
        <v>-6.642342639718829E-3</v>
      </c>
      <c r="S215" s="275">
        <f t="shared" si="65"/>
        <v>-6.4631538615310654E-3</v>
      </c>
      <c r="T215" s="275">
        <f t="shared" si="65"/>
        <v>-6.642342639718829E-3</v>
      </c>
      <c r="U215" s="275">
        <f t="shared" si="65"/>
        <v>-6.642342639718829E-3</v>
      </c>
      <c r="V215" s="275">
        <f t="shared" si="65"/>
        <v>-6.4631538615310654E-3</v>
      </c>
      <c r="W215" s="275">
        <f t="shared" si="65"/>
        <v>-6.4631538615310654E-3</v>
      </c>
      <c r="X215" s="275">
        <f t="shared" si="65"/>
        <v>-4.1424427359745995E-3</v>
      </c>
      <c r="Y215" s="275">
        <f t="shared" si="65"/>
        <v>-4.1424427359745995E-3</v>
      </c>
      <c r="Z215" s="267"/>
      <c r="AA215" s="267"/>
    </row>
    <row r="216" spans="3:27" x14ac:dyDescent="0.3">
      <c r="E216" s="32"/>
      <c r="F216" s="191" t="s">
        <v>198</v>
      </c>
      <c r="G216" t="s">
        <v>271</v>
      </c>
      <c r="H216" s="267"/>
      <c r="I216" s="267"/>
      <c r="J216" s="275">
        <f t="shared" ref="J216:Y216" si="66">hundred * $H24 * J61 / $H49 * J111 * (1 - J73) / hours_in_year</f>
        <v>6.6240672167775547E-4</v>
      </c>
      <c r="K216" s="275">
        <f t="shared" si="66"/>
        <v>6.6240672167775547E-4</v>
      </c>
      <c r="L216" s="275">
        <f t="shared" si="66"/>
        <v>5.793536139730651E-4</v>
      </c>
      <c r="M216" s="275">
        <f t="shared" si="66"/>
        <v>5.793536139730651E-4</v>
      </c>
      <c r="N216" s="275">
        <f t="shared" si="66"/>
        <v>4.9235978255936349E-4</v>
      </c>
      <c r="O216" s="275">
        <f t="shared" si="66"/>
        <v>4.5098464541294095E-4</v>
      </c>
      <c r="P216" s="275">
        <f t="shared" si="66"/>
        <v>2.5741181186722523E-4</v>
      </c>
      <c r="Q216" s="275">
        <f t="shared" si="66"/>
        <v>5.7242314775211216E-4</v>
      </c>
      <c r="R216" s="275">
        <f t="shared" si="66"/>
        <v>-4.0454021751556415E-4</v>
      </c>
      <c r="S216" s="275">
        <f t="shared" si="66"/>
        <v>-3.9362703955467921E-4</v>
      </c>
      <c r="T216" s="275">
        <f t="shared" si="66"/>
        <v>-4.0454021751556415E-4</v>
      </c>
      <c r="U216" s="275">
        <f t="shared" si="66"/>
        <v>-4.0454021751556415E-4</v>
      </c>
      <c r="V216" s="275">
        <f t="shared" si="66"/>
        <v>-3.9362703955467921E-4</v>
      </c>
      <c r="W216" s="275">
        <f t="shared" si="66"/>
        <v>-3.9362703955467921E-4</v>
      </c>
      <c r="X216" s="275">
        <f t="shared" si="66"/>
        <v>-2.5228820257424561E-4</v>
      </c>
      <c r="Y216" s="275">
        <f t="shared" si="66"/>
        <v>-2.5228820257424561E-4</v>
      </c>
      <c r="Z216" s="267"/>
      <c r="AA216" s="267"/>
    </row>
    <row r="217" spans="3:27" x14ac:dyDescent="0.3">
      <c r="E217" s="32"/>
      <c r="F217" s="191" t="s">
        <v>199</v>
      </c>
      <c r="G217" t="s">
        <v>271</v>
      </c>
      <c r="H217" s="267"/>
      <c r="I217" s="267"/>
      <c r="J217" s="275">
        <f t="shared" ref="J217:Y217" si="67">hundred * $H25 * J62 / $H50 * J112 * (1 - J74) / hours_in_year</f>
        <v>1.3051514593627493E-2</v>
      </c>
      <c r="K217" s="275">
        <f t="shared" si="67"/>
        <v>1.3051514593627493E-2</v>
      </c>
      <c r="L217" s="275">
        <f t="shared" si="67"/>
        <v>1.1415104799191248E-2</v>
      </c>
      <c r="M217" s="275">
        <f t="shared" si="67"/>
        <v>1.1415104799191248E-2</v>
      </c>
      <c r="N217" s="275">
        <f t="shared" si="67"/>
        <v>9.7010502416291968E-3</v>
      </c>
      <c r="O217" s="275">
        <f t="shared" si="67"/>
        <v>8.885828734045257E-3</v>
      </c>
      <c r="P217" s="275">
        <f t="shared" si="67"/>
        <v>5.4389682612824225E-3</v>
      </c>
      <c r="Q217" s="275">
        <f t="shared" si="67"/>
        <v>1.1278552620502138E-2</v>
      </c>
      <c r="R217" s="275">
        <f t="shared" si="67"/>
        <v>-7.970726111052583E-3</v>
      </c>
      <c r="S217" s="275">
        <f t="shared" si="67"/>
        <v>-7.7557018717776755E-3</v>
      </c>
      <c r="T217" s="275">
        <f t="shared" si="67"/>
        <v>-7.970726111052583E-3</v>
      </c>
      <c r="U217" s="275">
        <f t="shared" si="67"/>
        <v>-7.970726111052583E-3</v>
      </c>
      <c r="V217" s="275">
        <f t="shared" si="67"/>
        <v>-7.7557018717776755E-3</v>
      </c>
      <c r="W217" s="275">
        <f t="shared" si="67"/>
        <v>-7.7557018717776755E-3</v>
      </c>
      <c r="X217" s="275">
        <f t="shared" si="67"/>
        <v>0</v>
      </c>
      <c r="Y217" s="275">
        <f t="shared" si="67"/>
        <v>0</v>
      </c>
      <c r="Z217" s="267"/>
      <c r="AA217" s="267"/>
    </row>
    <row r="218" spans="3:27" x14ac:dyDescent="0.3">
      <c r="E218" s="32"/>
      <c r="F218" s="191" t="s">
        <v>200</v>
      </c>
      <c r="G218" t="s">
        <v>271</v>
      </c>
      <c r="H218" s="267"/>
      <c r="I218" s="267"/>
      <c r="J218" s="275">
        <f t="shared" ref="J218:Y218" si="68">hundred * $H26 * J63 / $H51 * J113 * (1 - J75) / hours_in_year</f>
        <v>3.3386547891250855E-3</v>
      </c>
      <c r="K218" s="275">
        <f t="shared" si="68"/>
        <v>3.3386547891250855E-3</v>
      </c>
      <c r="L218" s="275">
        <f t="shared" si="68"/>
        <v>2.9200514647390171E-3</v>
      </c>
      <c r="M218" s="275">
        <f t="shared" si="68"/>
        <v>2.9200514647390171E-3</v>
      </c>
      <c r="N218" s="275">
        <f t="shared" si="68"/>
        <v>2.4815861497463529E-3</v>
      </c>
      <c r="O218" s="275">
        <f t="shared" si="68"/>
        <v>2.273047656304236E-3</v>
      </c>
      <c r="P218" s="275">
        <f t="shared" si="68"/>
        <v>0</v>
      </c>
      <c r="Q218" s="275">
        <f t="shared" si="68"/>
        <v>2.8851206080882136E-3</v>
      </c>
      <c r="R218" s="275">
        <f t="shared" si="68"/>
        <v>-2.0389589815471192E-3</v>
      </c>
      <c r="S218" s="275">
        <f t="shared" si="68"/>
        <v>0</v>
      </c>
      <c r="T218" s="275">
        <f t="shared" si="68"/>
        <v>-2.0389589815471192E-3</v>
      </c>
      <c r="U218" s="275">
        <f t="shared" si="68"/>
        <v>-2.0389589815471192E-3</v>
      </c>
      <c r="V218" s="275">
        <f t="shared" si="68"/>
        <v>0</v>
      </c>
      <c r="W218" s="275">
        <f t="shared" si="68"/>
        <v>0</v>
      </c>
      <c r="X218" s="275">
        <f t="shared" si="68"/>
        <v>0</v>
      </c>
      <c r="Y218" s="275">
        <f t="shared" si="68"/>
        <v>0</v>
      </c>
      <c r="Z218" s="267"/>
      <c r="AA218" s="267"/>
    </row>
    <row r="219" spans="3:27" x14ac:dyDescent="0.3">
      <c r="E219" s="32"/>
      <c r="F219" s="192" t="s">
        <v>201</v>
      </c>
      <c r="G219" s="37" t="s">
        <v>271</v>
      </c>
      <c r="H219" s="269"/>
      <c r="I219" s="269"/>
      <c r="J219" s="276">
        <f t="shared" ref="J219:Y219" si="69">hundred * $H27 * J64 / $H52 * J114 * (1 - J76) / hours_in_year</f>
        <v>1.4011262126494841E-3</v>
      </c>
      <c r="K219" s="276">
        <f t="shared" si="69"/>
        <v>1.4011262126494841E-3</v>
      </c>
      <c r="L219" s="276">
        <f t="shared" si="69"/>
        <v>1.2254518385243188E-3</v>
      </c>
      <c r="M219" s="276">
        <f t="shared" si="69"/>
        <v>1.2254518385243188E-3</v>
      </c>
      <c r="N219" s="276">
        <f t="shared" si="69"/>
        <v>1.0414420246990241E-3</v>
      </c>
      <c r="O219" s="276">
        <f t="shared" si="69"/>
        <v>0</v>
      </c>
      <c r="P219" s="276">
        <f t="shared" si="69"/>
        <v>0</v>
      </c>
      <c r="Q219" s="276">
        <f t="shared" si="69"/>
        <v>1.210792479598334E-3</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624</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191</v>
      </c>
      <c r="G222" s="23" t="s">
        <v>271</v>
      </c>
      <c r="H222" s="266"/>
      <c r="I222" s="266"/>
      <c r="J222" s="274">
        <f t="shared" ref="J222:Y222" si="70">hundred * $H30 * J55 / $H43 * J105 / hours_in_year</f>
        <v>0</v>
      </c>
      <c r="K222" s="274">
        <f t="shared" si="70"/>
        <v>0</v>
      </c>
      <c r="L222" s="274">
        <f t="shared" si="70"/>
        <v>0</v>
      </c>
      <c r="M222" s="274">
        <f t="shared" si="70"/>
        <v>0</v>
      </c>
      <c r="N222" s="274">
        <f t="shared" si="70"/>
        <v>0</v>
      </c>
      <c r="O222" s="274">
        <f t="shared" si="70"/>
        <v>0</v>
      </c>
      <c r="P222" s="274">
        <f t="shared" si="70"/>
        <v>0</v>
      </c>
      <c r="Q222" s="274">
        <f t="shared" si="70"/>
        <v>0</v>
      </c>
      <c r="R222" s="274">
        <f t="shared" si="70"/>
        <v>0</v>
      </c>
      <c r="S222" s="274">
        <f t="shared" si="70"/>
        <v>0</v>
      </c>
      <c r="T222" s="274">
        <f t="shared" si="70"/>
        <v>0</v>
      </c>
      <c r="U222" s="274">
        <f t="shared" si="70"/>
        <v>0</v>
      </c>
      <c r="V222" s="274">
        <f t="shared" si="70"/>
        <v>0</v>
      </c>
      <c r="W222" s="274">
        <f t="shared" si="70"/>
        <v>0</v>
      </c>
      <c r="X222" s="274">
        <f t="shared" si="70"/>
        <v>0</v>
      </c>
      <c r="Y222" s="274">
        <f t="shared" si="70"/>
        <v>0</v>
      </c>
      <c r="Z222" s="267"/>
      <c r="AA222" s="267"/>
    </row>
    <row r="223" spans="3:27" x14ac:dyDescent="0.3">
      <c r="C223" s="32"/>
      <c r="E223" s="32"/>
      <c r="F223" s="191" t="s">
        <v>193</v>
      </c>
      <c r="G223" t="s">
        <v>271</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194</v>
      </c>
      <c r="G224" t="s">
        <v>271</v>
      </c>
      <c r="H224" s="267"/>
      <c r="I224" s="267"/>
      <c r="J224" s="275">
        <f t="shared" ref="J224:Y224" si="72">hundred * $H32 * J57 / $H45 * J107 / hours_in_year</f>
        <v>4.8562438183362647E-3</v>
      </c>
      <c r="K224" s="275">
        <f t="shared" si="72"/>
        <v>4.8562438183362647E-3</v>
      </c>
      <c r="L224" s="275">
        <f t="shared" si="72"/>
        <v>4.2473639146677657E-3</v>
      </c>
      <c r="M224" s="275">
        <f t="shared" si="72"/>
        <v>4.2473639146677657E-3</v>
      </c>
      <c r="N224" s="275">
        <f t="shared" si="72"/>
        <v>3.6095937317714433E-3</v>
      </c>
      <c r="O224" s="275">
        <f t="shared" si="72"/>
        <v>3.3062638478427039E-3</v>
      </c>
      <c r="P224" s="275">
        <f t="shared" si="72"/>
        <v>2.9105901789682671E-3</v>
      </c>
      <c r="Q224" s="275">
        <f t="shared" si="72"/>
        <v>4.1965552005616552E-3</v>
      </c>
      <c r="R224" s="275">
        <f t="shared" si="72"/>
        <v>-2.9657699209369886E-3</v>
      </c>
      <c r="S224" s="275">
        <f t="shared" si="72"/>
        <v>-2.8857631044651999E-3</v>
      </c>
      <c r="T224" s="275">
        <f t="shared" si="72"/>
        <v>-2.9657699209369886E-3</v>
      </c>
      <c r="U224" s="275">
        <f t="shared" si="72"/>
        <v>-2.9657699209369886E-3</v>
      </c>
      <c r="V224" s="275">
        <f t="shared" si="72"/>
        <v>-2.8857631044651999E-3</v>
      </c>
      <c r="W224" s="275">
        <f t="shared" si="72"/>
        <v>-2.8857631044651999E-3</v>
      </c>
      <c r="X224" s="275">
        <f t="shared" si="72"/>
        <v>-2.8526568355803218E-3</v>
      </c>
      <c r="Y224" s="275">
        <f t="shared" si="72"/>
        <v>-2.8526568355803218E-3</v>
      </c>
      <c r="Z224" s="267"/>
      <c r="AA224" s="267"/>
    </row>
    <row r="225" spans="2:27" x14ac:dyDescent="0.3">
      <c r="C225" s="32"/>
      <c r="E225" s="32"/>
      <c r="F225" s="191" t="s">
        <v>195</v>
      </c>
      <c r="G225" t="s">
        <v>271</v>
      </c>
      <c r="H225" s="267"/>
      <c r="I225" s="267"/>
      <c r="J225" s="275">
        <f t="shared" ref="J225:Y225" si="73">hundred * $H33 * J58 / $H46 * J108 / hours_in_year</f>
        <v>2.5373420816219975E-3</v>
      </c>
      <c r="K225" s="275">
        <f t="shared" si="73"/>
        <v>2.5373420816219975E-3</v>
      </c>
      <c r="L225" s="275">
        <f t="shared" si="73"/>
        <v>2.2192080133944837E-3</v>
      </c>
      <c r="M225" s="275">
        <f t="shared" si="73"/>
        <v>2.2192080133944837E-3</v>
      </c>
      <c r="N225" s="275">
        <f t="shared" si="73"/>
        <v>1.8859790438447213E-3</v>
      </c>
      <c r="O225" s="275">
        <f t="shared" si="73"/>
        <v>1.7274920098535849E-3</v>
      </c>
      <c r="P225" s="275">
        <f t="shared" si="73"/>
        <v>1.5207562098852815E-3</v>
      </c>
      <c r="Q225" s="275">
        <f t="shared" si="73"/>
        <v>2.1926609343685577E-3</v>
      </c>
      <c r="R225" s="275">
        <f t="shared" si="73"/>
        <v>-1.5495871101834974E-3</v>
      </c>
      <c r="S225" s="275">
        <f t="shared" si="73"/>
        <v>-1.507784295118082E-3</v>
      </c>
      <c r="T225" s="275">
        <f t="shared" si="73"/>
        <v>-1.5495871101834974E-3</v>
      </c>
      <c r="U225" s="275">
        <f t="shared" si="73"/>
        <v>-1.5495871101834974E-3</v>
      </c>
      <c r="V225" s="275">
        <f t="shared" si="73"/>
        <v>-1.507784295118082E-3</v>
      </c>
      <c r="W225" s="275">
        <f t="shared" si="73"/>
        <v>-1.507784295118082E-3</v>
      </c>
      <c r="X225" s="275">
        <f t="shared" si="73"/>
        <v>-1.4904865785392897E-3</v>
      </c>
      <c r="Y225" s="275">
        <f t="shared" si="73"/>
        <v>-1.4904865785392897E-3</v>
      </c>
      <c r="Z225" s="267"/>
      <c r="AA225" s="267"/>
    </row>
    <row r="226" spans="2:27" x14ac:dyDescent="0.3">
      <c r="C226" s="32"/>
      <c r="E226" s="32"/>
      <c r="F226" s="191" t="s">
        <v>196</v>
      </c>
      <c r="G226" t="s">
        <v>271</v>
      </c>
      <c r="H226" s="267"/>
      <c r="I226" s="267"/>
      <c r="J226" s="275">
        <f t="shared" ref="J226:Y226" si="74">hundred * $H34 * J59 / $H47 * J109 / hours_in_year</f>
        <v>4.3339309553145277E-3</v>
      </c>
      <c r="K226" s="275">
        <f t="shared" si="74"/>
        <v>4.3339309553145277E-3</v>
      </c>
      <c r="L226" s="275">
        <f t="shared" si="74"/>
        <v>3.7905390744097712E-3</v>
      </c>
      <c r="M226" s="275">
        <f t="shared" si="74"/>
        <v>3.7905390744097712E-3</v>
      </c>
      <c r="N226" s="275">
        <f t="shared" si="74"/>
        <v>3.2213642056368244E-3</v>
      </c>
      <c r="O226" s="275">
        <f t="shared" si="74"/>
        <v>2.9506589398371544E-3</v>
      </c>
      <c r="P226" s="275">
        <f t="shared" si="74"/>
        <v>2.5975419164984692E-3</v>
      </c>
      <c r="Q226" s="275">
        <f t="shared" si="74"/>
        <v>3.7451950869368286E-3</v>
      </c>
      <c r="R226" s="275">
        <f t="shared" si="74"/>
        <v>-2.6467868063290703E-3</v>
      </c>
      <c r="S226" s="275">
        <f t="shared" si="74"/>
        <v>-2.575385115739728E-3</v>
      </c>
      <c r="T226" s="275">
        <f t="shared" si="74"/>
        <v>-2.6467868063290703E-3</v>
      </c>
      <c r="U226" s="275">
        <f t="shared" si="74"/>
        <v>-2.6467868063290703E-3</v>
      </c>
      <c r="V226" s="275">
        <f t="shared" si="74"/>
        <v>-2.575385115739728E-3</v>
      </c>
      <c r="W226" s="275">
        <f t="shared" si="74"/>
        <v>-2.575385115739728E-3</v>
      </c>
      <c r="X226" s="275">
        <f t="shared" si="74"/>
        <v>-2.5458395885993115E-3</v>
      </c>
      <c r="Y226" s="275">
        <f t="shared" si="74"/>
        <v>-2.5458395885993115E-3</v>
      </c>
      <c r="Z226" s="267"/>
      <c r="AA226" s="267"/>
    </row>
    <row r="227" spans="2:27" x14ac:dyDescent="0.3">
      <c r="C227" s="32"/>
      <c r="E227" s="32"/>
      <c r="F227" s="191" t="s">
        <v>197</v>
      </c>
      <c r="G227" t="s">
        <v>271</v>
      </c>
      <c r="H227" s="267"/>
      <c r="I227" s="267"/>
      <c r="J227" s="275">
        <f t="shared" ref="J227:Y227" si="75">hundred * $H35 * J60 / $H48 * J110 / hours_in_year</f>
        <v>6.9720570656762937E-3</v>
      </c>
      <c r="K227" s="275">
        <f t="shared" si="75"/>
        <v>6.9720570656762937E-3</v>
      </c>
      <c r="L227" s="275">
        <f t="shared" si="75"/>
        <v>6.0978947308916618E-3</v>
      </c>
      <c r="M227" s="275">
        <f t="shared" si="75"/>
        <v>6.0978947308916618E-3</v>
      </c>
      <c r="N227" s="275">
        <f t="shared" si="75"/>
        <v>5.1822549326693097E-3</v>
      </c>
      <c r="O227" s="275">
        <f t="shared" si="75"/>
        <v>4.7467674778403487E-3</v>
      </c>
      <c r="P227" s="275">
        <f t="shared" si="75"/>
        <v>4.1787030432742954E-3</v>
      </c>
      <c r="Q227" s="275">
        <f t="shared" si="75"/>
        <v>6.0249492060306812E-3</v>
      </c>
      <c r="R227" s="275">
        <f t="shared" si="75"/>
        <v>-4.2579240058673602E-3</v>
      </c>
      <c r="S227" s="275">
        <f t="shared" si="75"/>
        <v>-4.14305907919745E-3</v>
      </c>
      <c r="T227" s="275">
        <f t="shared" si="75"/>
        <v>-4.2579240058673602E-3</v>
      </c>
      <c r="U227" s="275">
        <f t="shared" si="75"/>
        <v>-4.2579240058673602E-3</v>
      </c>
      <c r="V227" s="275">
        <f t="shared" si="75"/>
        <v>-4.14305907919745E-3</v>
      </c>
      <c r="W227" s="275">
        <f t="shared" si="75"/>
        <v>-4.14305907919745E-3</v>
      </c>
      <c r="X227" s="275">
        <f t="shared" si="75"/>
        <v>-4.0955287647133501E-3</v>
      </c>
      <c r="Y227" s="275">
        <f t="shared" si="75"/>
        <v>-4.0955287647133501E-3</v>
      </c>
      <c r="Z227" s="267"/>
      <c r="AA227" s="267"/>
    </row>
    <row r="228" spans="2:27" x14ac:dyDescent="0.3">
      <c r="C228" s="32"/>
      <c r="E228" s="32"/>
      <c r="F228" s="191" t="s">
        <v>198</v>
      </c>
      <c r="G228" t="s">
        <v>271</v>
      </c>
      <c r="H228" s="267"/>
      <c r="I228" s="267"/>
      <c r="J228" s="275">
        <f t="shared" ref="J228:Y228" si="76">hundred * $H36 * J61 / $H49 * J111 / hours_in_year</f>
        <v>4.2462089579874563E-4</v>
      </c>
      <c r="K228" s="275">
        <f t="shared" si="76"/>
        <v>4.2462089579874563E-4</v>
      </c>
      <c r="L228" s="275">
        <f t="shared" si="76"/>
        <v>3.7138157343330719E-4</v>
      </c>
      <c r="M228" s="275">
        <f t="shared" si="76"/>
        <v>3.7138157343330719E-4</v>
      </c>
      <c r="N228" s="275">
        <f t="shared" si="76"/>
        <v>3.1561613897290459E-4</v>
      </c>
      <c r="O228" s="275">
        <f t="shared" si="76"/>
        <v>2.8909354005601627E-4</v>
      </c>
      <c r="P228" s="275">
        <f t="shared" si="76"/>
        <v>2.5449657293359537E-4</v>
      </c>
      <c r="Q228" s="275">
        <f t="shared" si="76"/>
        <v>3.6693895430107623E-4</v>
      </c>
      <c r="R228" s="275">
        <f t="shared" si="76"/>
        <v>-2.5932138658406187E-4</v>
      </c>
      <c r="S228" s="275">
        <f t="shared" si="76"/>
        <v>-2.5232573987621273E-4</v>
      </c>
      <c r="T228" s="275">
        <f t="shared" si="76"/>
        <v>-2.5932138658406187E-4</v>
      </c>
      <c r="U228" s="275">
        <f t="shared" si="76"/>
        <v>-2.5932138658406187E-4</v>
      </c>
      <c r="V228" s="275">
        <f t="shared" si="76"/>
        <v>-2.5232573987621273E-4</v>
      </c>
      <c r="W228" s="275">
        <f t="shared" si="76"/>
        <v>-2.5232573987621273E-4</v>
      </c>
      <c r="X228" s="275">
        <f t="shared" si="76"/>
        <v>-2.4943098951434414E-4</v>
      </c>
      <c r="Y228" s="275">
        <f t="shared" si="76"/>
        <v>-2.4943098951434414E-4</v>
      </c>
      <c r="Z228" s="267"/>
      <c r="AA228" s="267"/>
    </row>
    <row r="229" spans="2:27" x14ac:dyDescent="0.3">
      <c r="C229" s="32"/>
      <c r="E229" s="32"/>
      <c r="F229" s="191" t="s">
        <v>199</v>
      </c>
      <c r="G229" t="s">
        <v>271</v>
      </c>
      <c r="H229" s="267"/>
      <c r="I229" s="267"/>
      <c r="J229" s="275">
        <f t="shared" ref="J229:Y229" si="77">hundred * $H37 * J62 / $H50 * J112 / hours_in_year</f>
        <v>1.6062425794107164E-2</v>
      </c>
      <c r="K229" s="275">
        <f t="shared" si="77"/>
        <v>1.6062425794107164E-2</v>
      </c>
      <c r="L229" s="275">
        <f t="shared" si="77"/>
        <v>1.4048505440011554E-2</v>
      </c>
      <c r="M229" s="275">
        <f t="shared" si="77"/>
        <v>1.4048505440011554E-2</v>
      </c>
      <c r="N229" s="275">
        <f t="shared" si="77"/>
        <v>1.1939028111507906E-2</v>
      </c>
      <c r="O229" s="275">
        <f t="shared" si="77"/>
        <v>1.0935739575346699E-2</v>
      </c>
      <c r="P229" s="275">
        <f t="shared" si="77"/>
        <v>9.6270163763630158E-3</v>
      </c>
      <c r="Q229" s="275">
        <f t="shared" si="77"/>
        <v>1.3880451439728058E-2</v>
      </c>
      <c r="R229" s="275">
        <f t="shared" si="77"/>
        <v>-9.8095279107641483E-3</v>
      </c>
      <c r="S229" s="275">
        <f t="shared" si="77"/>
        <v>-9.5448987857295817E-3</v>
      </c>
      <c r="T229" s="275">
        <f t="shared" si="77"/>
        <v>-9.8095279107641483E-3</v>
      </c>
      <c r="U229" s="275">
        <f t="shared" si="77"/>
        <v>-9.8095279107641483E-3</v>
      </c>
      <c r="V229" s="275">
        <f t="shared" si="77"/>
        <v>-9.5448987857295817E-3</v>
      </c>
      <c r="W229" s="275">
        <f t="shared" si="77"/>
        <v>-9.5448987857295817E-3</v>
      </c>
      <c r="X229" s="275">
        <f t="shared" si="77"/>
        <v>0</v>
      </c>
      <c r="Y229" s="275">
        <f t="shared" si="77"/>
        <v>0</v>
      </c>
      <c r="Z229" s="267"/>
      <c r="AA229" s="267"/>
    </row>
    <row r="230" spans="2:27" x14ac:dyDescent="0.3">
      <c r="C230" s="32"/>
      <c r="E230" s="32"/>
      <c r="F230" s="191" t="s">
        <v>200</v>
      </c>
      <c r="G230" t="s">
        <v>271</v>
      </c>
      <c r="H230" s="267"/>
      <c r="I230" s="267"/>
      <c r="J230" s="275">
        <f t="shared" ref="J230:Y230" si="78">hundred * $H38 * J63 / $H51 * J113 / hours_in_year</f>
        <v>7.3526098059109243E-3</v>
      </c>
      <c r="K230" s="275">
        <f t="shared" si="78"/>
        <v>7.3526098059109243E-3</v>
      </c>
      <c r="L230" s="275">
        <f t="shared" si="78"/>
        <v>6.4307334508911587E-3</v>
      </c>
      <c r="M230" s="275">
        <f t="shared" si="78"/>
        <v>6.4307334508911587E-3</v>
      </c>
      <c r="N230" s="275">
        <f t="shared" si="78"/>
        <v>5.4651156861950613E-3</v>
      </c>
      <c r="O230" s="275">
        <f t="shared" si="78"/>
        <v>5.0058582101640599E-3</v>
      </c>
      <c r="P230" s="275">
        <f t="shared" si="78"/>
        <v>0</v>
      </c>
      <c r="Q230" s="275">
        <f t="shared" si="78"/>
        <v>6.353806372363561E-3</v>
      </c>
      <c r="R230" s="275">
        <f t="shared" si="78"/>
        <v>-4.4903324088508582E-3</v>
      </c>
      <c r="S230" s="275">
        <f t="shared" si="78"/>
        <v>0</v>
      </c>
      <c r="T230" s="275">
        <f t="shared" si="78"/>
        <v>-4.4903324088508582E-3</v>
      </c>
      <c r="U230" s="275">
        <f t="shared" si="78"/>
        <v>-4.4903324088508582E-3</v>
      </c>
      <c r="V230" s="275">
        <f t="shared" si="78"/>
        <v>0</v>
      </c>
      <c r="W230" s="275">
        <f t="shared" si="78"/>
        <v>0</v>
      </c>
      <c r="X230" s="275">
        <f t="shared" si="78"/>
        <v>0</v>
      </c>
      <c r="Y230" s="275">
        <f t="shared" si="78"/>
        <v>0</v>
      </c>
      <c r="Z230" s="267"/>
      <c r="AA230" s="267"/>
    </row>
    <row r="231" spans="2:27" x14ac:dyDescent="0.3">
      <c r="C231" s="32"/>
      <c r="E231" s="32"/>
      <c r="F231" s="192" t="s">
        <v>201</v>
      </c>
      <c r="G231" s="37" t="s">
        <v>271</v>
      </c>
      <c r="H231" s="269"/>
      <c r="I231" s="269"/>
      <c r="J231" s="276">
        <f t="shared" ref="J231:Y231" si="79">hundred * $H39 * J64 / $H52 * J114 / hours_in_year</f>
        <v>1.4655270329097494E-2</v>
      </c>
      <c r="K231" s="276">
        <f t="shared" si="79"/>
        <v>1.4655270329097494E-2</v>
      </c>
      <c r="L231" s="276">
        <f t="shared" si="79"/>
        <v>1.2817780301820859E-2</v>
      </c>
      <c r="M231" s="276">
        <f t="shared" si="79"/>
        <v>1.2817780301820859E-2</v>
      </c>
      <c r="N231" s="276">
        <f t="shared" si="79"/>
        <v>1.0893104608460449E-2</v>
      </c>
      <c r="O231" s="276">
        <f t="shared" si="79"/>
        <v>0</v>
      </c>
      <c r="P231" s="276">
        <f t="shared" si="79"/>
        <v>0</v>
      </c>
      <c r="Q231" s="276">
        <f t="shared" si="79"/>
        <v>1.2664448741842887E-2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233</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631</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234</v>
      </c>
      <c r="G237" s="6" t="s">
        <v>57</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632</v>
      </c>
      <c r="G239" s="6" t="s">
        <v>57</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633</v>
      </c>
      <c r="G241" s="6" t="s">
        <v>57</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108</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634</v>
      </c>
      <c r="D9"/>
      <c r="F9" s="29"/>
    </row>
    <row r="10" spans="1:27" x14ac:dyDescent="0.3">
      <c r="C10" s="29" t="s">
        <v>635</v>
      </c>
      <c r="D10"/>
      <c r="E10"/>
      <c r="F10" s="29"/>
    </row>
    <row r="11" spans="1:27" x14ac:dyDescent="0.3">
      <c r="C11" s="29" t="s">
        <v>636</v>
      </c>
    </row>
    <row r="13" spans="1:27" x14ac:dyDescent="0.3">
      <c r="B13" s="30" t="s">
        <v>637</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638</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570</v>
      </c>
      <c r="F19" s="28"/>
      <c r="G19" s="28" t="s">
        <v>169</v>
      </c>
      <c r="H19" s="179">
        <f>'Unit costs'!$H$121</f>
        <v>4.5099271365789909E-2</v>
      </c>
      <c r="I19" s="3"/>
      <c r="J19" s="3"/>
      <c r="K19" s="3"/>
      <c r="L19" s="3"/>
      <c r="M19" s="3"/>
      <c r="N19" s="3"/>
      <c r="P19" s="3"/>
    </row>
    <row r="20" spans="2:27" x14ac:dyDescent="0.3">
      <c r="C20" s="88"/>
      <c r="E20" t="s">
        <v>600</v>
      </c>
      <c r="G20" t="s">
        <v>359</v>
      </c>
      <c r="H20" s="120">
        <f>'Unit costs'!$H$122</f>
        <v>164045041.03068772</v>
      </c>
    </row>
    <row r="21" spans="2:27" x14ac:dyDescent="0.3">
      <c r="C21" s="88"/>
      <c r="E21" t="s">
        <v>639</v>
      </c>
      <c r="G21" t="s">
        <v>359</v>
      </c>
      <c r="H21" s="120">
        <f>'Unit costs'!$H$123</f>
        <v>5674360839.6943445</v>
      </c>
    </row>
    <row r="22" spans="2:27" x14ac:dyDescent="0.3">
      <c r="D22" s="88"/>
      <c r="E22"/>
    </row>
    <row r="23" spans="2:27" x14ac:dyDescent="0.3">
      <c r="D23"/>
      <c r="E23" s="32" t="s">
        <v>640</v>
      </c>
      <c r="H23" s="63"/>
      <c r="J23" s="63"/>
      <c r="K23" s="63"/>
      <c r="L23" s="63"/>
      <c r="M23" s="63"/>
      <c r="N23" s="63"/>
    </row>
    <row r="24" spans="2:27" x14ac:dyDescent="0.3">
      <c r="D24"/>
      <c r="E24" s="29" t="s">
        <v>641</v>
      </c>
      <c r="H24" s="63"/>
    </row>
    <row r="25" spans="2:27" x14ac:dyDescent="0.3">
      <c r="E25" s="88"/>
      <c r="F25" s="23" t="s">
        <v>378</v>
      </c>
      <c r="G25" s="23" t="s">
        <v>263</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379</v>
      </c>
      <c r="G26" t="s">
        <v>263</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555</v>
      </c>
      <c r="G27" s="37" t="s">
        <v>266</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642</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643</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644</v>
      </c>
      <c r="G35" t="s">
        <v>279</v>
      </c>
      <c r="H35" s="98">
        <f>IF(H21 &lt;&gt; 0, H20  /H21, 0)</f>
        <v>2.8909871202255827E-2</v>
      </c>
      <c r="I35" t="s">
        <v>156</v>
      </c>
      <c r="J35" s="63"/>
      <c r="K35" s="63"/>
      <c r="L35" s="63"/>
      <c r="M35" s="63"/>
      <c r="N35" s="63"/>
      <c r="O35" s="63"/>
      <c r="P35" s="63"/>
      <c r="Q35" s="63"/>
      <c r="R35" s="63"/>
      <c r="S35" s="63"/>
      <c r="T35" s="63"/>
      <c r="U35" s="63"/>
      <c r="V35" s="63"/>
      <c r="W35" s="63"/>
      <c r="X35" s="63"/>
      <c r="Y35" s="63"/>
      <c r="AA35" t="s">
        <v>645</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646</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647</v>
      </c>
      <c r="H41" s="63"/>
      <c r="I41" t="s">
        <v>156</v>
      </c>
      <c r="J41" s="63"/>
      <c r="K41" s="63"/>
      <c r="L41" s="63"/>
      <c r="M41" s="63"/>
      <c r="N41" s="63"/>
      <c r="O41" s="63"/>
      <c r="P41" s="63"/>
      <c r="Q41" s="63"/>
      <c r="R41" s="63"/>
      <c r="S41" s="63"/>
      <c r="T41" s="63"/>
      <c r="U41" s="63"/>
      <c r="V41" s="63"/>
      <c r="W41" s="63"/>
      <c r="X41" s="63"/>
      <c r="Y41" s="63"/>
      <c r="AA41" t="s">
        <v>648</v>
      </c>
    </row>
    <row r="42" spans="2:27" x14ac:dyDescent="0.3">
      <c r="D42"/>
      <c r="E42" s="88"/>
      <c r="F42" s="23" t="s">
        <v>378</v>
      </c>
      <c r="G42" s="23" t="s">
        <v>272</v>
      </c>
      <c r="H42" s="174"/>
      <c r="I42" s="23"/>
      <c r="J42" s="101">
        <f t="shared" ref="J42:K42" si="0">J25 * $H$35 / days_in_year * hundred</f>
        <v>1.9490122798777203</v>
      </c>
      <c r="K42" s="101">
        <f t="shared" si="0"/>
        <v>0</v>
      </c>
      <c r="L42" s="101">
        <f t="shared" ref="L42:M42" si="1">L25 * $H$35 / days_in_year * hundred</f>
        <v>5.7147696146236378</v>
      </c>
      <c r="M42" s="101">
        <f t="shared" si="1"/>
        <v>0</v>
      </c>
      <c r="N42" s="101">
        <f t="shared" ref="N42:P42" si="2">N25 * $H$35 / days_in_year * hundred</f>
        <v>11.401752134048197</v>
      </c>
      <c r="O42" s="101">
        <f t="shared" si="2"/>
        <v>8.9002928158170995</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379</v>
      </c>
      <c r="G43" t="s">
        <v>272</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82.166040497508959</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51.423015267650172</v>
      </c>
      <c r="Y43" s="121">
        <f t="shared" si="13"/>
        <v>51.423015267650172</v>
      </c>
    </row>
    <row r="44" spans="2:27" x14ac:dyDescent="0.3">
      <c r="D44"/>
      <c r="E44" s="88"/>
      <c r="F44" s="37" t="s">
        <v>555</v>
      </c>
      <c r="G44" s="37" t="s">
        <v>271</v>
      </c>
      <c r="H44" s="269"/>
      <c r="I44" s="269"/>
      <c r="J44" s="270"/>
      <c r="K44" s="270"/>
      <c r="L44" s="270"/>
      <c r="M44" s="270"/>
      <c r="N44" s="270"/>
      <c r="O44" s="270"/>
      <c r="P44" s="270"/>
      <c r="Q44" s="277">
        <f t="shared" ref="Q44" si="14">Q27*$H$35/ten</f>
        <v>0.80418066162481627</v>
      </c>
      <c r="R44" s="270"/>
      <c r="S44" s="270"/>
      <c r="T44" s="270"/>
      <c r="U44" s="270"/>
      <c r="V44" s="270"/>
      <c r="W44" s="270"/>
      <c r="X44" s="270"/>
      <c r="Y44" s="270"/>
      <c r="Z44" s="267"/>
      <c r="AA44" s="267"/>
    </row>
    <row r="45" spans="2:27" x14ac:dyDescent="0.3">
      <c r="D45" s="88"/>
      <c r="E45"/>
    </row>
    <row r="46" spans="2:27" x14ac:dyDescent="0.3">
      <c r="B46" s="30" t="s">
        <v>233</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234</v>
      </c>
      <c r="G48" s="6" t="s">
        <v>57</v>
      </c>
      <c r="H48" s="103">
        <f t="array" ref="H48">SUM(IF(ISERROR(H19:Y45), 1))</f>
        <v>0</v>
      </c>
    </row>
    <row r="50" spans="2:27" x14ac:dyDescent="0.3">
      <c r="B50" s="30" t="s">
        <v>108</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[enter DNO name] - [enter data version name]</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34</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35</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36</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826</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37</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38</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39</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40</v>
      </c>
      <c r="G19" s="48" t="s">
        <v>41</v>
      </c>
      <c r="H19" s="47" t="s">
        <v>823</v>
      </c>
      <c r="I19" s="48" t="s">
        <v>42</v>
      </c>
      <c r="J19" s="48" t="s">
        <v>43</v>
      </c>
      <c r="K19" s="48" t="s">
        <v>44</v>
      </c>
      <c r="L19" s="48" t="s">
        <v>45</v>
      </c>
    </row>
    <row r="20" spans="1:12" ht="28.8" x14ac:dyDescent="0.3">
      <c r="A20" s="40"/>
      <c r="B20" s="40"/>
      <c r="C20" s="40"/>
      <c r="D20" s="40"/>
      <c r="E20" s="40"/>
      <c r="F20" s="245">
        <v>43250</v>
      </c>
      <c r="G20" s="241" t="s">
        <v>46</v>
      </c>
      <c r="H20" s="241">
        <v>1</v>
      </c>
      <c r="I20" s="241" t="s">
        <v>47</v>
      </c>
      <c r="J20" s="241" t="s">
        <v>48</v>
      </c>
      <c r="K20" s="241" t="s">
        <v>49</v>
      </c>
      <c r="L20" s="241" t="s">
        <v>50</v>
      </c>
    </row>
    <row r="21" spans="1:12" x14ac:dyDescent="0.3">
      <c r="A21" s="40"/>
      <c r="B21" s="40"/>
      <c r="C21" s="40"/>
      <c r="D21" s="40"/>
      <c r="E21" s="40"/>
      <c r="F21" s="245">
        <v>43301</v>
      </c>
      <c r="G21" s="241" t="s">
        <v>46</v>
      </c>
      <c r="H21" s="241">
        <v>2</v>
      </c>
      <c r="I21" s="241" t="s">
        <v>51</v>
      </c>
      <c r="J21" s="241" t="s">
        <v>48</v>
      </c>
      <c r="K21" s="241" t="s">
        <v>49</v>
      </c>
      <c r="L21" s="241" t="s">
        <v>52</v>
      </c>
    </row>
    <row r="22" spans="1:12" ht="43.2" x14ac:dyDescent="0.3">
      <c r="A22" s="40"/>
      <c r="B22" s="40"/>
      <c r="C22" s="40"/>
      <c r="D22" s="40"/>
      <c r="E22" s="40"/>
      <c r="F22" s="245">
        <v>43389</v>
      </c>
      <c r="G22" s="241" t="s">
        <v>824</v>
      </c>
      <c r="H22" s="241">
        <v>3</v>
      </c>
      <c r="I22" s="296" t="s">
        <v>825</v>
      </c>
      <c r="J22" s="296" t="s">
        <v>48</v>
      </c>
      <c r="K22" s="296" t="s">
        <v>49</v>
      </c>
      <c r="L22" s="296" t="s">
        <v>827</v>
      </c>
    </row>
    <row r="23" spans="1:12" ht="43.2" x14ac:dyDescent="0.3">
      <c r="A23" s="40"/>
      <c r="B23" s="40"/>
      <c r="C23" s="40"/>
      <c r="D23" s="40"/>
      <c r="E23" s="40"/>
      <c r="F23" s="245">
        <v>43663</v>
      </c>
      <c r="G23" s="241" t="s">
        <v>46</v>
      </c>
      <c r="H23" s="241">
        <v>4</v>
      </c>
      <c r="I23" s="241" t="s">
        <v>859</v>
      </c>
      <c r="J23" s="296" t="s">
        <v>48</v>
      </c>
      <c r="K23" s="296" t="s">
        <v>49</v>
      </c>
      <c r="L23" s="241" t="s">
        <v>860</v>
      </c>
    </row>
    <row r="24" spans="1:12" ht="57.6" x14ac:dyDescent="0.3">
      <c r="A24" s="40"/>
      <c r="B24" s="40"/>
      <c r="C24" s="40"/>
      <c r="D24" s="40"/>
      <c r="E24" s="40"/>
      <c r="F24" s="245">
        <v>43777</v>
      </c>
      <c r="G24" s="241" t="s">
        <v>824</v>
      </c>
      <c r="H24" s="241">
        <v>5</v>
      </c>
      <c r="I24" s="241" t="s">
        <v>906</v>
      </c>
      <c r="J24" s="241" t="s">
        <v>48</v>
      </c>
      <c r="K24" s="241" t="s">
        <v>49</v>
      </c>
      <c r="L24" s="296" t="s">
        <v>898</v>
      </c>
    </row>
    <row r="25" spans="1:12" ht="72" x14ac:dyDescent="0.3">
      <c r="A25" s="40"/>
      <c r="B25" s="40"/>
      <c r="C25" s="40"/>
      <c r="D25" s="40"/>
      <c r="E25" s="40"/>
      <c r="F25" s="245">
        <v>43860</v>
      </c>
      <c r="G25" s="241" t="s">
        <v>824</v>
      </c>
      <c r="H25" s="241">
        <v>6</v>
      </c>
      <c r="I25" s="241" t="s">
        <v>909</v>
      </c>
      <c r="J25" s="241" t="s">
        <v>48</v>
      </c>
      <c r="K25" s="241" t="s">
        <v>49</v>
      </c>
      <c r="L25" s="296" t="s">
        <v>910</v>
      </c>
    </row>
    <row r="26" spans="1:12" ht="28.8" x14ac:dyDescent="0.3">
      <c r="A26" s="40"/>
      <c r="B26" s="40"/>
      <c r="C26" s="40"/>
      <c r="D26" s="40"/>
      <c r="E26" s="40"/>
      <c r="F26" s="245">
        <v>43977</v>
      </c>
      <c r="G26" s="241" t="s">
        <v>46</v>
      </c>
      <c r="H26" s="241">
        <v>6</v>
      </c>
      <c r="I26" s="241" t="s">
        <v>1131</v>
      </c>
      <c r="J26" s="241" t="s">
        <v>48</v>
      </c>
      <c r="K26" s="241" t="s">
        <v>49</v>
      </c>
      <c r="L26" s="241" t="s">
        <v>1132</v>
      </c>
    </row>
    <row r="27" spans="1:12" ht="57.6" x14ac:dyDescent="0.3">
      <c r="A27" s="40"/>
      <c r="B27" s="40"/>
      <c r="C27" s="40"/>
      <c r="D27" s="40"/>
      <c r="E27" s="40"/>
      <c r="F27" s="245">
        <v>44141</v>
      </c>
      <c r="G27" s="241" t="s">
        <v>824</v>
      </c>
      <c r="H27" s="241">
        <v>7</v>
      </c>
      <c r="I27" s="241" t="s">
        <v>1145</v>
      </c>
      <c r="J27" s="241" t="s">
        <v>48</v>
      </c>
      <c r="K27" s="241" t="s">
        <v>49</v>
      </c>
      <c r="L27" s="241" t="s">
        <v>1146</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53</v>
      </c>
      <c r="C31" s="41"/>
      <c r="D31" s="41"/>
      <c r="E31" s="41"/>
      <c r="F31" s="41"/>
      <c r="G31" s="42"/>
      <c r="H31" s="42"/>
      <c r="I31" s="42"/>
      <c r="J31" s="42"/>
      <c r="K31" s="42"/>
      <c r="L31" s="41"/>
    </row>
    <row r="33" spans="5:10" x14ac:dyDescent="0.3">
      <c r="E33" s="32" t="s">
        <v>54</v>
      </c>
      <c r="F33" s="49"/>
      <c r="G33" s="50"/>
      <c r="H33" s="50"/>
      <c r="I33" s="50"/>
      <c r="J33" s="50"/>
    </row>
    <row r="34" spans="5:10" x14ac:dyDescent="0.3">
      <c r="F34" s="6" t="s">
        <v>55</v>
      </c>
      <c r="H34" s="243" t="s">
        <v>56</v>
      </c>
      <c r="I34" s="6" t="s">
        <v>57</v>
      </c>
      <c r="J34" s="51">
        <f>'Fixed inputs'!H196</f>
        <v>0</v>
      </c>
    </row>
    <row r="35" spans="5:10" x14ac:dyDescent="0.3">
      <c r="F35" s="6" t="s">
        <v>58</v>
      </c>
      <c r="H35" s="243" t="s">
        <v>59</v>
      </c>
      <c r="I35" s="6" t="s">
        <v>57</v>
      </c>
      <c r="J35" s="51">
        <f>'Inputs by customer type'!H236</f>
        <v>0</v>
      </c>
    </row>
    <row r="36" spans="5:10" x14ac:dyDescent="0.3">
      <c r="F36" s="6" t="s">
        <v>60</v>
      </c>
      <c r="H36" s="243" t="s">
        <v>61</v>
      </c>
      <c r="I36" s="6" t="s">
        <v>57</v>
      </c>
      <c r="J36" s="52">
        <f>'Inputs by network level'!H56</f>
        <v>0</v>
      </c>
    </row>
    <row r="37" spans="5:10" x14ac:dyDescent="0.3">
      <c r="F37" s="6" t="s">
        <v>62</v>
      </c>
      <c r="H37" s="243" t="s">
        <v>63</v>
      </c>
      <c r="I37" s="6" t="s">
        <v>57</v>
      </c>
      <c r="J37" s="51">
        <f>'General inputs'!H114</f>
        <v>0</v>
      </c>
    </row>
    <row r="38" spans="5:10" x14ac:dyDescent="0.3">
      <c r="F38" s="6" t="s">
        <v>64</v>
      </c>
      <c r="H38" s="243" t="s">
        <v>65</v>
      </c>
      <c r="I38" s="6" t="s">
        <v>57</v>
      </c>
      <c r="J38" s="52">
        <f>'Standing charge factors'!H58</f>
        <v>0</v>
      </c>
    </row>
    <row r="39" spans="5:10" x14ac:dyDescent="0.3">
      <c r="F39" s="6" t="s">
        <v>66</v>
      </c>
      <c r="H39" s="243" t="s">
        <v>67</v>
      </c>
      <c r="I39" s="6" t="s">
        <v>57</v>
      </c>
      <c r="J39" s="52">
        <f>'Load &amp; loss characteristics'!H183</f>
        <v>0</v>
      </c>
    </row>
    <row r="40" spans="5:10" x14ac:dyDescent="0.3">
      <c r="F40" s="6" t="s">
        <v>68</v>
      </c>
      <c r="H40" s="243" t="s">
        <v>69</v>
      </c>
      <c r="I40" s="6" t="s">
        <v>57</v>
      </c>
      <c r="J40" s="52">
        <f>'Customer contributions'!H70</f>
        <v>0</v>
      </c>
    </row>
    <row r="41" spans="5:10" x14ac:dyDescent="0.3">
      <c r="F41" s="6" t="s">
        <v>70</v>
      </c>
      <c r="H41" s="243" t="s">
        <v>71</v>
      </c>
      <c r="I41" s="6" t="s">
        <v>57</v>
      </c>
      <c r="J41" s="52">
        <f>'Volume adjustments'!H693</f>
        <v>0</v>
      </c>
    </row>
    <row r="42" spans="5:10" x14ac:dyDescent="0.3">
      <c r="F42" s="6" t="s">
        <v>72</v>
      </c>
      <c r="H42" s="243" t="s">
        <v>73</v>
      </c>
      <c r="I42" s="6" t="s">
        <v>57</v>
      </c>
      <c r="J42" s="52">
        <f>'Pseudo-load coefficients'!H306</f>
        <v>0</v>
      </c>
    </row>
    <row r="43" spans="5:10" x14ac:dyDescent="0.3">
      <c r="F43" s="6" t="s">
        <v>74</v>
      </c>
      <c r="H43" s="243" t="s">
        <v>75</v>
      </c>
      <c r="I43" s="6" t="s">
        <v>57</v>
      </c>
      <c r="J43" s="52">
        <f>'System peak demand'!H281</f>
        <v>0</v>
      </c>
    </row>
    <row r="44" spans="5:10" x14ac:dyDescent="0.3">
      <c r="F44" s="6" t="s">
        <v>76</v>
      </c>
      <c r="H44" s="243" t="s">
        <v>77</v>
      </c>
      <c r="I44" s="6" t="s">
        <v>57</v>
      </c>
      <c r="J44" s="52">
        <f>'Service model assets'!H38</f>
        <v>0</v>
      </c>
    </row>
    <row r="45" spans="5:10" x14ac:dyDescent="0.3">
      <c r="F45" s="6" t="s">
        <v>78</v>
      </c>
      <c r="H45" s="243" t="s">
        <v>79</v>
      </c>
      <c r="I45" s="6" t="s">
        <v>57</v>
      </c>
      <c r="J45" s="52">
        <f>'Unit costs'!H131</f>
        <v>0</v>
      </c>
    </row>
    <row r="46" spans="5:10" x14ac:dyDescent="0.3">
      <c r="F46" s="6" t="s">
        <v>80</v>
      </c>
      <c r="H46" s="243" t="s">
        <v>81</v>
      </c>
      <c r="I46" s="6" t="s">
        <v>57</v>
      </c>
      <c r="J46" s="52">
        <f>'Initial unit rates'!H241</f>
        <v>0</v>
      </c>
    </row>
    <row r="47" spans="5:10" x14ac:dyDescent="0.3">
      <c r="F47" s="6" t="s">
        <v>82</v>
      </c>
      <c r="H47" s="243" t="s">
        <v>83</v>
      </c>
      <c r="I47" s="6" t="s">
        <v>57</v>
      </c>
      <c r="J47" s="52">
        <f>'Service model charges'!H48</f>
        <v>0</v>
      </c>
    </row>
    <row r="48" spans="5:10" x14ac:dyDescent="0.3">
      <c r="F48" s="6" t="s">
        <v>84</v>
      </c>
      <c r="H48" s="243" t="s">
        <v>85</v>
      </c>
      <c r="I48" s="6" t="s">
        <v>57</v>
      </c>
      <c r="J48" s="52">
        <f>'Unit rate charges'!H223</f>
        <v>0</v>
      </c>
    </row>
    <row r="49" spans="2:12" x14ac:dyDescent="0.3">
      <c r="F49" s="6" t="s">
        <v>88</v>
      </c>
      <c r="H49" s="243" t="s">
        <v>87</v>
      </c>
      <c r="I49" s="6" t="s">
        <v>57</v>
      </c>
      <c r="J49" s="52">
        <f>'Capacity charges'!H295</f>
        <v>0</v>
      </c>
    </row>
    <row r="50" spans="2:12" x14ac:dyDescent="0.3">
      <c r="F50" s="6" t="s">
        <v>86</v>
      </c>
      <c r="H50" s="243" t="s">
        <v>89</v>
      </c>
      <c r="I50" s="6" t="s">
        <v>57</v>
      </c>
      <c r="J50" s="52">
        <f>'Reactive power charges'!H254</f>
        <v>0</v>
      </c>
    </row>
    <row r="51" spans="2:12" x14ac:dyDescent="0.3">
      <c r="F51" s="6" t="s">
        <v>90</v>
      </c>
      <c r="H51" s="243" t="s">
        <v>91</v>
      </c>
      <c r="I51" s="6" t="s">
        <v>57</v>
      </c>
      <c r="J51" s="52">
        <f>'Fixed charges'!H165</f>
        <v>0</v>
      </c>
    </row>
    <row r="52" spans="2:12" x14ac:dyDescent="0.3">
      <c r="F52" s="6" t="s">
        <v>1159</v>
      </c>
      <c r="H52" s="243" t="s">
        <v>93</v>
      </c>
      <c r="I52" s="6" t="s">
        <v>57</v>
      </c>
      <c r="J52" s="52">
        <f>'SoLR &amp; bad debt adders'!H66</f>
        <v>0</v>
      </c>
    </row>
    <row r="53" spans="2:12" x14ac:dyDescent="0.3">
      <c r="F53" s="6" t="s">
        <v>92</v>
      </c>
      <c r="H53" s="243" t="s">
        <v>95</v>
      </c>
      <c r="I53" s="6" t="s">
        <v>57</v>
      </c>
      <c r="J53" s="52">
        <f>'Revenue matching'!H432</f>
        <v>0</v>
      </c>
    </row>
    <row r="54" spans="2:12" x14ac:dyDescent="0.3">
      <c r="F54" s="6" t="s">
        <v>94</v>
      </c>
      <c r="H54" s="243" t="s">
        <v>97</v>
      </c>
      <c r="I54" s="6" t="s">
        <v>57</v>
      </c>
      <c r="J54" s="52">
        <f>Rounding!H178</f>
        <v>0</v>
      </c>
    </row>
    <row r="55" spans="2:12" x14ac:dyDescent="0.3">
      <c r="F55" s="6" t="s">
        <v>96</v>
      </c>
      <c r="H55" s="243" t="s">
        <v>888</v>
      </c>
      <c r="I55" s="6" t="s">
        <v>57</v>
      </c>
      <c r="J55" s="51">
        <f>'Net revenue summary'!$H$211</f>
        <v>0</v>
      </c>
    </row>
    <row r="56" spans="2:12" x14ac:dyDescent="0.3">
      <c r="F56" s="6" t="s">
        <v>98</v>
      </c>
      <c r="H56" s="243" t="s">
        <v>99</v>
      </c>
      <c r="I56" s="6" t="s">
        <v>57</v>
      </c>
      <c r="J56" s="52">
        <f>'Tariff summary'!$H$119</f>
        <v>0</v>
      </c>
    </row>
    <row r="57" spans="2:12" x14ac:dyDescent="0.3">
      <c r="F57" s="6" t="s">
        <v>100</v>
      </c>
      <c r="H57" s="243" t="s">
        <v>101</v>
      </c>
      <c r="I57" s="6" t="s">
        <v>57</v>
      </c>
      <c r="J57" s="51">
        <f>'Output to other models'!H78</f>
        <v>0</v>
      </c>
    </row>
    <row r="58" spans="2:12" x14ac:dyDescent="0.3">
      <c r="F58" s="53" t="s">
        <v>102</v>
      </c>
      <c r="G58" s="53"/>
      <c r="H58" s="53"/>
      <c r="I58" s="53" t="s">
        <v>57</v>
      </c>
      <c r="J58" s="436">
        <f>IFERROR(SUM(J34:J57), 1)</f>
        <v>0</v>
      </c>
    </row>
    <row r="60" spans="2:12" x14ac:dyDescent="0.3">
      <c r="B60" s="41" t="s">
        <v>103</v>
      </c>
      <c r="C60" s="41"/>
      <c r="D60" s="41"/>
      <c r="E60" s="41"/>
      <c r="F60" s="41"/>
      <c r="G60" s="42"/>
      <c r="H60" s="42"/>
      <c r="I60" s="42"/>
      <c r="J60" s="42"/>
      <c r="K60" s="42"/>
      <c r="L60" s="41"/>
    </row>
    <row r="62" spans="2:12" x14ac:dyDescent="0.3">
      <c r="F62" s="48" t="s">
        <v>104</v>
      </c>
    </row>
    <row r="63" spans="2:12" x14ac:dyDescent="0.3">
      <c r="F63" s="243" t="s">
        <v>105</v>
      </c>
    </row>
    <row r="64" spans="2:12" x14ac:dyDescent="0.3">
      <c r="F64" s="243" t="s">
        <v>106</v>
      </c>
    </row>
    <row r="65" spans="2:12" x14ac:dyDescent="0.3">
      <c r="F65" s="243" t="s">
        <v>46</v>
      </c>
    </row>
    <row r="66" spans="2:12" ht="28.8" x14ac:dyDescent="0.3">
      <c r="F66" s="297" t="s">
        <v>824</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107</v>
      </c>
    </row>
    <row r="75" spans="2:12" x14ac:dyDescent="0.3">
      <c r="B75" s="41" t="s">
        <v>108</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649</v>
      </c>
      <c r="D9"/>
    </row>
    <row r="10" spans="1:27" x14ac:dyDescent="0.3">
      <c r="C10" s="29" t="s">
        <v>650</v>
      </c>
      <c r="D10"/>
      <c r="E10"/>
    </row>
    <row r="11" spans="1:27" x14ac:dyDescent="0.3">
      <c r="C11" s="29" t="s">
        <v>651</v>
      </c>
      <c r="D11"/>
      <c r="E11"/>
    </row>
    <row r="12" spans="1:27" x14ac:dyDescent="0.3">
      <c r="C12" s="29" t="s">
        <v>652</v>
      </c>
    </row>
    <row r="13" spans="1:27" x14ac:dyDescent="0.3">
      <c r="C13" s="29" t="s">
        <v>653</v>
      </c>
      <c r="D13"/>
    </row>
    <row r="15" spans="1:27" x14ac:dyDescent="0.3">
      <c r="B15" s="30" t="s">
        <v>654</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655</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623</v>
      </c>
    </row>
    <row r="22" spans="3:27" x14ac:dyDescent="0.3">
      <c r="D22"/>
      <c r="F22" s="23" t="s">
        <v>191</v>
      </c>
      <c r="G22" s="23" t="s">
        <v>271</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193</v>
      </c>
      <c r="G23" t="s">
        <v>271</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194</v>
      </c>
      <c r="G24" t="s">
        <v>271</v>
      </c>
      <c r="H24" s="267"/>
      <c r="I24" s="267"/>
      <c r="J24" s="279">
        <f>'Initial unit rates'!J154</f>
        <v>0.77510148798839484</v>
      </c>
      <c r="K24" s="279">
        <f>'Initial unit rates'!K154</f>
        <v>0.77510148798839484</v>
      </c>
      <c r="L24" s="279">
        <f>'Initial unit rates'!L154</f>
        <v>0.67791861641227813</v>
      </c>
      <c r="M24" s="279">
        <f>'Initial unit rates'!M154</f>
        <v>0.67791861641227813</v>
      </c>
      <c r="N24" s="279">
        <f>'Initial unit rates'!N154</f>
        <v>0.57612458871312344</v>
      </c>
      <c r="O24" s="279">
        <f>'Initial unit rates'!O154</f>
        <v>0.5277103300433309</v>
      </c>
      <c r="P24" s="279">
        <f>'Initial unit rates'!P154</f>
        <v>0.46455714808314802</v>
      </c>
      <c r="Q24" s="279">
        <f>'Initial unit rates'!Q154</f>
        <v>1.8473262225177138</v>
      </c>
      <c r="R24" s="279">
        <f>'Initial unit rates'!R154</f>
        <v>-0.47336434593126281</v>
      </c>
      <c r="S24" s="279">
        <f>'Initial unit rates'!S154</f>
        <v>-0.4605945170642799</v>
      </c>
      <c r="T24" s="279">
        <f>'Initial unit rates'!T154</f>
        <v>-0.47336434593126281</v>
      </c>
      <c r="U24" s="279">
        <f>'Initial unit rates'!U154</f>
        <v>-0.47336434593126281</v>
      </c>
      <c r="V24" s="279">
        <f>'Initial unit rates'!V154</f>
        <v>-0.4605945170642799</v>
      </c>
      <c r="W24" s="279">
        <f>'Initial unit rates'!W154</f>
        <v>-0.4605945170642799</v>
      </c>
      <c r="X24" s="279">
        <f>'Initial unit rates'!X154</f>
        <v>-0.45531044994690761</v>
      </c>
      <c r="Y24" s="279">
        <f>'Initial unit rates'!Y154</f>
        <v>-0.45531044994690761</v>
      </c>
      <c r="Z24" s="267"/>
      <c r="AA24" s="267"/>
    </row>
    <row r="25" spans="3:27" x14ac:dyDescent="0.3">
      <c r="D25"/>
      <c r="F25" t="s">
        <v>195</v>
      </c>
      <c r="G25" t="s">
        <v>271</v>
      </c>
      <c r="H25" s="267"/>
      <c r="I25" s="267"/>
      <c r="J25" s="279">
        <f>'Initial unit rates'!J155</f>
        <v>0.40498329502627117</v>
      </c>
      <c r="K25" s="279">
        <f>'Initial unit rates'!K155</f>
        <v>0.40498329502627117</v>
      </c>
      <c r="L25" s="279">
        <f>'Initial unit rates'!L155</f>
        <v>0.35420615143807566</v>
      </c>
      <c r="M25" s="279">
        <f>'Initial unit rates'!M155</f>
        <v>0.35420615143807566</v>
      </c>
      <c r="N25" s="279">
        <f>'Initial unit rates'!N155</f>
        <v>0.30101972180214592</v>
      </c>
      <c r="O25" s="279">
        <f>'Initial unit rates'!O155</f>
        <v>0.275723723399108</v>
      </c>
      <c r="P25" s="279">
        <f>'Initial unit rates'!P155</f>
        <v>0.24272677510527194</v>
      </c>
      <c r="Q25" s="279">
        <f>'Initial unit rates'!Q155</f>
        <v>0.96521071392248403</v>
      </c>
      <c r="R25" s="279">
        <f>'Initial unit rates'!R155</f>
        <v>-0.24732845380122503</v>
      </c>
      <c r="S25" s="279">
        <f>'Initial unit rates'!S155</f>
        <v>-0.24065633737309897</v>
      </c>
      <c r="T25" s="279">
        <f>'Initial unit rates'!T155</f>
        <v>-0.24732845380122503</v>
      </c>
      <c r="U25" s="279">
        <f>'Initial unit rates'!U155</f>
        <v>-0.24732845380122503</v>
      </c>
      <c r="V25" s="279">
        <f>'Initial unit rates'!V155</f>
        <v>-0.24065633737309897</v>
      </c>
      <c r="W25" s="279">
        <f>'Initial unit rates'!W155</f>
        <v>-0.24065633737309897</v>
      </c>
      <c r="X25" s="279">
        <f>'Initial unit rates'!X155</f>
        <v>-0.23789546160973649</v>
      </c>
      <c r="Y25" s="279">
        <f>'Initial unit rates'!Y155</f>
        <v>-0.23789546160973649</v>
      </c>
      <c r="Z25" s="267"/>
      <c r="AA25" s="267"/>
    </row>
    <row r="26" spans="3:27" x14ac:dyDescent="0.3">
      <c r="D26"/>
      <c r="F26" t="s">
        <v>196</v>
      </c>
      <c r="G26" t="s">
        <v>271</v>
      </c>
      <c r="H26" s="267"/>
      <c r="I26" s="267"/>
      <c r="J26" s="279">
        <f>'Initial unit rates'!J156</f>
        <v>0.4159798006954355</v>
      </c>
      <c r="K26" s="279">
        <f>'Initial unit rates'!K156</f>
        <v>0.4159798006954355</v>
      </c>
      <c r="L26" s="279">
        <f>'Initial unit rates'!L156</f>
        <v>0.36382390604716153</v>
      </c>
      <c r="M26" s="279">
        <f>'Initial unit rates'!M156</f>
        <v>0.36382390604716153</v>
      </c>
      <c r="N26" s="279">
        <f>'Initial unit rates'!N156</f>
        <v>0.309193306041251</v>
      </c>
      <c r="O26" s="279">
        <f>'Initial unit rates'!O156</f>
        <v>0.28321044575214904</v>
      </c>
      <c r="P26" s="279">
        <f>'Initial unit rates'!P156</f>
        <v>0.2330071665025123</v>
      </c>
      <c r="Q26" s="279">
        <f>'Initial unit rates'!Q156</f>
        <v>1.0175824838185223</v>
      </c>
      <c r="R26" s="279">
        <f>'Initial unit rates'!R156</f>
        <v>-0.2540441598013809</v>
      </c>
      <c r="S26" s="279">
        <f>'Initial unit rates'!S156</f>
        <v>-0.24719087549045987</v>
      </c>
      <c r="T26" s="279">
        <f>'Initial unit rates'!T156</f>
        <v>-0.2540441598013809</v>
      </c>
      <c r="U26" s="279">
        <f>'Initial unit rates'!U156</f>
        <v>-0.2540441598013809</v>
      </c>
      <c r="V26" s="279">
        <f>'Initial unit rates'!V156</f>
        <v>-0.24719087549045987</v>
      </c>
      <c r="W26" s="279">
        <f>'Initial unit rates'!W156</f>
        <v>-0.24719087549045987</v>
      </c>
      <c r="X26" s="279">
        <f>'Initial unit rates'!X156</f>
        <v>-0.22836931529062268</v>
      </c>
      <c r="Y26" s="279">
        <f>'Initial unit rates'!Y156</f>
        <v>-0.22836931529062268</v>
      </c>
      <c r="Z26" s="267"/>
      <c r="AA26" s="267"/>
    </row>
    <row r="27" spans="3:27" x14ac:dyDescent="0.3">
      <c r="D27"/>
      <c r="F27" t="s">
        <v>197</v>
      </c>
      <c r="G27" t="s">
        <v>271</v>
      </c>
      <c r="H27" s="267"/>
      <c r="I27" s="267"/>
      <c r="J27" s="279">
        <f>'Initial unit rates'!J157</f>
        <v>0.66919268869772486</v>
      </c>
      <c r="K27" s="279">
        <f>'Initial unit rates'!K157</f>
        <v>0.66919268869772486</v>
      </c>
      <c r="L27" s="279">
        <f>'Initial unit rates'!L157</f>
        <v>0.5852887507835185</v>
      </c>
      <c r="M27" s="279">
        <f>'Initial unit rates'!M157</f>
        <v>0.5852887507835185</v>
      </c>
      <c r="N27" s="279">
        <f>'Initial unit rates'!N157</f>
        <v>0.49740371876512046</v>
      </c>
      <c r="O27" s="279">
        <f>'Initial unit rates'!O157</f>
        <v>0.45560471768897925</v>
      </c>
      <c r="P27" s="279">
        <f>'Initial unit rates'!P157</f>
        <v>0.26004884438624504</v>
      </c>
      <c r="Q27" s="279">
        <f>'Initial unit rates'!Q157</f>
        <v>1.6369995782963462</v>
      </c>
      <c r="R27" s="279">
        <f>'Initial unit rates'!R157</f>
        <v>-0.40868449396155015</v>
      </c>
      <c r="S27" s="279">
        <f>'Initial unit rates'!S157</f>
        <v>-0.39765951691514551</v>
      </c>
      <c r="T27" s="279">
        <f>'Initial unit rates'!T157</f>
        <v>-0.40868449396155015</v>
      </c>
      <c r="U27" s="279">
        <f>'Initial unit rates'!U157</f>
        <v>-0.40868449396155015</v>
      </c>
      <c r="V27" s="279">
        <f>'Initial unit rates'!V157</f>
        <v>-0.39765951691514551</v>
      </c>
      <c r="W27" s="279">
        <f>'Initial unit rates'!W157</f>
        <v>-0.39765951691514551</v>
      </c>
      <c r="X27" s="279">
        <f>'Initial unit rates'!X157</f>
        <v>-0.25487274673143645</v>
      </c>
      <c r="Y27" s="279">
        <f>'Initial unit rates'!Y157</f>
        <v>-0.25487274673143645</v>
      </c>
      <c r="Z27" s="267"/>
      <c r="AA27" s="267"/>
    </row>
    <row r="28" spans="3:27" x14ac:dyDescent="0.3">
      <c r="D28"/>
      <c r="F28" t="s">
        <v>198</v>
      </c>
      <c r="G28" t="s">
        <v>271</v>
      </c>
      <c r="H28" s="267"/>
      <c r="I28" s="267"/>
      <c r="J28" s="279">
        <f>'Initial unit rates'!J158</f>
        <v>6.7773427462983094E-2</v>
      </c>
      <c r="K28" s="279">
        <f>'Initial unit rates'!K158</f>
        <v>6.7773427462983094E-2</v>
      </c>
      <c r="L28" s="279">
        <f>'Initial unit rates'!L158</f>
        <v>5.9275938554141053E-2</v>
      </c>
      <c r="M28" s="279">
        <f>'Initial unit rates'!M158</f>
        <v>5.9275938554141053E-2</v>
      </c>
      <c r="N28" s="279">
        <f>'Initial unit rates'!N158</f>
        <v>5.0375258760146327E-2</v>
      </c>
      <c r="O28" s="279">
        <f>'Initial unit rates'!O158</f>
        <v>4.6142006342263717E-2</v>
      </c>
      <c r="P28" s="279">
        <f>'Initial unit rates'!P158</f>
        <v>2.6336811189825667E-2</v>
      </c>
      <c r="Q28" s="279">
        <f>'Initial unit rates'!Q158</f>
        <v>0.16152675705371033</v>
      </c>
      <c r="R28" s="279">
        <f>'Initial unit rates'!R158</f>
        <v>-4.1390094922660263E-2</v>
      </c>
      <c r="S28" s="279">
        <f>'Initial unit rates'!S158</f>
        <v>-4.0273524920095484E-2</v>
      </c>
      <c r="T28" s="279">
        <f>'Initial unit rates'!T158</f>
        <v>-4.1390094922660263E-2</v>
      </c>
      <c r="U28" s="279">
        <f>'Initial unit rates'!U158</f>
        <v>-4.1390094922660263E-2</v>
      </c>
      <c r="V28" s="279">
        <f>'Initial unit rates'!V158</f>
        <v>-4.0273524920095484E-2</v>
      </c>
      <c r="W28" s="279">
        <f>'Initial unit rates'!W158</f>
        <v>-4.0273524920095484E-2</v>
      </c>
      <c r="X28" s="279">
        <f>'Initial unit rates'!X158</f>
        <v>-2.5812594645212541E-2</v>
      </c>
      <c r="Y28" s="279">
        <f>'Initial unit rates'!Y158</f>
        <v>-2.5812594645212541E-2</v>
      </c>
      <c r="Z28" s="267"/>
      <c r="AA28" s="267"/>
    </row>
    <row r="29" spans="3:27" x14ac:dyDescent="0.3">
      <c r="D29"/>
      <c r="F29" t="s">
        <v>199</v>
      </c>
      <c r="G29" t="s">
        <v>271</v>
      </c>
      <c r="H29" s="267"/>
      <c r="I29" s="267"/>
      <c r="J29" s="279">
        <f>'Initial unit rates'!J159</f>
        <v>0.80302265728258548</v>
      </c>
      <c r="K29" s="279">
        <f>'Initial unit rates'!K159</f>
        <v>0.80302265728258548</v>
      </c>
      <c r="L29" s="279">
        <f>'Initial unit rates'!L159</f>
        <v>0.70233900619330525</v>
      </c>
      <c r="M29" s="279">
        <f>'Initial unit rates'!M159</f>
        <v>0.70233900619330525</v>
      </c>
      <c r="N29" s="279">
        <f>'Initial unit rates'!N159</f>
        <v>0.59687809315775164</v>
      </c>
      <c r="O29" s="279">
        <f>'Initial unit rates'!O159</f>
        <v>0.54671982711147959</v>
      </c>
      <c r="P29" s="279">
        <f>'Initial unit rates'!P159</f>
        <v>0.33464428321469897</v>
      </c>
      <c r="Q29" s="279">
        <f>'Initial unit rates'!Q159</f>
        <v>1.9643785318279032</v>
      </c>
      <c r="R29" s="279">
        <f>'Initial unit rates'!R159</f>
        <v>-0.49041615946200717</v>
      </c>
      <c r="S29" s="279">
        <f>'Initial unit rates'!S159</f>
        <v>-0.47718632818349727</v>
      </c>
      <c r="T29" s="279">
        <f>'Initial unit rates'!T159</f>
        <v>-0.49041615946200717</v>
      </c>
      <c r="U29" s="279">
        <f>'Initial unit rates'!U159</f>
        <v>-0.49041615946200717</v>
      </c>
      <c r="V29" s="279">
        <f>'Initial unit rates'!V159</f>
        <v>-0.47718632818349727</v>
      </c>
      <c r="W29" s="279">
        <f>'Initial unit rates'!W159</f>
        <v>-0.47718632818349727</v>
      </c>
      <c r="X29" s="279">
        <f>'Initial unit rates'!X159</f>
        <v>0</v>
      </c>
      <c r="Y29" s="279">
        <f>'Initial unit rates'!Y159</f>
        <v>0</v>
      </c>
      <c r="Z29" s="267"/>
      <c r="AA29" s="267"/>
    </row>
    <row r="30" spans="3:27" x14ac:dyDescent="0.3">
      <c r="D30"/>
      <c r="F30" t="s">
        <v>200</v>
      </c>
      <c r="G30" t="s">
        <v>271</v>
      </c>
      <c r="H30" s="267"/>
      <c r="I30" s="267"/>
      <c r="J30" s="279">
        <f>'Initial unit rates'!J160</f>
        <v>0.20541795523268105</v>
      </c>
      <c r="K30" s="279">
        <f>'Initial unit rates'!K160</f>
        <v>0.20541795523268105</v>
      </c>
      <c r="L30" s="279">
        <f>'Initial unit rates'!L160</f>
        <v>0.17966248053398587</v>
      </c>
      <c r="M30" s="279">
        <f>'Initial unit rates'!M160</f>
        <v>0.17966248053398587</v>
      </c>
      <c r="N30" s="279">
        <f>'Initial unit rates'!N160</f>
        <v>0.15268495391469453</v>
      </c>
      <c r="O30" s="279">
        <f>'Initial unit rates'!O160</f>
        <v>0.13985417217298307</v>
      </c>
      <c r="P30" s="279">
        <f>'Initial unit rates'!P160</f>
        <v>0</v>
      </c>
      <c r="Q30" s="279">
        <f>'Initial unit rates'!Q160</f>
        <v>0.50249967127523387</v>
      </c>
      <c r="R30" s="279">
        <f>'Initial unit rates'!R160</f>
        <v>-0.12545136027749618</v>
      </c>
      <c r="S30" s="279">
        <f>'Initial unit rates'!S160</f>
        <v>0</v>
      </c>
      <c r="T30" s="279">
        <f>'Initial unit rates'!T160</f>
        <v>-0.12545136027749618</v>
      </c>
      <c r="U30" s="279">
        <f>'Initial unit rates'!U160</f>
        <v>-0.12545136027749618</v>
      </c>
      <c r="V30" s="279">
        <f>'Initial unit rates'!V160</f>
        <v>0</v>
      </c>
      <c r="W30" s="279">
        <f>'Initial unit rates'!W160</f>
        <v>0</v>
      </c>
      <c r="X30" s="279">
        <f>'Initial unit rates'!X160</f>
        <v>0</v>
      </c>
      <c r="Y30" s="279">
        <f>'Initial unit rates'!Y160</f>
        <v>0</v>
      </c>
      <c r="Z30" s="267"/>
      <c r="AA30" s="267"/>
    </row>
    <row r="31" spans="3:27" x14ac:dyDescent="0.3">
      <c r="D31"/>
      <c r="F31" t="s">
        <v>201</v>
      </c>
      <c r="G31" t="s">
        <v>271</v>
      </c>
      <c r="H31" s="267"/>
      <c r="I31" s="267"/>
      <c r="J31" s="279">
        <f>'Initial unit rates'!J161</f>
        <v>8.6207319954990536E-2</v>
      </c>
      <c r="K31" s="279">
        <f>'Initial unit rates'!K161</f>
        <v>8.6207319954990536E-2</v>
      </c>
      <c r="L31" s="279">
        <f>'Initial unit rates'!L161</f>
        <v>7.5398574217900069E-2</v>
      </c>
      <c r="M31" s="279">
        <f>'Initial unit rates'!M161</f>
        <v>7.5398574217900069E-2</v>
      </c>
      <c r="N31" s="279">
        <f>'Initial unit rates'!N161</f>
        <v>6.4076972529142129E-2</v>
      </c>
      <c r="O31" s="279">
        <f>'Initial unit rates'!O161</f>
        <v>0</v>
      </c>
      <c r="P31" s="279">
        <f>'Initial unit rates'!P161</f>
        <v>0</v>
      </c>
      <c r="Q31" s="279">
        <f>'Initial unit rates'!Q161</f>
        <v>0.21088297704956308</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378</v>
      </c>
      <c r="G32" s="23" t="s">
        <v>271</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379</v>
      </c>
      <c r="G33" s="37" t="s">
        <v>271</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624</v>
      </c>
      <c r="J35" s="89"/>
      <c r="K35" s="89"/>
      <c r="L35" s="89"/>
      <c r="M35" s="89"/>
      <c r="N35" s="89"/>
      <c r="O35" s="89"/>
      <c r="P35" s="89"/>
      <c r="Q35" s="89"/>
      <c r="R35" s="89"/>
      <c r="S35" s="89"/>
      <c r="T35" s="89"/>
      <c r="U35" s="89"/>
      <c r="V35" s="89"/>
      <c r="W35" s="89"/>
      <c r="X35" s="89"/>
      <c r="Y35" s="89"/>
    </row>
    <row r="36" spans="4:27" x14ac:dyDescent="0.3">
      <c r="D36"/>
      <c r="F36" s="23" t="s">
        <v>191</v>
      </c>
      <c r="G36" s="23" t="s">
        <v>271</v>
      </c>
      <c r="H36" s="266"/>
      <c r="I36" s="266"/>
      <c r="J36" s="278">
        <f>'Initial unit rates'!J164</f>
        <v>0.52544975056254206</v>
      </c>
      <c r="K36" s="278">
        <f>'Initial unit rates'!K164</f>
        <v>0.52544975056254206</v>
      </c>
      <c r="L36" s="278">
        <f>'Initial unit rates'!L164</f>
        <v>0.45956842222043126</v>
      </c>
      <c r="M36" s="278">
        <f>'Initial unit rates'!M164</f>
        <v>0.45956842222043126</v>
      </c>
      <c r="N36" s="278">
        <f>'Initial unit rates'!N164</f>
        <v>0.39056114086158278</v>
      </c>
      <c r="O36" s="278">
        <f>'Initial unit rates'!O164</f>
        <v>0.35774058699097305</v>
      </c>
      <c r="P36" s="278">
        <f>'Initial unit rates'!P164</f>
        <v>0.31492835630576266</v>
      </c>
      <c r="Q36" s="278">
        <f>'Initial unit rates'!Q164</f>
        <v>1.1355145193371066</v>
      </c>
      <c r="R36" s="278">
        <f>'Initial unit rates'!R164</f>
        <v>-0.32089885176237332</v>
      </c>
      <c r="S36" s="278">
        <f>'Initial unit rates'!S164</f>
        <v>-0.31224204552878376</v>
      </c>
      <c r="T36" s="278">
        <f>'Initial unit rates'!T164</f>
        <v>-0.32089885176237332</v>
      </c>
      <c r="U36" s="278">
        <f>'Initial unit rates'!U164</f>
        <v>-0.32089885176237332</v>
      </c>
      <c r="V36" s="278">
        <f>'Initial unit rates'!V164</f>
        <v>-0.31224204552878376</v>
      </c>
      <c r="W36" s="278">
        <f>'Initial unit rates'!W164</f>
        <v>-0.31224204552878376</v>
      </c>
      <c r="X36" s="278">
        <f>'Initial unit rates'!X164</f>
        <v>-0.30865991881143628</v>
      </c>
      <c r="Y36" s="278">
        <f>'Initial unit rates'!Y164</f>
        <v>-0.30865991881143628</v>
      </c>
      <c r="Z36" s="267"/>
      <c r="AA36" s="267"/>
    </row>
    <row r="37" spans="4:27" x14ac:dyDescent="0.3">
      <c r="D37"/>
      <c r="F37" t="s">
        <v>193</v>
      </c>
      <c r="G37" t="s">
        <v>271</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194</v>
      </c>
      <c r="G38" t="s">
        <v>271</v>
      </c>
      <c r="H38" s="267"/>
      <c r="I38" s="267"/>
      <c r="J38" s="279">
        <f>'Initial unit rates'!J166</f>
        <v>0.49686133517933084</v>
      </c>
      <c r="K38" s="279">
        <f>'Initial unit rates'!K166</f>
        <v>0.49686133517933084</v>
      </c>
      <c r="L38" s="279">
        <f>'Initial unit rates'!L166</f>
        <v>0.43456444622200535</v>
      </c>
      <c r="M38" s="279">
        <f>'Initial unit rates'!M166</f>
        <v>0.43456444622200535</v>
      </c>
      <c r="N38" s="279">
        <f>'Initial unit rates'!N166</f>
        <v>0.36931167958476585</v>
      </c>
      <c r="O38" s="279">
        <f>'Initial unit rates'!O166</f>
        <v>0.33827681050353042</v>
      </c>
      <c r="P38" s="279">
        <f>'Initial unit rates'!P166</f>
        <v>0.29779388691761999</v>
      </c>
      <c r="Q38" s="279">
        <f>'Initial unit rates'!Q166</f>
        <v>1.1841868292809721</v>
      </c>
      <c r="R38" s="279">
        <f>'Initial unit rates'!R166</f>
        <v>-0.30343954255087086</v>
      </c>
      <c r="S38" s="279">
        <f>'Initial unit rates'!S166</f>
        <v>-0.29525373163554502</v>
      </c>
      <c r="T38" s="279">
        <f>'Initial unit rates'!T166</f>
        <v>-0.30343954255087086</v>
      </c>
      <c r="U38" s="279">
        <f>'Initial unit rates'!U166</f>
        <v>-0.30343954255087086</v>
      </c>
      <c r="V38" s="279">
        <f>'Initial unit rates'!V166</f>
        <v>-0.29525373163554502</v>
      </c>
      <c r="W38" s="279">
        <f>'Initial unit rates'!W166</f>
        <v>-0.29525373163554502</v>
      </c>
      <c r="X38" s="279">
        <f>'Initial unit rates'!X166</f>
        <v>-0.29186649953265165</v>
      </c>
      <c r="Y38" s="279">
        <f>'Initial unit rates'!Y166</f>
        <v>-0.29186649953265165</v>
      </c>
      <c r="Z38" s="267"/>
      <c r="AA38" s="267"/>
    </row>
    <row r="39" spans="4:27" x14ac:dyDescent="0.3">
      <c r="D39"/>
      <c r="F39" t="s">
        <v>195</v>
      </c>
      <c r="G39" t="s">
        <v>271</v>
      </c>
      <c r="H39" s="267"/>
      <c r="I39" s="267"/>
      <c r="J39" s="279">
        <f>'Initial unit rates'!J167</f>
        <v>0.25960541143367111</v>
      </c>
      <c r="K39" s="279">
        <f>'Initial unit rates'!K167</f>
        <v>0.25960541143367111</v>
      </c>
      <c r="L39" s="279">
        <f>'Initial unit rates'!L167</f>
        <v>0.22705586824378482</v>
      </c>
      <c r="M39" s="279">
        <f>'Initial unit rates'!M167</f>
        <v>0.22705586824378482</v>
      </c>
      <c r="N39" s="279">
        <f>'Initial unit rates'!N167</f>
        <v>0.19296190654734538</v>
      </c>
      <c r="O39" s="279">
        <f>'Initial unit rates'!O167</f>
        <v>0.17674647703778951</v>
      </c>
      <c r="P39" s="279">
        <f>'Initial unit rates'!P167</f>
        <v>0.1555945272090411</v>
      </c>
      <c r="Q39" s="279">
        <f>'Initial unit rates'!Q167</f>
        <v>0.61872656868915854</v>
      </c>
      <c r="R39" s="279">
        <f>'Initial unit rates'!R167</f>
        <v>-0.15854432959797909</v>
      </c>
      <c r="S39" s="279">
        <f>'Initial unit rates'!S167</f>
        <v>-0.15426731977626618</v>
      </c>
      <c r="T39" s="279">
        <f>'Initial unit rates'!T167</f>
        <v>-0.15854432959797909</v>
      </c>
      <c r="U39" s="279">
        <f>'Initial unit rates'!U167</f>
        <v>-0.15854432959797909</v>
      </c>
      <c r="V39" s="279">
        <f>'Initial unit rates'!V167</f>
        <v>-0.15426731977626618</v>
      </c>
      <c r="W39" s="279">
        <f>'Initial unit rates'!W167</f>
        <v>-0.15426731977626618</v>
      </c>
      <c r="X39" s="279">
        <f>'Initial unit rates'!X167</f>
        <v>-0.15249752260866084</v>
      </c>
      <c r="Y39" s="279">
        <f>'Initial unit rates'!Y167</f>
        <v>-0.15249752260866084</v>
      </c>
      <c r="Z39" s="267"/>
      <c r="AA39" s="267"/>
    </row>
    <row r="40" spans="4:27" x14ac:dyDescent="0.3">
      <c r="D40"/>
      <c r="F40" t="s">
        <v>196</v>
      </c>
      <c r="G40" t="s">
        <v>271</v>
      </c>
      <c r="H40" s="267"/>
      <c r="I40" s="267"/>
      <c r="J40" s="279">
        <f>'Initial unit rates'!J168</f>
        <v>0.26665447349039351</v>
      </c>
      <c r="K40" s="279">
        <f>'Initial unit rates'!K168</f>
        <v>0.26665447349039351</v>
      </c>
      <c r="L40" s="279">
        <f>'Initial unit rates'!L168</f>
        <v>0.2332211130156657</v>
      </c>
      <c r="M40" s="279">
        <f>'Initial unit rates'!M168</f>
        <v>0.2332211130156657</v>
      </c>
      <c r="N40" s="279">
        <f>'Initial unit rates'!N168</f>
        <v>0.19820139846056856</v>
      </c>
      <c r="O40" s="279">
        <f>'Initial unit rates'!O168</f>
        <v>0.1815456716233953</v>
      </c>
      <c r="P40" s="279">
        <f>'Initial unit rates'!P168</f>
        <v>0.15981938320077818</v>
      </c>
      <c r="Q40" s="279">
        <f>'Initial unit rates'!Q168</f>
        <v>0.65229831112482761</v>
      </c>
      <c r="R40" s="279">
        <f>'Initial unit rates'!R168</f>
        <v>-0.16284928153216921</v>
      </c>
      <c r="S40" s="279">
        <f>'Initial unit rates'!S168</f>
        <v>-0.1584561381233944</v>
      </c>
      <c r="T40" s="279">
        <f>'Initial unit rates'!T168</f>
        <v>-0.16284928153216921</v>
      </c>
      <c r="U40" s="279">
        <f>'Initial unit rates'!U168</f>
        <v>-0.16284928153216921</v>
      </c>
      <c r="V40" s="279">
        <f>'Initial unit rates'!V168</f>
        <v>-0.1584561381233944</v>
      </c>
      <c r="W40" s="279">
        <f>'Initial unit rates'!W168</f>
        <v>-0.1584561381233944</v>
      </c>
      <c r="X40" s="279">
        <f>'Initial unit rates'!X168</f>
        <v>-0.15663828567838417</v>
      </c>
      <c r="Y40" s="279">
        <f>'Initial unit rates'!Y168</f>
        <v>-0.15663828567838417</v>
      </c>
      <c r="Z40" s="267"/>
      <c r="AA40" s="267"/>
    </row>
    <row r="41" spans="4:27" x14ac:dyDescent="0.3">
      <c r="D41"/>
      <c r="F41" t="s">
        <v>197</v>
      </c>
      <c r="G41" t="s">
        <v>271</v>
      </c>
      <c r="H41" s="267"/>
      <c r="I41" s="267"/>
      <c r="J41" s="279">
        <f>'Initial unit rates'!J169</f>
        <v>0.42897088697574021</v>
      </c>
      <c r="K41" s="279">
        <f>'Initial unit rates'!K169</f>
        <v>0.42897088697574021</v>
      </c>
      <c r="L41" s="279">
        <f>'Initial unit rates'!L169</f>
        <v>0.37518615908539665</v>
      </c>
      <c r="M41" s="279">
        <f>'Initial unit rates'!M169</f>
        <v>0.37518615908539665</v>
      </c>
      <c r="N41" s="279">
        <f>'Initial unit rates'!N169</f>
        <v>0.31884944056835868</v>
      </c>
      <c r="O41" s="279">
        <f>'Initial unit rates'!O169</f>
        <v>0.29205513323480764</v>
      </c>
      <c r="P41" s="279">
        <f>'Initial unit rates'!P169</f>
        <v>0.25710374054543433</v>
      </c>
      <c r="Q41" s="279">
        <f>'Initial unit rates'!Q169</f>
        <v>1.0493616755545463</v>
      </c>
      <c r="R41" s="279">
        <f>'Initial unit rates'!R169</f>
        <v>-0.26197798157222119</v>
      </c>
      <c r="S41" s="279">
        <f>'Initial unit rates'!S169</f>
        <v>-0.25491066858097056</v>
      </c>
      <c r="T41" s="279">
        <f>'Initial unit rates'!T169</f>
        <v>-0.26197798157222119</v>
      </c>
      <c r="U41" s="279">
        <f>'Initial unit rates'!U169</f>
        <v>-0.26197798157222119</v>
      </c>
      <c r="V41" s="279">
        <f>'Initial unit rates'!V169</f>
        <v>-0.25491066858097056</v>
      </c>
      <c r="W41" s="279">
        <f>'Initial unit rates'!W169</f>
        <v>-0.25491066858097056</v>
      </c>
      <c r="X41" s="279">
        <f>'Initial unit rates'!X169</f>
        <v>-0.25198626320528067</v>
      </c>
      <c r="Y41" s="279">
        <f>'Initial unit rates'!Y169</f>
        <v>-0.25198626320528067</v>
      </c>
      <c r="Z41" s="267"/>
      <c r="AA41" s="267"/>
    </row>
    <row r="42" spans="4:27" x14ac:dyDescent="0.3">
      <c r="D42"/>
      <c r="F42" t="s">
        <v>198</v>
      </c>
      <c r="G42" t="s">
        <v>271</v>
      </c>
      <c r="H42" s="267"/>
      <c r="I42" s="267"/>
      <c r="J42" s="279">
        <f>'Initial unit rates'!J170</f>
        <v>4.3444627807812296E-2</v>
      </c>
      <c r="K42" s="279">
        <f>'Initial unit rates'!K170</f>
        <v>4.3444627807812296E-2</v>
      </c>
      <c r="L42" s="279">
        <f>'Initial unit rates'!L170</f>
        <v>3.7997504108080699E-2</v>
      </c>
      <c r="M42" s="279">
        <f>'Initial unit rates'!M170</f>
        <v>3.7997504108080699E-2</v>
      </c>
      <c r="N42" s="279">
        <f>'Initial unit rates'!N170</f>
        <v>3.229192398085725E-2</v>
      </c>
      <c r="O42" s="279">
        <f>'Initial unit rates'!O170</f>
        <v>2.9578292951765766E-2</v>
      </c>
      <c r="P42" s="279">
        <f>'Initial unit rates'!P170</f>
        <v>2.603854167060158E-2</v>
      </c>
      <c r="Q42" s="279">
        <f>'Initial unit rates'!Q170</f>
        <v>0.10354308619014746</v>
      </c>
      <c r="R42" s="279">
        <f>'Initial unit rates'!R170</f>
        <v>-2.6532187262140992E-2</v>
      </c>
      <c r="S42" s="279">
        <f>'Initial unit rates'!S170</f>
        <v>-2.581643523367393E-2</v>
      </c>
      <c r="T42" s="279">
        <f>'Initial unit rates'!T170</f>
        <v>-2.6532187262140992E-2</v>
      </c>
      <c r="U42" s="279">
        <f>'Initial unit rates'!U170</f>
        <v>-2.6532187262140992E-2</v>
      </c>
      <c r="V42" s="279">
        <f>'Initial unit rates'!V170</f>
        <v>-2.581643523367393E-2</v>
      </c>
      <c r="W42" s="279">
        <f>'Initial unit rates'!W170</f>
        <v>-2.581643523367393E-2</v>
      </c>
      <c r="X42" s="279">
        <f>'Initial unit rates'!X170</f>
        <v>-2.5520261980515151E-2</v>
      </c>
      <c r="Y42" s="279">
        <f>'Initial unit rates'!Y170</f>
        <v>-2.5520261980515151E-2</v>
      </c>
      <c r="Z42" s="267"/>
      <c r="AA42" s="267"/>
    </row>
    <row r="43" spans="4:27" x14ac:dyDescent="0.3">
      <c r="D43"/>
      <c r="F43" t="s">
        <v>199</v>
      </c>
      <c r="G43" t="s">
        <v>271</v>
      </c>
      <c r="H43" s="267"/>
      <c r="I43" s="267"/>
      <c r="J43" s="279">
        <f>'Initial unit rates'!J171</f>
        <v>0.9882754795283355</v>
      </c>
      <c r="K43" s="279">
        <f>'Initial unit rates'!K171</f>
        <v>0.9882754795283355</v>
      </c>
      <c r="L43" s="279">
        <f>'Initial unit rates'!L171</f>
        <v>0.86436467494700642</v>
      </c>
      <c r="M43" s="279">
        <f>'Initial unit rates'!M171</f>
        <v>0.86436467494700642</v>
      </c>
      <c r="N43" s="279">
        <f>'Initial unit rates'!N171</f>
        <v>0.73457452088784014</v>
      </c>
      <c r="O43" s="279">
        <f>'Initial unit rates'!O171</f>
        <v>0.67284502424208692</v>
      </c>
      <c r="P43" s="279">
        <f>'Initial unit rates'!P171</f>
        <v>0.5923229995103082</v>
      </c>
      <c r="Q43" s="279">
        <f>'Initial unit rates'!Q171</f>
        <v>2.4175496393674285</v>
      </c>
      <c r="R43" s="279">
        <f>'Initial unit rates'!R171</f>
        <v>-0.60355241631769374</v>
      </c>
      <c r="S43" s="279">
        <f>'Initial unit rates'!S171</f>
        <v>-0.58727053717982114</v>
      </c>
      <c r="T43" s="279">
        <f>'Initial unit rates'!T171</f>
        <v>-0.60355241631769374</v>
      </c>
      <c r="U43" s="279">
        <f>'Initial unit rates'!U171</f>
        <v>-0.60355241631769374</v>
      </c>
      <c r="V43" s="279">
        <f>'Initial unit rates'!V171</f>
        <v>-0.58727053717982114</v>
      </c>
      <c r="W43" s="279">
        <f>'Initial unit rates'!W171</f>
        <v>-0.58727053717982114</v>
      </c>
      <c r="X43" s="279">
        <f>'Initial unit rates'!X171</f>
        <v>0</v>
      </c>
      <c r="Y43" s="279">
        <f>'Initial unit rates'!Y171</f>
        <v>0</v>
      </c>
      <c r="Z43" s="267"/>
      <c r="AA43" s="267"/>
    </row>
    <row r="44" spans="4:27" x14ac:dyDescent="0.3">
      <c r="D44"/>
      <c r="F44" t="s">
        <v>200</v>
      </c>
      <c r="G44" t="s">
        <v>271</v>
      </c>
      <c r="H44" s="267"/>
      <c r="I44" s="267"/>
      <c r="J44" s="279">
        <f>'Initial unit rates'!J172</f>
        <v>0.45238521720593361</v>
      </c>
      <c r="K44" s="279">
        <f>'Initial unit rates'!K172</f>
        <v>0.45238521720593361</v>
      </c>
      <c r="L44" s="279">
        <f>'Initial unit rates'!L172</f>
        <v>0.39566478104633207</v>
      </c>
      <c r="M44" s="279">
        <f>'Initial unit rates'!M172</f>
        <v>0.39566478104633207</v>
      </c>
      <c r="N44" s="279">
        <f>'Initial unit rates'!N172</f>
        <v>0.3362530600722673</v>
      </c>
      <c r="O44" s="279">
        <f>'Initial unit rates'!O172</f>
        <v>0.30799625078521536</v>
      </c>
      <c r="P44" s="279">
        <f>'Initial unit rates'!P172</f>
        <v>0</v>
      </c>
      <c r="Q44" s="279">
        <f>'Initial unit rates'!Q172</f>
        <v>1.106638524749519</v>
      </c>
      <c r="R44" s="279">
        <f>'Initial unit rates'!R172</f>
        <v>-0.27627741111350473</v>
      </c>
      <c r="S44" s="279">
        <f>'Initial unit rates'!S172</f>
        <v>0</v>
      </c>
      <c r="T44" s="279">
        <f>'Initial unit rates'!T172</f>
        <v>-0.27627741111350473</v>
      </c>
      <c r="U44" s="279">
        <f>'Initial unit rates'!U172</f>
        <v>-0.27627741111350473</v>
      </c>
      <c r="V44" s="279">
        <f>'Initial unit rates'!V172</f>
        <v>0</v>
      </c>
      <c r="W44" s="279">
        <f>'Initial unit rates'!W172</f>
        <v>0</v>
      </c>
      <c r="X44" s="279">
        <f>'Initial unit rates'!X172</f>
        <v>0</v>
      </c>
      <c r="Y44" s="279">
        <f>'Initial unit rates'!Y172</f>
        <v>0</v>
      </c>
      <c r="Z44" s="267"/>
      <c r="AA44" s="267"/>
    </row>
    <row r="45" spans="4:27" x14ac:dyDescent="0.3">
      <c r="D45"/>
      <c r="F45" t="s">
        <v>201</v>
      </c>
      <c r="G45" t="s">
        <v>271</v>
      </c>
      <c r="H45" s="267"/>
      <c r="I45" s="267"/>
      <c r="J45" s="279">
        <f>'Initial unit rates'!J173</f>
        <v>0.90169719678454585</v>
      </c>
      <c r="K45" s="279">
        <f>'Initial unit rates'!K173</f>
        <v>0.90169719678454585</v>
      </c>
      <c r="L45" s="279">
        <f>'Initial unit rates'!L173</f>
        <v>0.78864164956442628</v>
      </c>
      <c r="M45" s="279">
        <f>'Initial unit rates'!M173</f>
        <v>0.78864164956442628</v>
      </c>
      <c r="N45" s="279">
        <f>'Initial unit rates'!N173</f>
        <v>0.67022181571279715</v>
      </c>
      <c r="O45" s="279">
        <f>'Initial unit rates'!O173</f>
        <v>0</v>
      </c>
      <c r="P45" s="279">
        <f>'Initial unit rates'!P173</f>
        <v>0</v>
      </c>
      <c r="Q45" s="279">
        <f>'Initial unit rates'!Q173</f>
        <v>2.2057592018224295</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378</v>
      </c>
      <c r="G46" s="23" t="s">
        <v>271</v>
      </c>
      <c r="H46" s="266"/>
      <c r="I46" s="266" t="s">
        <v>156</v>
      </c>
      <c r="J46" s="280"/>
      <c r="K46" s="280"/>
      <c r="L46" s="280"/>
      <c r="M46" s="280"/>
      <c r="N46" s="280"/>
      <c r="O46" s="280"/>
      <c r="P46" s="280"/>
      <c r="Q46" s="278">
        <f>'Service model charges'!$Q$44</f>
        <v>0.80418066162481627</v>
      </c>
      <c r="R46" s="280"/>
      <c r="S46" s="280"/>
      <c r="T46" s="280"/>
      <c r="U46" s="280"/>
      <c r="V46" s="280"/>
      <c r="W46" s="280"/>
      <c r="X46" s="280"/>
      <c r="Y46" s="280"/>
      <c r="Z46" s="267"/>
      <c r="AA46" s="267" t="s">
        <v>656</v>
      </c>
    </row>
    <row r="47" spans="4:27" x14ac:dyDescent="0.3">
      <c r="D47"/>
      <c r="F47" s="37" t="s">
        <v>379</v>
      </c>
      <c r="G47" s="37" t="s">
        <v>271</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623</v>
      </c>
      <c r="J51" s="89"/>
      <c r="K51" s="89"/>
      <c r="L51" s="89"/>
      <c r="M51" s="89"/>
      <c r="N51" s="89"/>
      <c r="O51" s="89"/>
      <c r="P51" s="89"/>
      <c r="Q51" s="89"/>
      <c r="R51" s="89"/>
      <c r="S51" s="89"/>
      <c r="T51" s="89"/>
      <c r="U51" s="89"/>
      <c r="V51" s="89"/>
      <c r="W51" s="89"/>
      <c r="X51" s="89"/>
      <c r="Y51" s="89"/>
    </row>
    <row r="52" spans="3:27" x14ac:dyDescent="0.3">
      <c r="D52"/>
      <c r="F52" s="23" t="s">
        <v>191</v>
      </c>
      <c r="G52" s="23" t="s">
        <v>271</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193</v>
      </c>
      <c r="G53" t="s">
        <v>271</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194</v>
      </c>
      <c r="G54" t="s">
        <v>271</v>
      </c>
      <c r="H54" s="267"/>
      <c r="I54" s="267"/>
      <c r="J54" s="279">
        <f>'Initial unit rates'!J183</f>
        <v>0.10609405807239174</v>
      </c>
      <c r="K54" s="279">
        <f>'Initial unit rates'!K183</f>
        <v>0.10609405807239174</v>
      </c>
      <c r="L54" s="279">
        <f>'Initial unit rates'!L183</f>
        <v>9.2791896509785254E-2</v>
      </c>
      <c r="M54" s="279">
        <f>'Initial unit rates'!M183</f>
        <v>9.2791896509785254E-2</v>
      </c>
      <c r="N54" s="279">
        <f>'Initial unit rates'!N183</f>
        <v>7.8858570805347347E-2</v>
      </c>
      <c r="O54" s="279">
        <f>'Initial unit rates'!O183</f>
        <v>7.22317416088568E-2</v>
      </c>
      <c r="P54" s="279">
        <f>'Initial unit rates'!P183</f>
        <v>6.3587483459219135E-2</v>
      </c>
      <c r="Q54" s="279">
        <f>'Initial unit rates'!Q183</f>
        <v>9.1595326022376578E-2</v>
      </c>
      <c r="R54" s="279">
        <f>'Initial unit rates'!R183</f>
        <v>-6.4792991866096189E-2</v>
      </c>
      <c r="S54" s="279">
        <f>'Initial unit rates'!S183</f>
        <v>-6.3045087899475924E-2</v>
      </c>
      <c r="T54" s="279">
        <f>'Initial unit rates'!T183</f>
        <v>-6.4792991866096189E-2</v>
      </c>
      <c r="U54" s="279">
        <f>'Initial unit rates'!U183</f>
        <v>-6.4792991866096189E-2</v>
      </c>
      <c r="V54" s="279">
        <f>'Initial unit rates'!V183</f>
        <v>-6.3045087899475924E-2</v>
      </c>
      <c r="W54" s="279">
        <f>'Initial unit rates'!W183</f>
        <v>-6.3045087899475924E-2</v>
      </c>
      <c r="X54" s="279">
        <f>'Initial unit rates'!X183</f>
        <v>-6.2321817292598558E-2</v>
      </c>
      <c r="Y54" s="279">
        <f>'Initial unit rates'!Y183</f>
        <v>-6.2321817292598558E-2</v>
      </c>
      <c r="Z54" s="267"/>
      <c r="AA54" s="267"/>
    </row>
    <row r="55" spans="3:27" x14ac:dyDescent="0.3">
      <c r="D55"/>
      <c r="F55" t="s">
        <v>195</v>
      </c>
      <c r="G55" t="s">
        <v>271</v>
      </c>
      <c r="H55" s="267"/>
      <c r="I55" s="267"/>
      <c r="J55" s="279">
        <f>'Initial unit rates'!J184</f>
        <v>5.5433155382497566E-2</v>
      </c>
      <c r="K55" s="279">
        <f>'Initial unit rates'!K184</f>
        <v>5.5433155382497566E-2</v>
      </c>
      <c r="L55" s="279">
        <f>'Initial unit rates'!L184</f>
        <v>4.8482900088087859E-2</v>
      </c>
      <c r="M55" s="279">
        <f>'Initial unit rates'!M184</f>
        <v>4.8482900088087859E-2</v>
      </c>
      <c r="N55" s="279">
        <f>'Initial unit rates'!N184</f>
        <v>4.1202867418944036E-2</v>
      </c>
      <c r="O55" s="279">
        <f>'Initial unit rates'!O184</f>
        <v>3.7740410998513045E-2</v>
      </c>
      <c r="P55" s="279">
        <f>'Initial unit rates'!P184</f>
        <v>3.3223866774628942E-2</v>
      </c>
      <c r="Q55" s="279">
        <f>'Initial unit rates'!Q184</f>
        <v>4.78577031735785E-2</v>
      </c>
      <c r="R55" s="279">
        <f>'Initial unit rates'!R184</f>
        <v>-3.3853733668661075E-2</v>
      </c>
      <c r="S55" s="279">
        <f>'Initial unit rates'!S184</f>
        <v>-3.294047015573906E-2</v>
      </c>
      <c r="T55" s="279">
        <f>'Initial unit rates'!T184</f>
        <v>-3.3853733668661075E-2</v>
      </c>
      <c r="U55" s="279">
        <f>'Initial unit rates'!U184</f>
        <v>-3.3853733668661075E-2</v>
      </c>
      <c r="V55" s="279">
        <f>'Initial unit rates'!V184</f>
        <v>-3.294047015573906E-2</v>
      </c>
      <c r="W55" s="279">
        <f>'Initial unit rates'!W184</f>
        <v>-3.294047015573906E-2</v>
      </c>
      <c r="X55" s="279">
        <f>'Initial unit rates'!X184</f>
        <v>-3.2562568012460984E-2</v>
      </c>
      <c r="Y55" s="279">
        <f>'Initial unit rates'!Y184</f>
        <v>-3.2562568012460984E-2</v>
      </c>
      <c r="Z55" s="267"/>
      <c r="AA55" s="267"/>
    </row>
    <row r="56" spans="3:27" x14ac:dyDescent="0.3">
      <c r="D56"/>
      <c r="F56" t="s">
        <v>196</v>
      </c>
      <c r="G56" t="s">
        <v>271</v>
      </c>
      <c r="H56" s="267"/>
      <c r="I56" s="267"/>
      <c r="J56" s="279">
        <f>'Initial unit rates'!J185</f>
        <v>8.8997071160257735E-2</v>
      </c>
      <c r="K56" s="279">
        <f>'Initial unit rates'!K185</f>
        <v>8.8997071160257735E-2</v>
      </c>
      <c r="L56" s="279">
        <f>'Initial unit rates'!L185</f>
        <v>7.7838544088319819E-2</v>
      </c>
      <c r="M56" s="279">
        <f>'Initial unit rates'!M185</f>
        <v>7.7838544088319819E-2</v>
      </c>
      <c r="N56" s="279">
        <f>'Initial unit rates'!N185</f>
        <v>6.6150564556320082E-2</v>
      </c>
      <c r="O56" s="279">
        <f>'Initial unit rates'!O185</f>
        <v>6.0591644478397114E-2</v>
      </c>
      <c r="P56" s="279">
        <f>'Initial unit rates'!P185</f>
        <v>4.9850870987980779E-2</v>
      </c>
      <c r="Q56" s="279">
        <f>'Initial unit rates'!Q185</f>
        <v>7.0339857981439532E-2</v>
      </c>
      <c r="R56" s="279">
        <f>'Initial unit rates'!R185</f>
        <v>-5.4351644310356696E-2</v>
      </c>
      <c r="S56" s="279">
        <f>'Initial unit rates'!S185</f>
        <v>-5.2885413905705211E-2</v>
      </c>
      <c r="T56" s="279">
        <f>'Initial unit rates'!T185</f>
        <v>-5.4351644310356696E-2</v>
      </c>
      <c r="U56" s="279">
        <f>'Initial unit rates'!U185</f>
        <v>-5.4351644310356696E-2</v>
      </c>
      <c r="V56" s="279">
        <f>'Initial unit rates'!V185</f>
        <v>-5.2885413905705211E-2</v>
      </c>
      <c r="W56" s="279">
        <f>'Initial unit rates'!W185</f>
        <v>-5.2885413905705211E-2</v>
      </c>
      <c r="X56" s="279">
        <f>'Initial unit rates'!X185</f>
        <v>-4.8858622870054887E-2</v>
      </c>
      <c r="Y56" s="279">
        <f>'Initial unit rates'!Y185</f>
        <v>-4.8858622870054887E-2</v>
      </c>
      <c r="Z56" s="267"/>
      <c r="AA56" s="267"/>
    </row>
    <row r="57" spans="3:27" x14ac:dyDescent="0.3">
      <c r="D57"/>
      <c r="F57" t="s">
        <v>197</v>
      </c>
      <c r="G57" t="s">
        <v>271</v>
      </c>
      <c r="H57" s="267"/>
      <c r="I57" s="267"/>
      <c r="J57" s="279">
        <f>'Initial unit rates'!J186</f>
        <v>0.14317086848060775</v>
      </c>
      <c r="K57" s="279">
        <f>'Initial unit rates'!K186</f>
        <v>0.14317086848060775</v>
      </c>
      <c r="L57" s="279">
        <f>'Initial unit rates'!L186</f>
        <v>0.12521998547933508</v>
      </c>
      <c r="M57" s="279">
        <f>'Initial unit rates'!M186</f>
        <v>0.12521998547933508</v>
      </c>
      <c r="N57" s="279">
        <f>'Initial unit rates'!N186</f>
        <v>0.10641736469008792</v>
      </c>
      <c r="O57" s="279">
        <f>'Initial unit rates'!O186</f>
        <v>9.7474650003023924E-2</v>
      </c>
      <c r="P57" s="279">
        <f>'Initial unit rates'!P186</f>
        <v>5.5636320490307388E-2</v>
      </c>
      <c r="Q57" s="279">
        <f>'Initial unit rates'!Q186</f>
        <v>0.11315674128051995</v>
      </c>
      <c r="R57" s="279">
        <f>'Initial unit rates'!R186</f>
        <v>-8.743627197855211E-2</v>
      </c>
      <c r="S57" s="279">
        <f>'Initial unit rates'!S186</f>
        <v>-8.5077526036805115E-2</v>
      </c>
      <c r="T57" s="279">
        <f>'Initial unit rates'!T186</f>
        <v>-8.743627197855211E-2</v>
      </c>
      <c r="U57" s="279">
        <f>'Initial unit rates'!U186</f>
        <v>-8.743627197855211E-2</v>
      </c>
      <c r="V57" s="279">
        <f>'Initial unit rates'!V186</f>
        <v>-8.5077526036805115E-2</v>
      </c>
      <c r="W57" s="279">
        <f>'Initial unit rates'!W186</f>
        <v>-8.5077526036805115E-2</v>
      </c>
      <c r="X57" s="279">
        <f>'Initial unit rates'!X186</f>
        <v>-5.4528916884297396E-2</v>
      </c>
      <c r="Y57" s="279">
        <f>'Initial unit rates'!Y186</f>
        <v>-5.4528916884297396E-2</v>
      </c>
      <c r="Z57" s="267"/>
      <c r="AA57" s="267"/>
    </row>
    <row r="58" spans="3:27" x14ac:dyDescent="0.3">
      <c r="D58"/>
      <c r="F58" t="s">
        <v>198</v>
      </c>
      <c r="G58" t="s">
        <v>271</v>
      </c>
      <c r="H58" s="267"/>
      <c r="I58" s="267"/>
      <c r="J58" s="279">
        <f>'Initial unit rates'!J187</f>
        <v>9.2766664242688365E-3</v>
      </c>
      <c r="K58" s="279">
        <f>'Initial unit rates'!K187</f>
        <v>9.2766664242688365E-3</v>
      </c>
      <c r="L58" s="279">
        <f>'Initial unit rates'!L187</f>
        <v>8.1135502443426145E-3</v>
      </c>
      <c r="M58" s="279">
        <f>'Initial unit rates'!M187</f>
        <v>8.1135502443426145E-3</v>
      </c>
      <c r="N58" s="279">
        <f>'Initial unit rates'!N187</f>
        <v>6.8952462498572129E-3</v>
      </c>
      <c r="O58" s="279">
        <f>'Initial unit rates'!O187</f>
        <v>6.3158086732070509E-3</v>
      </c>
      <c r="P58" s="279">
        <f>'Initial unit rates'!P187</f>
        <v>3.6049204125083766E-3</v>
      </c>
      <c r="Q58" s="279">
        <f>'Initial unit rates'!Q187</f>
        <v>8.0089243541985964E-3</v>
      </c>
      <c r="R58" s="279">
        <f>'Initial unit rates'!R187</f>
        <v>-5.6653782793567179E-3</v>
      </c>
      <c r="S58" s="279">
        <f>'Initial unit rates'!S187</f>
        <v>-5.5125448187973271E-3</v>
      </c>
      <c r="T58" s="279">
        <f>'Initial unit rates'!T187</f>
        <v>-5.6653782793567179E-3</v>
      </c>
      <c r="U58" s="279">
        <f>'Initial unit rates'!U187</f>
        <v>-5.6653782793567179E-3</v>
      </c>
      <c r="V58" s="279">
        <f>'Initial unit rates'!V187</f>
        <v>-5.5125448187973271E-3</v>
      </c>
      <c r="W58" s="279">
        <f>'Initial unit rates'!W187</f>
        <v>-5.5125448187973271E-3</v>
      </c>
      <c r="X58" s="279">
        <f>'Initial unit rates'!X187</f>
        <v>-3.5331668919842013E-3</v>
      </c>
      <c r="Y58" s="279">
        <f>'Initial unit rates'!Y187</f>
        <v>-3.5331668919842013E-3</v>
      </c>
      <c r="Z58" s="267"/>
      <c r="AA58" s="267"/>
    </row>
    <row r="59" spans="3:27" x14ac:dyDescent="0.3">
      <c r="D59"/>
      <c r="F59" t="s">
        <v>199</v>
      </c>
      <c r="G59" t="s">
        <v>271</v>
      </c>
      <c r="H59" s="267"/>
      <c r="I59" s="267"/>
      <c r="J59" s="279">
        <f>'Initial unit rates'!J188</f>
        <v>0.17180320884331277</v>
      </c>
      <c r="K59" s="279">
        <f>'Initial unit rates'!K188</f>
        <v>0.17180320884331277</v>
      </c>
      <c r="L59" s="279">
        <f>'Initial unit rates'!L188</f>
        <v>0.15026237910665971</v>
      </c>
      <c r="M59" s="279">
        <f>'Initial unit rates'!M188</f>
        <v>0.15026237910665971</v>
      </c>
      <c r="N59" s="279">
        <f>'Initial unit rates'!N188</f>
        <v>0.12769947493112074</v>
      </c>
      <c r="O59" s="279">
        <f>'Initial unit rates'!O188</f>
        <v>0.11696833182000718</v>
      </c>
      <c r="P59" s="279">
        <f>'Initial unit rates'!P188</f>
        <v>7.1595690552382157E-2</v>
      </c>
      <c r="Q59" s="279">
        <f>'Initial unit rates'!Q188</f>
        <v>0.13578664054048875</v>
      </c>
      <c r="R59" s="279">
        <f>'Initial unit rates'!R188</f>
        <v>-0.10492240673420632</v>
      </c>
      <c r="S59" s="279">
        <f>'Initial unit rates'!S188</f>
        <v>-0.10209194180835329</v>
      </c>
      <c r="T59" s="279">
        <f>'Initial unit rates'!T188</f>
        <v>-0.10492240673420632</v>
      </c>
      <c r="U59" s="279">
        <f>'Initial unit rates'!U188</f>
        <v>-0.10492240673420632</v>
      </c>
      <c r="V59" s="279">
        <f>'Initial unit rates'!V188</f>
        <v>-0.10209194180835329</v>
      </c>
      <c r="W59" s="279">
        <f>'Initial unit rates'!W188</f>
        <v>-0.10209194180835329</v>
      </c>
      <c r="X59" s="279">
        <f>'Initial unit rates'!X188</f>
        <v>0</v>
      </c>
      <c r="Y59" s="279">
        <f>'Initial unit rates'!Y188</f>
        <v>0</v>
      </c>
      <c r="Z59" s="267"/>
      <c r="AA59" s="267"/>
    </row>
    <row r="60" spans="3:27" x14ac:dyDescent="0.3">
      <c r="D60"/>
      <c r="F60" t="s">
        <v>200</v>
      </c>
      <c r="G60" t="s">
        <v>271</v>
      </c>
      <c r="H60" s="267"/>
      <c r="I60" s="267"/>
      <c r="J60" s="279">
        <f>'Initial unit rates'!J189</f>
        <v>4.3948279096423341E-2</v>
      </c>
      <c r="K60" s="279">
        <f>'Initial unit rates'!K189</f>
        <v>4.3948279096423341E-2</v>
      </c>
      <c r="L60" s="279">
        <f>'Initial unit rates'!L189</f>
        <v>3.8438007177705263E-2</v>
      </c>
      <c r="M60" s="279">
        <f>'Initial unit rates'!M189</f>
        <v>3.8438007177705263E-2</v>
      </c>
      <c r="N60" s="279">
        <f>'Initial unit rates'!N189</f>
        <v>3.266628255970469E-2</v>
      </c>
      <c r="O60" s="279">
        <f>'Initial unit rates'!O189</f>
        <v>2.9921192548603686E-2</v>
      </c>
      <c r="P60" s="279">
        <f>'Initial unit rates'!P189</f>
        <v>0</v>
      </c>
      <c r="Q60" s="279">
        <f>'Initial unit rates'!Q189</f>
        <v>3.4735027455055557E-2</v>
      </c>
      <c r="R60" s="279">
        <f>'Initial unit rates'!R189</f>
        <v>-2.6839773515690252E-2</v>
      </c>
      <c r="S60" s="279">
        <f>'Initial unit rates'!S189</f>
        <v>0</v>
      </c>
      <c r="T60" s="279">
        <f>'Initial unit rates'!T189</f>
        <v>-2.6839773515690252E-2</v>
      </c>
      <c r="U60" s="279">
        <f>'Initial unit rates'!U189</f>
        <v>-2.6839773515690252E-2</v>
      </c>
      <c r="V60" s="279">
        <f>'Initial unit rates'!V189</f>
        <v>0</v>
      </c>
      <c r="W60" s="279">
        <f>'Initial unit rates'!W189</f>
        <v>0</v>
      </c>
      <c r="X60" s="279">
        <f>'Initial unit rates'!X189</f>
        <v>0</v>
      </c>
      <c r="Y60" s="279">
        <f>'Initial unit rates'!Y189</f>
        <v>0</v>
      </c>
      <c r="Z60" s="267"/>
      <c r="AA60" s="267"/>
    </row>
    <row r="61" spans="3:27" x14ac:dyDescent="0.3">
      <c r="D61"/>
      <c r="F61" t="s">
        <v>201</v>
      </c>
      <c r="G61" t="s">
        <v>271</v>
      </c>
      <c r="H61" s="267"/>
      <c r="I61" s="267"/>
      <c r="J61" s="279">
        <f>'Initial unit rates'!J190</f>
        <v>1.8443681581997513E-2</v>
      </c>
      <c r="K61" s="279">
        <f>'Initial unit rates'!K190</f>
        <v>1.8443681581997513E-2</v>
      </c>
      <c r="L61" s="279">
        <f>'Initial unit rates'!L190</f>
        <v>1.6131197389474727E-2</v>
      </c>
      <c r="M61" s="279">
        <f>'Initial unit rates'!M190</f>
        <v>1.6131197389474727E-2</v>
      </c>
      <c r="N61" s="279">
        <f>'Initial unit rates'!N190</f>
        <v>1.3708989894163668E-2</v>
      </c>
      <c r="O61" s="279">
        <f>'Initial unit rates'!O190</f>
        <v>0</v>
      </c>
      <c r="P61" s="279">
        <f>'Initial unit rates'!P190</f>
        <v>0</v>
      </c>
      <c r="Q61" s="279">
        <f>'Initial unit rates'!Q190</f>
        <v>1.4577175700495716E-2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378</v>
      </c>
      <c r="G62" s="23" t="s">
        <v>271</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379</v>
      </c>
      <c r="G63" s="37" t="s">
        <v>271</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624</v>
      </c>
      <c r="J65" s="89"/>
      <c r="K65" s="89"/>
      <c r="L65" s="89"/>
      <c r="M65" s="89"/>
      <c r="N65" s="89"/>
      <c r="O65" s="89"/>
      <c r="P65" s="89"/>
      <c r="Q65" s="89"/>
      <c r="R65" s="89"/>
      <c r="S65" s="89"/>
      <c r="T65" s="89"/>
      <c r="U65" s="89"/>
      <c r="V65" s="89"/>
      <c r="W65" s="89"/>
      <c r="X65" s="89"/>
      <c r="Y65" s="89"/>
    </row>
    <row r="66" spans="3:27" x14ac:dyDescent="0.3">
      <c r="D66"/>
      <c r="F66" s="23" t="s">
        <v>191</v>
      </c>
      <c r="G66" s="23" t="s">
        <v>271</v>
      </c>
      <c r="H66" s="266"/>
      <c r="I66" s="266"/>
      <c r="J66" s="278">
        <f>'Initial unit rates'!J193</f>
        <v>2.3671201295510782E-2</v>
      </c>
      <c r="K66" s="278">
        <f>'Initial unit rates'!K193</f>
        <v>2.3671201295510782E-2</v>
      </c>
      <c r="L66" s="278">
        <f>'Initial unit rates'!L193</f>
        <v>2.0703286317661485E-2</v>
      </c>
      <c r="M66" s="278">
        <f>'Initial unit rates'!M193</f>
        <v>2.0703286317661485E-2</v>
      </c>
      <c r="N66" s="278">
        <f>'Initial unit rates'!N193</f>
        <v>1.759454900043475E-2</v>
      </c>
      <c r="O66" s="278">
        <f>'Initial unit rates'!O193</f>
        <v>1.6116002409691087E-2</v>
      </c>
      <c r="P66" s="278">
        <f>'Initial unit rates'!P193</f>
        <v>1.4187336672625834E-2</v>
      </c>
      <c r="Q66" s="278">
        <f>'Initial unit rates'!Q193</f>
        <v>3.6329318717386434E-2</v>
      </c>
      <c r="R66" s="278">
        <f>'Initial unit rates'!R193</f>
        <v>-1.445630397089947E-2</v>
      </c>
      <c r="S66" s="278">
        <f>'Initial unit rates'!S193</f>
        <v>-1.4066319956800787E-2</v>
      </c>
      <c r="T66" s="278">
        <f>'Initial unit rates'!T193</f>
        <v>-1.445630397089947E-2</v>
      </c>
      <c r="U66" s="278">
        <f>'Initial unit rates'!U193</f>
        <v>-1.445630397089947E-2</v>
      </c>
      <c r="V66" s="278">
        <f>'Initial unit rates'!V193</f>
        <v>-1.4066319956800787E-2</v>
      </c>
      <c r="W66" s="278">
        <f>'Initial unit rates'!W193</f>
        <v>-1.4066319956800787E-2</v>
      </c>
      <c r="X66" s="278">
        <f>'Initial unit rates'!X193</f>
        <v>-1.3904947261311675E-2</v>
      </c>
      <c r="Y66" s="278">
        <f>'Initial unit rates'!Y193</f>
        <v>-1.3904947261311675E-2</v>
      </c>
      <c r="Z66" s="267"/>
      <c r="AA66" s="267"/>
    </row>
    <row r="67" spans="3:27" x14ac:dyDescent="0.3">
      <c r="D67"/>
      <c r="F67" t="s">
        <v>193</v>
      </c>
      <c r="G67" t="s">
        <v>271</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194</v>
      </c>
      <c r="G68" t="s">
        <v>271</v>
      </c>
      <c r="H68" s="267"/>
      <c r="I68" s="267"/>
      <c r="J68" s="279">
        <f>'Initial unit rates'!J195</f>
        <v>6.8009204169185225E-2</v>
      </c>
      <c r="K68" s="279">
        <f>'Initial unit rates'!K195</f>
        <v>6.8009204169185225E-2</v>
      </c>
      <c r="L68" s="279">
        <f>'Initial unit rates'!L195</f>
        <v>5.948215338010613E-2</v>
      </c>
      <c r="M68" s="279">
        <f>'Initial unit rates'!M195</f>
        <v>5.948215338010613E-2</v>
      </c>
      <c r="N68" s="279">
        <f>'Initial unit rates'!N195</f>
        <v>5.05505090467138E-2</v>
      </c>
      <c r="O68" s="279">
        <f>'Initial unit rates'!O195</f>
        <v>4.6302529583896711E-2</v>
      </c>
      <c r="P68" s="279">
        <f>'Initial unit rates'!P195</f>
        <v>4.0761322771082423E-2</v>
      </c>
      <c r="Q68" s="279">
        <f>'Initial unit rates'!Q195</f>
        <v>5.8715118844340976E-2</v>
      </c>
      <c r="R68" s="279">
        <f>'Initial unit rates'!R195</f>
        <v>-4.1534086758628554E-2</v>
      </c>
      <c r="S68" s="279">
        <f>'Initial unit rates'!S195</f>
        <v>-4.0413632325139962E-2</v>
      </c>
      <c r="T68" s="279">
        <f>'Initial unit rates'!T195</f>
        <v>-4.1534086758628554E-2</v>
      </c>
      <c r="U68" s="279">
        <f>'Initial unit rates'!U195</f>
        <v>-4.1534086758628554E-2</v>
      </c>
      <c r="V68" s="279">
        <f>'Initial unit rates'!V195</f>
        <v>-4.0413632325139962E-2</v>
      </c>
      <c r="W68" s="279">
        <f>'Initial unit rates'!W195</f>
        <v>-4.0413632325139962E-2</v>
      </c>
      <c r="X68" s="279">
        <f>'Initial unit rates'!X195</f>
        <v>-3.9949996007834339E-2</v>
      </c>
      <c r="Y68" s="279">
        <f>'Initial unit rates'!Y195</f>
        <v>-3.9949996007834339E-2</v>
      </c>
      <c r="Z68" s="267"/>
      <c r="AA68" s="267"/>
    </row>
    <row r="69" spans="3:27" x14ac:dyDescent="0.3">
      <c r="D69"/>
      <c r="F69" t="s">
        <v>195</v>
      </c>
      <c r="G69" t="s">
        <v>271</v>
      </c>
      <c r="H69" s="267"/>
      <c r="I69" s="267"/>
      <c r="J69" s="279">
        <f>'Initial unit rates'!J196</f>
        <v>3.5534174586649016E-2</v>
      </c>
      <c r="K69" s="279">
        <f>'Initial unit rates'!K196</f>
        <v>3.5534174586649016E-2</v>
      </c>
      <c r="L69" s="279">
        <f>'Initial unit rates'!L196</f>
        <v>3.107887011499855E-2</v>
      </c>
      <c r="M69" s="279">
        <f>'Initial unit rates'!M196</f>
        <v>3.107887011499855E-2</v>
      </c>
      <c r="N69" s="279">
        <f>'Initial unit rates'!N196</f>
        <v>2.6412169291694099E-2</v>
      </c>
      <c r="O69" s="279">
        <f>'Initial unit rates'!O196</f>
        <v>2.4192639660135257E-2</v>
      </c>
      <c r="P69" s="279">
        <f>'Initial unit rates'!P196</f>
        <v>2.1297410805266707E-2</v>
      </c>
      <c r="Q69" s="279">
        <f>'Initial unit rates'!Q196</f>
        <v>3.0678101727236444E-2</v>
      </c>
      <c r="R69" s="279">
        <f>'Initial unit rates'!R196</f>
        <v>-2.1701172778123032E-2</v>
      </c>
      <c r="S69" s="279">
        <f>'Initial unit rates'!S196</f>
        <v>-2.111574579155041E-2</v>
      </c>
      <c r="T69" s="279">
        <f>'Initial unit rates'!T196</f>
        <v>-2.1701172778123032E-2</v>
      </c>
      <c r="U69" s="279">
        <f>'Initial unit rates'!U196</f>
        <v>-2.1701172778123032E-2</v>
      </c>
      <c r="V69" s="279">
        <f>'Initial unit rates'!V196</f>
        <v>-2.111574579155041E-2</v>
      </c>
      <c r="W69" s="279">
        <f>'Initial unit rates'!W196</f>
        <v>-2.111574579155041E-2</v>
      </c>
      <c r="X69" s="279">
        <f>'Initial unit rates'!X196</f>
        <v>-2.0873500141934155E-2</v>
      </c>
      <c r="Y69" s="279">
        <f>'Initial unit rates'!Y196</f>
        <v>-2.0873500141934155E-2</v>
      </c>
      <c r="Z69" s="267"/>
      <c r="AA69" s="267"/>
    </row>
    <row r="70" spans="3:27" x14ac:dyDescent="0.3">
      <c r="D70"/>
      <c r="F70" t="s">
        <v>196</v>
      </c>
      <c r="G70" t="s">
        <v>271</v>
      </c>
      <c r="H70" s="267"/>
      <c r="I70" s="267"/>
      <c r="J70" s="279">
        <f>'Initial unit rates'!J197</f>
        <v>5.7049566139392632E-2</v>
      </c>
      <c r="K70" s="279">
        <f>'Initial unit rates'!K197</f>
        <v>5.7049566139392632E-2</v>
      </c>
      <c r="L70" s="279">
        <f>'Initial unit rates'!L197</f>
        <v>4.9896643914992531E-2</v>
      </c>
      <c r="M70" s="279">
        <f>'Initial unit rates'!M197</f>
        <v>4.9896643914992531E-2</v>
      </c>
      <c r="N70" s="279">
        <f>'Initial unit rates'!N197</f>
        <v>4.2404328126914678E-2</v>
      </c>
      <c r="O70" s="279">
        <f>'Initial unit rates'!O197</f>
        <v>3.8840907729877139E-2</v>
      </c>
      <c r="P70" s="279">
        <f>'Initial unit rates'!P197</f>
        <v>3.4192662710375264E-2</v>
      </c>
      <c r="Q70" s="279">
        <f>'Initial unit rates'!Q197</f>
        <v>4.5089780234695967E-2</v>
      </c>
      <c r="R70" s="279">
        <f>'Initial unit rates'!R197</f>
        <v>-3.484089629517037E-2</v>
      </c>
      <c r="S70" s="279">
        <f>'Initial unit rates'!S197</f>
        <v>-3.3901002348602979E-2</v>
      </c>
      <c r="T70" s="279">
        <f>'Initial unit rates'!T197</f>
        <v>-3.484089629517037E-2</v>
      </c>
      <c r="U70" s="279">
        <f>'Initial unit rates'!U197</f>
        <v>-3.484089629517037E-2</v>
      </c>
      <c r="V70" s="279">
        <f>'Initial unit rates'!V197</f>
        <v>-3.3901002348602979E-2</v>
      </c>
      <c r="W70" s="279">
        <f>'Initial unit rates'!W197</f>
        <v>-3.3901002348602979E-2</v>
      </c>
      <c r="X70" s="279">
        <f>'Initial unit rates'!X197</f>
        <v>-3.3512080715540619E-2</v>
      </c>
      <c r="Y70" s="279">
        <f>'Initial unit rates'!Y197</f>
        <v>-3.3512080715540619E-2</v>
      </c>
      <c r="Z70" s="267"/>
      <c r="AA70" s="267"/>
    </row>
    <row r="71" spans="3:27" x14ac:dyDescent="0.3">
      <c r="D71"/>
      <c r="F71" t="s">
        <v>197</v>
      </c>
      <c r="G71" t="s">
        <v>271</v>
      </c>
      <c r="H71" s="267"/>
      <c r="I71" s="267"/>
      <c r="J71" s="279">
        <f>'Initial unit rates'!J198</f>
        <v>9.1776457630957625E-2</v>
      </c>
      <c r="K71" s="279">
        <f>'Initial unit rates'!K198</f>
        <v>9.1776457630957625E-2</v>
      </c>
      <c r="L71" s="279">
        <f>'Initial unit rates'!L198</f>
        <v>8.0269448763244253E-2</v>
      </c>
      <c r="M71" s="279">
        <f>'Initial unit rates'!M198</f>
        <v>8.0269448763244253E-2</v>
      </c>
      <c r="N71" s="279">
        <f>'Initial unit rates'!N198</f>
        <v>6.82164525879152E-2</v>
      </c>
      <c r="O71" s="279">
        <f>'Initial unit rates'!O198</f>
        <v>6.2483926940113885E-2</v>
      </c>
      <c r="P71" s="279">
        <f>'Initial unit rates'!P198</f>
        <v>5.5006228318387508E-2</v>
      </c>
      <c r="Q71" s="279">
        <f>'Initial unit rates'!Q198</f>
        <v>7.2536578020377926E-2</v>
      </c>
      <c r="R71" s="279">
        <f>'Initial unit rates'!R198</f>
        <v>-5.6049051010229722E-2</v>
      </c>
      <c r="S71" s="279">
        <f>'Initial unit rates'!S198</f>
        <v>-5.4537030099256083E-2</v>
      </c>
      <c r="T71" s="279">
        <f>'Initial unit rates'!T198</f>
        <v>-5.6049051010229722E-2</v>
      </c>
      <c r="U71" s="279">
        <f>'Initial unit rates'!U198</f>
        <v>-5.6049051010229722E-2</v>
      </c>
      <c r="V71" s="279">
        <f>'Initial unit rates'!V198</f>
        <v>-5.4537030099256083E-2</v>
      </c>
      <c r="W71" s="279">
        <f>'Initial unit rates'!W198</f>
        <v>-5.4537030099256083E-2</v>
      </c>
      <c r="X71" s="279">
        <f>'Initial unit rates'!X198</f>
        <v>-5.3911366274025617E-2</v>
      </c>
      <c r="Y71" s="279">
        <f>'Initial unit rates'!Y198</f>
        <v>-5.3911366274025617E-2</v>
      </c>
      <c r="Z71" s="267"/>
      <c r="AA71" s="267"/>
    </row>
    <row r="72" spans="3:27" x14ac:dyDescent="0.3">
      <c r="D72"/>
      <c r="F72" t="s">
        <v>198</v>
      </c>
      <c r="G72" t="s">
        <v>271</v>
      </c>
      <c r="H72" s="267"/>
      <c r="I72" s="267"/>
      <c r="J72" s="279">
        <f>'Initial unit rates'!J199</f>
        <v>5.9465978804113624E-3</v>
      </c>
      <c r="K72" s="279">
        <f>'Initial unit rates'!K199</f>
        <v>5.9465978804113624E-3</v>
      </c>
      <c r="L72" s="279">
        <f>'Initial unit rates'!L199</f>
        <v>5.20100847427223E-3</v>
      </c>
      <c r="M72" s="279">
        <f>'Initial unit rates'!M199</f>
        <v>5.20100847427223E-3</v>
      </c>
      <c r="N72" s="279">
        <f>'Initial unit rates'!N199</f>
        <v>4.4200421637503335E-3</v>
      </c>
      <c r="O72" s="279">
        <f>'Initial unit rates'!O199</f>
        <v>4.0486067679357069E-3</v>
      </c>
      <c r="P72" s="279">
        <f>'Initial unit rates'!P199</f>
        <v>3.5640939863123547E-3</v>
      </c>
      <c r="Q72" s="279">
        <f>'Initial unit rates'!Q199</f>
        <v>5.1339404060555156E-3</v>
      </c>
      <c r="R72" s="279">
        <f>'Initial unit rates'!R199</f>
        <v>-3.6316630270993681E-3</v>
      </c>
      <c r="S72" s="279">
        <f>'Initial unit rates'!S199</f>
        <v>-3.5336925826473849E-3</v>
      </c>
      <c r="T72" s="279">
        <f>'Initial unit rates'!T199</f>
        <v>-3.6316630270993681E-3</v>
      </c>
      <c r="U72" s="279">
        <f>'Initial unit rates'!U199</f>
        <v>-3.6316630270993681E-3</v>
      </c>
      <c r="V72" s="279">
        <f>'Initial unit rates'!V199</f>
        <v>-3.5336925826473849E-3</v>
      </c>
      <c r="W72" s="279">
        <f>'Initial unit rates'!W199</f>
        <v>-3.5336925826473849E-3</v>
      </c>
      <c r="X72" s="279">
        <f>'Initial unit rates'!X199</f>
        <v>-3.493153088391392E-3</v>
      </c>
      <c r="Y72" s="279">
        <f>'Initial unit rates'!Y199</f>
        <v>-3.493153088391392E-3</v>
      </c>
      <c r="Z72" s="267"/>
      <c r="AA72" s="267"/>
    </row>
    <row r="73" spans="3:27" x14ac:dyDescent="0.3">
      <c r="D73"/>
      <c r="F73" t="s">
        <v>199</v>
      </c>
      <c r="G73" t="s">
        <v>271</v>
      </c>
      <c r="H73" s="267"/>
      <c r="I73" s="267"/>
      <c r="J73" s="279">
        <f>'Initial unit rates'!J200</f>
        <v>0.21143724534335595</v>
      </c>
      <c r="K73" s="279">
        <f>'Initial unit rates'!K200</f>
        <v>0.21143724534335595</v>
      </c>
      <c r="L73" s="279">
        <f>'Initial unit rates'!L200</f>
        <v>0.18492706702601167</v>
      </c>
      <c r="M73" s="279">
        <f>'Initial unit rates'!M200</f>
        <v>0.18492706702601167</v>
      </c>
      <c r="N73" s="279">
        <f>'Initial unit rates'!N200</f>
        <v>0.15715902743035448</v>
      </c>
      <c r="O73" s="279">
        <f>'Initial unit rates'!O200</f>
        <v>0.14395226980297798</v>
      </c>
      <c r="P73" s="279">
        <f>'Initial unit rates'!P200</f>
        <v>0.12672493243457297</v>
      </c>
      <c r="Q73" s="279">
        <f>'Initial unit rates'!Q200</f>
        <v>0.16711185677849419</v>
      </c>
      <c r="R73" s="279">
        <f>'Initial unit rates'!R200</f>
        <v>-0.12912741737500597</v>
      </c>
      <c r="S73" s="279">
        <f>'Initial unit rates'!S200</f>
        <v>-0.12564398006907559</v>
      </c>
      <c r="T73" s="279">
        <f>'Initial unit rates'!T200</f>
        <v>-0.12912741737500597</v>
      </c>
      <c r="U73" s="279">
        <f>'Initial unit rates'!U200</f>
        <v>-0.12912741737500597</v>
      </c>
      <c r="V73" s="279">
        <f>'Initial unit rates'!V200</f>
        <v>-0.12564398006907559</v>
      </c>
      <c r="W73" s="279">
        <f>'Initial unit rates'!W200</f>
        <v>-0.12564398006907559</v>
      </c>
      <c r="X73" s="279">
        <f>'Initial unit rates'!X200</f>
        <v>0</v>
      </c>
      <c r="Y73" s="279">
        <f>'Initial unit rates'!Y200</f>
        <v>0</v>
      </c>
      <c r="Z73" s="267"/>
      <c r="AA73" s="267"/>
    </row>
    <row r="74" spans="3:27" x14ac:dyDescent="0.3">
      <c r="D74"/>
      <c r="F74" t="s">
        <v>200</v>
      </c>
      <c r="G74" t="s">
        <v>271</v>
      </c>
      <c r="H74" s="267"/>
      <c r="I74" s="267"/>
      <c r="J74" s="279">
        <f>'Initial unit rates'!J201</f>
        <v>9.6785851861597147E-2</v>
      </c>
      <c r="K74" s="279">
        <f>'Initial unit rates'!K201</f>
        <v>9.6785851861597147E-2</v>
      </c>
      <c r="L74" s="279">
        <f>'Initial unit rates'!L201</f>
        <v>8.465076096367917E-2</v>
      </c>
      <c r="M74" s="279">
        <f>'Initial unit rates'!M201</f>
        <v>8.465076096367917E-2</v>
      </c>
      <c r="N74" s="279">
        <f>'Initial unit rates'!N201</f>
        <v>7.1939881371827302E-2</v>
      </c>
      <c r="O74" s="279">
        <f>'Initial unit rates'!O201</f>
        <v>6.5894459784823806E-2</v>
      </c>
      <c r="P74" s="279">
        <f>'Initial unit rates'!P201</f>
        <v>0</v>
      </c>
      <c r="Q74" s="279">
        <f>'Initial unit rates'!Q201</f>
        <v>7.6495810320525534E-2</v>
      </c>
      <c r="R74" s="279">
        <f>'Initial unit rates'!R201</f>
        <v>-5.9108351837599611E-2</v>
      </c>
      <c r="S74" s="279">
        <f>'Initial unit rates'!S201</f>
        <v>0</v>
      </c>
      <c r="T74" s="279">
        <f>'Initial unit rates'!T201</f>
        <v>-5.9108351837599611E-2</v>
      </c>
      <c r="U74" s="279">
        <f>'Initial unit rates'!U201</f>
        <v>-5.9108351837599611E-2</v>
      </c>
      <c r="V74" s="279">
        <f>'Initial unit rates'!V201</f>
        <v>0</v>
      </c>
      <c r="W74" s="279">
        <f>'Initial unit rates'!W201</f>
        <v>0</v>
      </c>
      <c r="X74" s="279">
        <f>'Initial unit rates'!X201</f>
        <v>0</v>
      </c>
      <c r="Y74" s="279">
        <f>'Initial unit rates'!Y201</f>
        <v>0</v>
      </c>
      <c r="Z74" s="267"/>
      <c r="AA74" s="267"/>
    </row>
    <row r="75" spans="3:27" x14ac:dyDescent="0.3">
      <c r="D75"/>
      <c r="F75" t="s">
        <v>201</v>
      </c>
      <c r="G75" t="s">
        <v>271</v>
      </c>
      <c r="H75" s="267"/>
      <c r="I75" s="267"/>
      <c r="J75" s="279">
        <f>'Initial unit rates'!J202</f>
        <v>0.19291419788431977</v>
      </c>
      <c r="K75" s="279">
        <f>'Initial unit rates'!K202</f>
        <v>0.19291419788431977</v>
      </c>
      <c r="L75" s="279">
        <f>'Initial unit rates'!L202</f>
        <v>0.16872645471941164</v>
      </c>
      <c r="M75" s="279">
        <f>'Initial unit rates'!M202</f>
        <v>0.16872645471941164</v>
      </c>
      <c r="N75" s="279">
        <f>'Initial unit rates'!N202</f>
        <v>0.14339104573450376</v>
      </c>
      <c r="O75" s="279">
        <f>'Initial unit rates'!O202</f>
        <v>0</v>
      </c>
      <c r="P75" s="279">
        <f>'Initial unit rates'!P202</f>
        <v>0</v>
      </c>
      <c r="Q75" s="279">
        <f>'Initial unit rates'!Q202</f>
        <v>0.15247195334497657</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378</v>
      </c>
      <c r="G76" s="23" t="s">
        <v>271</v>
      </c>
      <c r="H76" s="266"/>
      <c r="I76" s="266" t="s">
        <v>156</v>
      </c>
      <c r="J76" s="280"/>
      <c r="K76" s="280"/>
      <c r="L76" s="280"/>
      <c r="M76" s="280"/>
      <c r="N76" s="280"/>
      <c r="O76" s="280"/>
      <c r="P76" s="280"/>
      <c r="Q76" s="278">
        <f>'Service model charges'!$Q$44</f>
        <v>0.80418066162481627</v>
      </c>
      <c r="R76" s="280"/>
      <c r="S76" s="280"/>
      <c r="T76" s="280"/>
      <c r="U76" s="280"/>
      <c r="V76" s="280"/>
      <c r="W76" s="280"/>
      <c r="X76" s="280"/>
      <c r="Y76" s="280"/>
      <c r="Z76" s="267"/>
      <c r="AA76" s="267" t="s">
        <v>656</v>
      </c>
    </row>
    <row r="77" spans="3:27" x14ac:dyDescent="0.3">
      <c r="D77"/>
      <c r="F77" s="37" t="s">
        <v>379</v>
      </c>
      <c r="G77" s="37" t="s">
        <v>271</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623</v>
      </c>
      <c r="J81" s="89"/>
      <c r="K81" s="89"/>
      <c r="L81" s="89"/>
      <c r="M81" s="89"/>
      <c r="N81" s="89"/>
      <c r="O81" s="89"/>
      <c r="P81" s="89"/>
      <c r="Q81" s="89"/>
      <c r="R81" s="89"/>
      <c r="S81" s="89"/>
      <c r="T81" s="89"/>
      <c r="U81" s="89"/>
      <c r="V81" s="89"/>
      <c r="W81" s="89"/>
      <c r="X81" s="89"/>
      <c r="Y81" s="89"/>
    </row>
    <row r="82" spans="4:27" x14ac:dyDescent="0.3">
      <c r="D82"/>
      <c r="F82" s="23" t="s">
        <v>191</v>
      </c>
      <c r="G82" s="23" t="s">
        <v>271</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193</v>
      </c>
      <c r="G83" t="s">
        <v>271</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194</v>
      </c>
      <c r="G84" t="s">
        <v>271</v>
      </c>
      <c r="H84" s="267"/>
      <c r="I84" s="267"/>
      <c r="J84" s="279">
        <f>'Initial unit rates'!J212</f>
        <v>7.5757189040848265E-3</v>
      </c>
      <c r="K84" s="279">
        <f>'Initial unit rates'!K212</f>
        <v>7.5757189040848265E-3</v>
      </c>
      <c r="L84" s="279">
        <f>'Initial unit rates'!L212</f>
        <v>6.6258689440967999E-3</v>
      </c>
      <c r="M84" s="279">
        <f>'Initial unit rates'!M212</f>
        <v>6.6258689440967999E-3</v>
      </c>
      <c r="N84" s="279">
        <f>'Initial unit rates'!N212</f>
        <v>5.630950276136552E-3</v>
      </c>
      <c r="O84" s="279">
        <f>'Initial unit rates'!O212</f>
        <v>5.1577569971713953E-3</v>
      </c>
      <c r="P84" s="279">
        <f>'Initial unit rates'!P212</f>
        <v>4.5405078216208131E-3</v>
      </c>
      <c r="Q84" s="279">
        <f>'Initial unit rates'!Q212</f>
        <v>6.5466075745394181E-3</v>
      </c>
      <c r="R84" s="279">
        <f>'Initial unit rates'!R212</f>
        <v>-4.6265879753347979E-3</v>
      </c>
      <c r="S84" s="279">
        <f>'Initial unit rates'!S212</f>
        <v>-4.5017776950699506E-3</v>
      </c>
      <c r="T84" s="279">
        <f>'Initial unit rates'!T212</f>
        <v>-4.6265879753347979E-3</v>
      </c>
      <c r="U84" s="279">
        <f>'Initial unit rates'!U212</f>
        <v>-4.6265879753347979E-3</v>
      </c>
      <c r="V84" s="279">
        <f>'Initial unit rates'!V212</f>
        <v>-4.5017776950699506E-3</v>
      </c>
      <c r="W84" s="279">
        <f>'Initial unit rates'!W212</f>
        <v>-4.5017776950699506E-3</v>
      </c>
      <c r="X84" s="279">
        <f>'Initial unit rates'!X212</f>
        <v>-4.450132061856911E-3</v>
      </c>
      <c r="Y84" s="279">
        <f>'Initial unit rates'!Y212</f>
        <v>-4.450132061856911E-3</v>
      </c>
      <c r="Z84" s="267"/>
      <c r="AA84" s="267"/>
    </row>
    <row r="85" spans="4:27" x14ac:dyDescent="0.3">
      <c r="D85"/>
      <c r="F85" t="s">
        <v>195</v>
      </c>
      <c r="G85" t="s">
        <v>271</v>
      </c>
      <c r="H85" s="267"/>
      <c r="I85" s="267"/>
      <c r="J85" s="279">
        <f>'Initial unit rates'!J213</f>
        <v>3.9582424385889202E-3</v>
      </c>
      <c r="K85" s="279">
        <f>'Initial unit rates'!K213</f>
        <v>3.9582424385889202E-3</v>
      </c>
      <c r="L85" s="279">
        <f>'Initial unit rates'!L213</f>
        <v>3.4619546975153512E-3</v>
      </c>
      <c r="M85" s="279">
        <f>'Initial unit rates'!M213</f>
        <v>3.4619546975153512E-3</v>
      </c>
      <c r="N85" s="279">
        <f>'Initial unit rates'!N213</f>
        <v>2.942118977060996E-3</v>
      </c>
      <c r="O85" s="279">
        <f>'Initial unit rates'!O213</f>
        <v>2.6948799041533415E-3</v>
      </c>
      <c r="P85" s="279">
        <f>'Initial unit rates'!P213</f>
        <v>2.3723729694608529E-3</v>
      </c>
      <c r="Q85" s="279">
        <f>'Initial unit rates'!Q213</f>
        <v>3.4205413715069711E-3</v>
      </c>
      <c r="R85" s="279">
        <f>'Initial unit rates'!R213</f>
        <v>-2.4173490465651953E-3</v>
      </c>
      <c r="S85" s="279">
        <f>'Initial unit rates'!S213</f>
        <v>-2.3521368397276228E-3</v>
      </c>
      <c r="T85" s="279">
        <f>'Initial unit rates'!T213</f>
        <v>-2.4173490465651953E-3</v>
      </c>
      <c r="U85" s="279">
        <f>'Initial unit rates'!U213</f>
        <v>-2.4173490465651953E-3</v>
      </c>
      <c r="V85" s="279">
        <f>'Initial unit rates'!V213</f>
        <v>-2.3521368397276228E-3</v>
      </c>
      <c r="W85" s="279">
        <f>'Initial unit rates'!W213</f>
        <v>-2.3521368397276228E-3</v>
      </c>
      <c r="X85" s="279">
        <f>'Initial unit rates'!X213</f>
        <v>-2.3251524782775929E-3</v>
      </c>
      <c r="Y85" s="279">
        <f>'Initial unit rates'!Y213</f>
        <v>-2.3251524782775929E-3</v>
      </c>
      <c r="Z85" s="267"/>
      <c r="AA85" s="267"/>
    </row>
    <row r="86" spans="4:27" x14ac:dyDescent="0.3">
      <c r="D86"/>
      <c r="F86" t="s">
        <v>196</v>
      </c>
      <c r="G86" t="s">
        <v>271</v>
      </c>
      <c r="H86" s="267"/>
      <c r="I86" s="267"/>
      <c r="J86" s="279">
        <f>'Initial unit rates'!J214</f>
        <v>6.7609131450947291E-3</v>
      </c>
      <c r="K86" s="279">
        <f>'Initial unit rates'!K214</f>
        <v>6.7609131450947291E-3</v>
      </c>
      <c r="L86" s="279">
        <f>'Initial unit rates'!L214</f>
        <v>5.9132242113239574E-3</v>
      </c>
      <c r="M86" s="279">
        <f>'Initial unit rates'!M214</f>
        <v>5.9132242113239574E-3</v>
      </c>
      <c r="N86" s="279">
        <f>'Initial unit rates'!N214</f>
        <v>5.0253139303754893E-3</v>
      </c>
      <c r="O86" s="279">
        <f>'Initial unit rates'!O214</f>
        <v>4.6030149115720087E-3</v>
      </c>
      <c r="P86" s="279">
        <f>'Initial unit rates'!P214</f>
        <v>3.7870618051031668E-3</v>
      </c>
      <c r="Q86" s="279">
        <f>'Initial unit rates'!Q214</f>
        <v>5.8424877911738161E-3</v>
      </c>
      <c r="R86" s="279">
        <f>'Initial unit rates'!R214</f>
        <v>-4.1289757256584708E-3</v>
      </c>
      <c r="S86" s="279">
        <f>'Initial unit rates'!S214</f>
        <v>-4.0175894037569855E-3</v>
      </c>
      <c r="T86" s="279">
        <f>'Initial unit rates'!T214</f>
        <v>-4.1289757256584708E-3</v>
      </c>
      <c r="U86" s="279">
        <f>'Initial unit rates'!U214</f>
        <v>-4.1289757256584708E-3</v>
      </c>
      <c r="V86" s="279">
        <f>'Initial unit rates'!V214</f>
        <v>-4.0175894037569855E-3</v>
      </c>
      <c r="W86" s="279">
        <f>'Initial unit rates'!W214</f>
        <v>-4.0175894037569855E-3</v>
      </c>
      <c r="X86" s="279">
        <f>'Initial unit rates'!X214</f>
        <v>-3.7116828824462563E-3</v>
      </c>
      <c r="Y86" s="279">
        <f>'Initial unit rates'!Y214</f>
        <v>-3.7116828824462563E-3</v>
      </c>
      <c r="Z86" s="267"/>
      <c r="AA86" s="267"/>
    </row>
    <row r="87" spans="4:27" x14ac:dyDescent="0.3">
      <c r="D87"/>
      <c r="F87" t="s">
        <v>197</v>
      </c>
      <c r="G87" t="s">
        <v>271</v>
      </c>
      <c r="H87" s="267"/>
      <c r="I87" s="267"/>
      <c r="J87" s="279">
        <f>'Initial unit rates'!J215</f>
        <v>1.0876378223302943E-2</v>
      </c>
      <c r="K87" s="279">
        <f>'Initial unit rates'!K215</f>
        <v>1.0876378223302943E-2</v>
      </c>
      <c r="L87" s="279">
        <f>'Initial unit rates'!L215</f>
        <v>9.512688842662315E-3</v>
      </c>
      <c r="M87" s="279">
        <f>'Initial unit rates'!M215</f>
        <v>9.512688842662315E-3</v>
      </c>
      <c r="N87" s="279">
        <f>'Initial unit rates'!N215</f>
        <v>8.0842948022860697E-3</v>
      </c>
      <c r="O87" s="279">
        <f>'Initial unit rates'!O215</f>
        <v>7.4049362965243433E-3</v>
      </c>
      <c r="P87" s="279">
        <f>'Initial unit rates'!P215</f>
        <v>4.2265697695858095E-3</v>
      </c>
      <c r="Q87" s="279">
        <f>'Initial unit rates'!Q215</f>
        <v>9.398894146116981E-3</v>
      </c>
      <c r="R87" s="279">
        <f>'Initial unit rates'!R215</f>
        <v>-6.642342639718829E-3</v>
      </c>
      <c r="S87" s="279">
        <f>'Initial unit rates'!S215</f>
        <v>-6.4631538615310654E-3</v>
      </c>
      <c r="T87" s="279">
        <f>'Initial unit rates'!T215</f>
        <v>-6.642342639718829E-3</v>
      </c>
      <c r="U87" s="279">
        <f>'Initial unit rates'!U215</f>
        <v>-6.642342639718829E-3</v>
      </c>
      <c r="V87" s="279">
        <f>'Initial unit rates'!V215</f>
        <v>-6.4631538615310654E-3</v>
      </c>
      <c r="W87" s="279">
        <f>'Initial unit rates'!W215</f>
        <v>-6.4631538615310654E-3</v>
      </c>
      <c r="X87" s="279">
        <f>'Initial unit rates'!X215</f>
        <v>-4.1424427359745995E-3</v>
      </c>
      <c r="Y87" s="279">
        <f>'Initial unit rates'!Y215</f>
        <v>-4.1424427359745995E-3</v>
      </c>
      <c r="Z87" s="267"/>
      <c r="AA87" s="267"/>
    </row>
    <row r="88" spans="4:27" x14ac:dyDescent="0.3">
      <c r="D88"/>
      <c r="F88" t="s">
        <v>198</v>
      </c>
      <c r="G88" t="s">
        <v>271</v>
      </c>
      <c r="H88" s="267"/>
      <c r="I88" s="267"/>
      <c r="J88" s="279">
        <f>'Initial unit rates'!J216</f>
        <v>6.6240672167775547E-4</v>
      </c>
      <c r="K88" s="279">
        <f>'Initial unit rates'!K216</f>
        <v>6.6240672167775547E-4</v>
      </c>
      <c r="L88" s="279">
        <f>'Initial unit rates'!L216</f>
        <v>5.793536139730651E-4</v>
      </c>
      <c r="M88" s="279">
        <f>'Initial unit rates'!M216</f>
        <v>5.793536139730651E-4</v>
      </c>
      <c r="N88" s="279">
        <f>'Initial unit rates'!N216</f>
        <v>4.9235978255936349E-4</v>
      </c>
      <c r="O88" s="279">
        <f>'Initial unit rates'!O216</f>
        <v>4.5098464541294095E-4</v>
      </c>
      <c r="P88" s="279">
        <f>'Initial unit rates'!P216</f>
        <v>2.5741181186722523E-4</v>
      </c>
      <c r="Q88" s="279">
        <f>'Initial unit rates'!Q216</f>
        <v>5.7242314775211216E-4</v>
      </c>
      <c r="R88" s="279">
        <f>'Initial unit rates'!R216</f>
        <v>-4.0454021751556415E-4</v>
      </c>
      <c r="S88" s="279">
        <f>'Initial unit rates'!S216</f>
        <v>-3.9362703955467921E-4</v>
      </c>
      <c r="T88" s="279">
        <f>'Initial unit rates'!T216</f>
        <v>-4.0454021751556415E-4</v>
      </c>
      <c r="U88" s="279">
        <f>'Initial unit rates'!U216</f>
        <v>-4.0454021751556415E-4</v>
      </c>
      <c r="V88" s="279">
        <f>'Initial unit rates'!V216</f>
        <v>-3.9362703955467921E-4</v>
      </c>
      <c r="W88" s="279">
        <f>'Initial unit rates'!W216</f>
        <v>-3.9362703955467921E-4</v>
      </c>
      <c r="X88" s="279">
        <f>'Initial unit rates'!X216</f>
        <v>-2.5228820257424561E-4</v>
      </c>
      <c r="Y88" s="279">
        <f>'Initial unit rates'!Y216</f>
        <v>-2.5228820257424561E-4</v>
      </c>
      <c r="Z88" s="267"/>
      <c r="AA88" s="267"/>
    </row>
    <row r="89" spans="4:27" x14ac:dyDescent="0.3">
      <c r="D89"/>
      <c r="F89" t="s">
        <v>199</v>
      </c>
      <c r="G89" t="s">
        <v>271</v>
      </c>
      <c r="H89" s="267"/>
      <c r="I89" s="267"/>
      <c r="J89" s="279">
        <f>'Initial unit rates'!J217</f>
        <v>1.3051514593627493E-2</v>
      </c>
      <c r="K89" s="279">
        <f>'Initial unit rates'!K217</f>
        <v>1.3051514593627493E-2</v>
      </c>
      <c r="L89" s="279">
        <f>'Initial unit rates'!L217</f>
        <v>1.1415104799191248E-2</v>
      </c>
      <c r="M89" s="279">
        <f>'Initial unit rates'!M217</f>
        <v>1.1415104799191248E-2</v>
      </c>
      <c r="N89" s="279">
        <f>'Initial unit rates'!N217</f>
        <v>9.7010502416291968E-3</v>
      </c>
      <c r="O89" s="279">
        <f>'Initial unit rates'!O217</f>
        <v>8.885828734045257E-3</v>
      </c>
      <c r="P89" s="279">
        <f>'Initial unit rates'!P217</f>
        <v>5.4389682612824225E-3</v>
      </c>
      <c r="Q89" s="279">
        <f>'Initial unit rates'!Q217</f>
        <v>1.1278552620502138E-2</v>
      </c>
      <c r="R89" s="279">
        <f>'Initial unit rates'!R217</f>
        <v>-7.970726111052583E-3</v>
      </c>
      <c r="S89" s="279">
        <f>'Initial unit rates'!S217</f>
        <v>-7.7557018717776755E-3</v>
      </c>
      <c r="T89" s="279">
        <f>'Initial unit rates'!T217</f>
        <v>-7.970726111052583E-3</v>
      </c>
      <c r="U89" s="279">
        <f>'Initial unit rates'!U217</f>
        <v>-7.970726111052583E-3</v>
      </c>
      <c r="V89" s="279">
        <f>'Initial unit rates'!V217</f>
        <v>-7.7557018717776755E-3</v>
      </c>
      <c r="W89" s="279">
        <f>'Initial unit rates'!W217</f>
        <v>-7.7557018717776755E-3</v>
      </c>
      <c r="X89" s="279">
        <f>'Initial unit rates'!X217</f>
        <v>0</v>
      </c>
      <c r="Y89" s="279">
        <f>'Initial unit rates'!Y217</f>
        <v>0</v>
      </c>
      <c r="Z89" s="267"/>
      <c r="AA89" s="267"/>
    </row>
    <row r="90" spans="4:27" x14ac:dyDescent="0.3">
      <c r="D90"/>
      <c r="F90" t="s">
        <v>200</v>
      </c>
      <c r="G90" t="s">
        <v>271</v>
      </c>
      <c r="H90" s="267"/>
      <c r="I90" s="267"/>
      <c r="J90" s="279">
        <f>'Initial unit rates'!J218</f>
        <v>3.3386547891250855E-3</v>
      </c>
      <c r="K90" s="279">
        <f>'Initial unit rates'!K218</f>
        <v>3.3386547891250855E-3</v>
      </c>
      <c r="L90" s="279">
        <f>'Initial unit rates'!L218</f>
        <v>2.9200514647390171E-3</v>
      </c>
      <c r="M90" s="279">
        <f>'Initial unit rates'!M218</f>
        <v>2.9200514647390171E-3</v>
      </c>
      <c r="N90" s="279">
        <f>'Initial unit rates'!N218</f>
        <v>2.4815861497463529E-3</v>
      </c>
      <c r="O90" s="279">
        <f>'Initial unit rates'!O218</f>
        <v>2.273047656304236E-3</v>
      </c>
      <c r="P90" s="279">
        <f>'Initial unit rates'!P218</f>
        <v>0</v>
      </c>
      <c r="Q90" s="279">
        <f>'Initial unit rates'!Q218</f>
        <v>2.8851206080882136E-3</v>
      </c>
      <c r="R90" s="279">
        <f>'Initial unit rates'!R218</f>
        <v>-2.0389589815471192E-3</v>
      </c>
      <c r="S90" s="279">
        <f>'Initial unit rates'!S218</f>
        <v>0</v>
      </c>
      <c r="T90" s="279">
        <f>'Initial unit rates'!T218</f>
        <v>-2.0389589815471192E-3</v>
      </c>
      <c r="U90" s="279">
        <f>'Initial unit rates'!U218</f>
        <v>-2.0389589815471192E-3</v>
      </c>
      <c r="V90" s="279">
        <f>'Initial unit rates'!V218</f>
        <v>0</v>
      </c>
      <c r="W90" s="279">
        <f>'Initial unit rates'!W218</f>
        <v>0</v>
      </c>
      <c r="X90" s="279">
        <f>'Initial unit rates'!X218</f>
        <v>0</v>
      </c>
      <c r="Y90" s="279">
        <f>'Initial unit rates'!Y218</f>
        <v>0</v>
      </c>
      <c r="Z90" s="267"/>
      <c r="AA90" s="267"/>
    </row>
    <row r="91" spans="4:27" x14ac:dyDescent="0.3">
      <c r="D91"/>
      <c r="F91" t="s">
        <v>201</v>
      </c>
      <c r="G91" t="s">
        <v>271</v>
      </c>
      <c r="H91" s="267"/>
      <c r="I91" s="267"/>
      <c r="J91" s="279">
        <f>'Initial unit rates'!J219</f>
        <v>1.4011262126494841E-3</v>
      </c>
      <c r="K91" s="279">
        <f>'Initial unit rates'!K219</f>
        <v>1.4011262126494841E-3</v>
      </c>
      <c r="L91" s="279">
        <f>'Initial unit rates'!L219</f>
        <v>1.2254518385243188E-3</v>
      </c>
      <c r="M91" s="279">
        <f>'Initial unit rates'!M219</f>
        <v>1.2254518385243188E-3</v>
      </c>
      <c r="N91" s="279">
        <f>'Initial unit rates'!N219</f>
        <v>1.0414420246990241E-3</v>
      </c>
      <c r="O91" s="279">
        <f>'Initial unit rates'!O219</f>
        <v>0</v>
      </c>
      <c r="P91" s="279">
        <f>'Initial unit rates'!P219</f>
        <v>0</v>
      </c>
      <c r="Q91" s="279">
        <f>'Initial unit rates'!Q219</f>
        <v>1.210792479598334E-3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378</v>
      </c>
      <c r="G92" s="23" t="s">
        <v>271</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379</v>
      </c>
      <c r="G93" s="37" t="s">
        <v>271</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624</v>
      </c>
      <c r="J95" s="89"/>
      <c r="K95" s="89"/>
      <c r="L95" s="89"/>
      <c r="M95" s="89"/>
      <c r="N95" s="89"/>
      <c r="O95" s="89"/>
      <c r="P95" s="89"/>
      <c r="Q95" s="89"/>
      <c r="R95" s="89"/>
      <c r="S95" s="89"/>
      <c r="T95" s="89"/>
      <c r="U95" s="89"/>
      <c r="V95" s="89"/>
      <c r="W95" s="89"/>
      <c r="X95" s="89"/>
      <c r="Y95" s="89"/>
    </row>
    <row r="96" spans="4:27" x14ac:dyDescent="0.3">
      <c r="D96"/>
      <c r="F96" s="23" t="s">
        <v>191</v>
      </c>
      <c r="G96" s="23" t="s">
        <v>271</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7"/>
      <c r="AA96" s="267"/>
    </row>
    <row r="97" spans="3:42" x14ac:dyDescent="0.3">
      <c r="D97"/>
      <c r="F97" t="s">
        <v>193</v>
      </c>
      <c r="G97" t="s">
        <v>271</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194</v>
      </c>
      <c r="G98" t="s">
        <v>271</v>
      </c>
      <c r="H98" s="267"/>
      <c r="I98" s="267"/>
      <c r="J98" s="279">
        <f>'Initial unit rates'!J224</f>
        <v>4.8562438183362647E-3</v>
      </c>
      <c r="K98" s="279">
        <f>'Initial unit rates'!K224</f>
        <v>4.8562438183362647E-3</v>
      </c>
      <c r="L98" s="279">
        <f>'Initial unit rates'!L224</f>
        <v>4.2473639146677657E-3</v>
      </c>
      <c r="M98" s="279">
        <f>'Initial unit rates'!M224</f>
        <v>4.2473639146677657E-3</v>
      </c>
      <c r="N98" s="279">
        <f>'Initial unit rates'!N224</f>
        <v>3.6095937317714433E-3</v>
      </c>
      <c r="O98" s="279">
        <f>'Initial unit rates'!O224</f>
        <v>3.3062638478427039E-3</v>
      </c>
      <c r="P98" s="279">
        <f>'Initial unit rates'!P224</f>
        <v>2.9105901789682671E-3</v>
      </c>
      <c r="Q98" s="279">
        <f>'Initial unit rates'!Q224</f>
        <v>4.1965552005616552E-3</v>
      </c>
      <c r="R98" s="279">
        <f>'Initial unit rates'!R224</f>
        <v>-2.9657699209369886E-3</v>
      </c>
      <c r="S98" s="279">
        <f>'Initial unit rates'!S224</f>
        <v>-2.8857631044651999E-3</v>
      </c>
      <c r="T98" s="279">
        <f>'Initial unit rates'!T224</f>
        <v>-2.9657699209369886E-3</v>
      </c>
      <c r="U98" s="279">
        <f>'Initial unit rates'!U224</f>
        <v>-2.9657699209369886E-3</v>
      </c>
      <c r="V98" s="279">
        <f>'Initial unit rates'!V224</f>
        <v>-2.8857631044651999E-3</v>
      </c>
      <c r="W98" s="279">
        <f>'Initial unit rates'!W224</f>
        <v>-2.8857631044651999E-3</v>
      </c>
      <c r="X98" s="279">
        <f>'Initial unit rates'!X224</f>
        <v>-2.8526568355803218E-3</v>
      </c>
      <c r="Y98" s="279">
        <f>'Initial unit rates'!Y224</f>
        <v>-2.8526568355803218E-3</v>
      </c>
      <c r="Z98" s="267"/>
      <c r="AA98" s="267"/>
    </row>
    <row r="99" spans="3:42" x14ac:dyDescent="0.3">
      <c r="D99"/>
      <c r="F99" t="s">
        <v>195</v>
      </c>
      <c r="G99" t="s">
        <v>271</v>
      </c>
      <c r="H99" s="267"/>
      <c r="I99" s="267"/>
      <c r="J99" s="279">
        <f>'Initial unit rates'!J225</f>
        <v>2.5373420816219975E-3</v>
      </c>
      <c r="K99" s="279">
        <f>'Initial unit rates'!K225</f>
        <v>2.5373420816219975E-3</v>
      </c>
      <c r="L99" s="279">
        <f>'Initial unit rates'!L225</f>
        <v>2.2192080133944837E-3</v>
      </c>
      <c r="M99" s="279">
        <f>'Initial unit rates'!M225</f>
        <v>2.2192080133944837E-3</v>
      </c>
      <c r="N99" s="279">
        <f>'Initial unit rates'!N225</f>
        <v>1.8859790438447213E-3</v>
      </c>
      <c r="O99" s="279">
        <f>'Initial unit rates'!O225</f>
        <v>1.7274920098535849E-3</v>
      </c>
      <c r="P99" s="279">
        <f>'Initial unit rates'!P225</f>
        <v>1.5207562098852815E-3</v>
      </c>
      <c r="Q99" s="279">
        <f>'Initial unit rates'!Q225</f>
        <v>2.1926609343685577E-3</v>
      </c>
      <c r="R99" s="279">
        <f>'Initial unit rates'!R225</f>
        <v>-1.5495871101834974E-3</v>
      </c>
      <c r="S99" s="279">
        <f>'Initial unit rates'!S225</f>
        <v>-1.507784295118082E-3</v>
      </c>
      <c r="T99" s="279">
        <f>'Initial unit rates'!T225</f>
        <v>-1.5495871101834974E-3</v>
      </c>
      <c r="U99" s="279">
        <f>'Initial unit rates'!U225</f>
        <v>-1.5495871101834974E-3</v>
      </c>
      <c r="V99" s="279">
        <f>'Initial unit rates'!V225</f>
        <v>-1.507784295118082E-3</v>
      </c>
      <c r="W99" s="279">
        <f>'Initial unit rates'!W225</f>
        <v>-1.507784295118082E-3</v>
      </c>
      <c r="X99" s="279">
        <f>'Initial unit rates'!X225</f>
        <v>-1.4904865785392897E-3</v>
      </c>
      <c r="Y99" s="279">
        <f>'Initial unit rates'!Y225</f>
        <v>-1.4904865785392897E-3</v>
      </c>
      <c r="Z99" s="267"/>
      <c r="AA99" s="267"/>
    </row>
    <row r="100" spans="3:42" x14ac:dyDescent="0.3">
      <c r="D100"/>
      <c r="F100" t="s">
        <v>196</v>
      </c>
      <c r="G100" t="s">
        <v>271</v>
      </c>
      <c r="H100" s="267"/>
      <c r="I100" s="267"/>
      <c r="J100" s="279">
        <f>'Initial unit rates'!J226</f>
        <v>4.3339309553145277E-3</v>
      </c>
      <c r="K100" s="279">
        <f>'Initial unit rates'!K226</f>
        <v>4.3339309553145277E-3</v>
      </c>
      <c r="L100" s="279">
        <f>'Initial unit rates'!L226</f>
        <v>3.7905390744097712E-3</v>
      </c>
      <c r="M100" s="279">
        <f>'Initial unit rates'!M226</f>
        <v>3.7905390744097712E-3</v>
      </c>
      <c r="N100" s="279">
        <f>'Initial unit rates'!N226</f>
        <v>3.2213642056368244E-3</v>
      </c>
      <c r="O100" s="279">
        <f>'Initial unit rates'!O226</f>
        <v>2.9506589398371544E-3</v>
      </c>
      <c r="P100" s="279">
        <f>'Initial unit rates'!P226</f>
        <v>2.5975419164984692E-3</v>
      </c>
      <c r="Q100" s="279">
        <f>'Initial unit rates'!Q226</f>
        <v>3.7451950869368286E-3</v>
      </c>
      <c r="R100" s="279">
        <f>'Initial unit rates'!R226</f>
        <v>-2.6467868063290703E-3</v>
      </c>
      <c r="S100" s="279">
        <f>'Initial unit rates'!S226</f>
        <v>-2.575385115739728E-3</v>
      </c>
      <c r="T100" s="279">
        <f>'Initial unit rates'!T226</f>
        <v>-2.6467868063290703E-3</v>
      </c>
      <c r="U100" s="279">
        <f>'Initial unit rates'!U226</f>
        <v>-2.6467868063290703E-3</v>
      </c>
      <c r="V100" s="279">
        <f>'Initial unit rates'!V226</f>
        <v>-2.575385115739728E-3</v>
      </c>
      <c r="W100" s="279">
        <f>'Initial unit rates'!W226</f>
        <v>-2.575385115739728E-3</v>
      </c>
      <c r="X100" s="279">
        <f>'Initial unit rates'!X226</f>
        <v>-2.5458395885993115E-3</v>
      </c>
      <c r="Y100" s="279">
        <f>'Initial unit rates'!Y226</f>
        <v>-2.5458395885993115E-3</v>
      </c>
      <c r="Z100" s="267"/>
      <c r="AA100" s="267"/>
    </row>
    <row r="101" spans="3:42" x14ac:dyDescent="0.3">
      <c r="D101"/>
      <c r="F101" t="s">
        <v>197</v>
      </c>
      <c r="G101" t="s">
        <v>271</v>
      </c>
      <c r="H101" s="267"/>
      <c r="I101" s="267"/>
      <c r="J101" s="279">
        <f>'Initial unit rates'!J227</f>
        <v>6.9720570656762937E-3</v>
      </c>
      <c r="K101" s="279">
        <f>'Initial unit rates'!K227</f>
        <v>6.9720570656762937E-3</v>
      </c>
      <c r="L101" s="279">
        <f>'Initial unit rates'!L227</f>
        <v>6.0978947308916618E-3</v>
      </c>
      <c r="M101" s="279">
        <f>'Initial unit rates'!M227</f>
        <v>6.0978947308916618E-3</v>
      </c>
      <c r="N101" s="279">
        <f>'Initial unit rates'!N227</f>
        <v>5.1822549326693097E-3</v>
      </c>
      <c r="O101" s="279">
        <f>'Initial unit rates'!O227</f>
        <v>4.7467674778403487E-3</v>
      </c>
      <c r="P101" s="279">
        <f>'Initial unit rates'!P227</f>
        <v>4.1787030432742954E-3</v>
      </c>
      <c r="Q101" s="279">
        <f>'Initial unit rates'!Q227</f>
        <v>6.0249492060306812E-3</v>
      </c>
      <c r="R101" s="279">
        <f>'Initial unit rates'!R227</f>
        <v>-4.2579240058673602E-3</v>
      </c>
      <c r="S101" s="279">
        <f>'Initial unit rates'!S227</f>
        <v>-4.14305907919745E-3</v>
      </c>
      <c r="T101" s="279">
        <f>'Initial unit rates'!T227</f>
        <v>-4.2579240058673602E-3</v>
      </c>
      <c r="U101" s="279">
        <f>'Initial unit rates'!U227</f>
        <v>-4.2579240058673602E-3</v>
      </c>
      <c r="V101" s="279">
        <f>'Initial unit rates'!V227</f>
        <v>-4.14305907919745E-3</v>
      </c>
      <c r="W101" s="279">
        <f>'Initial unit rates'!W227</f>
        <v>-4.14305907919745E-3</v>
      </c>
      <c r="X101" s="279">
        <f>'Initial unit rates'!X227</f>
        <v>-4.0955287647133501E-3</v>
      </c>
      <c r="Y101" s="279">
        <f>'Initial unit rates'!Y227</f>
        <v>-4.0955287647133501E-3</v>
      </c>
      <c r="Z101" s="267"/>
      <c r="AA101" s="267"/>
    </row>
    <row r="102" spans="3:42" x14ac:dyDescent="0.3">
      <c r="D102"/>
      <c r="F102" t="s">
        <v>198</v>
      </c>
      <c r="G102" t="s">
        <v>271</v>
      </c>
      <c r="H102" s="267"/>
      <c r="I102" s="267"/>
      <c r="J102" s="279">
        <f>'Initial unit rates'!J228</f>
        <v>4.2462089579874563E-4</v>
      </c>
      <c r="K102" s="279">
        <f>'Initial unit rates'!K228</f>
        <v>4.2462089579874563E-4</v>
      </c>
      <c r="L102" s="279">
        <f>'Initial unit rates'!L228</f>
        <v>3.7138157343330719E-4</v>
      </c>
      <c r="M102" s="279">
        <f>'Initial unit rates'!M228</f>
        <v>3.7138157343330719E-4</v>
      </c>
      <c r="N102" s="279">
        <f>'Initial unit rates'!N228</f>
        <v>3.1561613897290459E-4</v>
      </c>
      <c r="O102" s="279">
        <f>'Initial unit rates'!O228</f>
        <v>2.8909354005601627E-4</v>
      </c>
      <c r="P102" s="279">
        <f>'Initial unit rates'!P228</f>
        <v>2.5449657293359537E-4</v>
      </c>
      <c r="Q102" s="279">
        <f>'Initial unit rates'!Q228</f>
        <v>3.6693895430107623E-4</v>
      </c>
      <c r="R102" s="279">
        <f>'Initial unit rates'!R228</f>
        <v>-2.5932138658406187E-4</v>
      </c>
      <c r="S102" s="279">
        <f>'Initial unit rates'!S228</f>
        <v>-2.5232573987621273E-4</v>
      </c>
      <c r="T102" s="279">
        <f>'Initial unit rates'!T228</f>
        <v>-2.5932138658406187E-4</v>
      </c>
      <c r="U102" s="279">
        <f>'Initial unit rates'!U228</f>
        <v>-2.5932138658406187E-4</v>
      </c>
      <c r="V102" s="279">
        <f>'Initial unit rates'!V228</f>
        <v>-2.5232573987621273E-4</v>
      </c>
      <c r="W102" s="279">
        <f>'Initial unit rates'!W228</f>
        <v>-2.5232573987621273E-4</v>
      </c>
      <c r="X102" s="279">
        <f>'Initial unit rates'!X228</f>
        <v>-2.4943098951434414E-4</v>
      </c>
      <c r="Y102" s="279">
        <f>'Initial unit rates'!Y228</f>
        <v>-2.4943098951434414E-4</v>
      </c>
      <c r="Z102" s="267"/>
      <c r="AA102" s="267"/>
    </row>
    <row r="103" spans="3:42" x14ac:dyDescent="0.3">
      <c r="D103"/>
      <c r="F103" t="s">
        <v>199</v>
      </c>
      <c r="G103" t="s">
        <v>271</v>
      </c>
      <c r="H103" s="267"/>
      <c r="I103" s="267"/>
      <c r="J103" s="279">
        <f>'Initial unit rates'!J229</f>
        <v>1.6062425794107164E-2</v>
      </c>
      <c r="K103" s="279">
        <f>'Initial unit rates'!K229</f>
        <v>1.6062425794107164E-2</v>
      </c>
      <c r="L103" s="279">
        <f>'Initial unit rates'!L229</f>
        <v>1.4048505440011554E-2</v>
      </c>
      <c r="M103" s="279">
        <f>'Initial unit rates'!M229</f>
        <v>1.4048505440011554E-2</v>
      </c>
      <c r="N103" s="279">
        <f>'Initial unit rates'!N229</f>
        <v>1.1939028111507906E-2</v>
      </c>
      <c r="O103" s="279">
        <f>'Initial unit rates'!O229</f>
        <v>1.0935739575346699E-2</v>
      </c>
      <c r="P103" s="279">
        <f>'Initial unit rates'!P229</f>
        <v>9.6270163763630158E-3</v>
      </c>
      <c r="Q103" s="279">
        <f>'Initial unit rates'!Q229</f>
        <v>1.3880451439728058E-2</v>
      </c>
      <c r="R103" s="279">
        <f>'Initial unit rates'!R229</f>
        <v>-9.8095279107641483E-3</v>
      </c>
      <c r="S103" s="279">
        <f>'Initial unit rates'!S229</f>
        <v>-9.5448987857295817E-3</v>
      </c>
      <c r="T103" s="279">
        <f>'Initial unit rates'!T229</f>
        <v>-9.8095279107641483E-3</v>
      </c>
      <c r="U103" s="279">
        <f>'Initial unit rates'!U229</f>
        <v>-9.8095279107641483E-3</v>
      </c>
      <c r="V103" s="279">
        <f>'Initial unit rates'!V229</f>
        <v>-9.5448987857295817E-3</v>
      </c>
      <c r="W103" s="279">
        <f>'Initial unit rates'!W229</f>
        <v>-9.5448987857295817E-3</v>
      </c>
      <c r="X103" s="279">
        <f>'Initial unit rates'!X229</f>
        <v>0</v>
      </c>
      <c r="Y103" s="279">
        <f>'Initial unit rates'!Y229</f>
        <v>0</v>
      </c>
      <c r="Z103" s="267"/>
      <c r="AA103" s="267"/>
    </row>
    <row r="104" spans="3:42" x14ac:dyDescent="0.3">
      <c r="D104"/>
      <c r="F104" t="s">
        <v>200</v>
      </c>
      <c r="G104" t="s">
        <v>271</v>
      </c>
      <c r="H104" s="267"/>
      <c r="I104" s="267"/>
      <c r="J104" s="279">
        <f>'Initial unit rates'!J230</f>
        <v>7.3526098059109243E-3</v>
      </c>
      <c r="K104" s="279">
        <f>'Initial unit rates'!K230</f>
        <v>7.3526098059109243E-3</v>
      </c>
      <c r="L104" s="279">
        <f>'Initial unit rates'!L230</f>
        <v>6.4307334508911587E-3</v>
      </c>
      <c r="M104" s="279">
        <f>'Initial unit rates'!M230</f>
        <v>6.4307334508911587E-3</v>
      </c>
      <c r="N104" s="279">
        <f>'Initial unit rates'!N230</f>
        <v>5.4651156861950613E-3</v>
      </c>
      <c r="O104" s="279">
        <f>'Initial unit rates'!O230</f>
        <v>5.0058582101640599E-3</v>
      </c>
      <c r="P104" s="279">
        <f>'Initial unit rates'!P230</f>
        <v>0</v>
      </c>
      <c r="Q104" s="279">
        <f>'Initial unit rates'!Q230</f>
        <v>6.353806372363561E-3</v>
      </c>
      <c r="R104" s="279">
        <f>'Initial unit rates'!R230</f>
        <v>-4.4903324088508582E-3</v>
      </c>
      <c r="S104" s="279">
        <f>'Initial unit rates'!S230</f>
        <v>0</v>
      </c>
      <c r="T104" s="279">
        <f>'Initial unit rates'!T230</f>
        <v>-4.4903324088508582E-3</v>
      </c>
      <c r="U104" s="279">
        <f>'Initial unit rates'!U230</f>
        <v>-4.4903324088508582E-3</v>
      </c>
      <c r="V104" s="279">
        <f>'Initial unit rates'!V230</f>
        <v>0</v>
      </c>
      <c r="W104" s="279">
        <f>'Initial unit rates'!W230</f>
        <v>0</v>
      </c>
      <c r="X104" s="279">
        <f>'Initial unit rates'!X230</f>
        <v>0</v>
      </c>
      <c r="Y104" s="279">
        <f>'Initial unit rates'!Y230</f>
        <v>0</v>
      </c>
      <c r="Z104" s="267"/>
      <c r="AA104" s="267"/>
    </row>
    <row r="105" spans="3:42" x14ac:dyDescent="0.3">
      <c r="D105"/>
      <c r="F105" t="s">
        <v>201</v>
      </c>
      <c r="G105" t="s">
        <v>271</v>
      </c>
      <c r="H105" s="267"/>
      <c r="I105" s="267"/>
      <c r="J105" s="279">
        <f>'Initial unit rates'!J231</f>
        <v>1.4655270329097494E-2</v>
      </c>
      <c r="K105" s="279">
        <f>'Initial unit rates'!K231</f>
        <v>1.4655270329097494E-2</v>
      </c>
      <c r="L105" s="279">
        <f>'Initial unit rates'!L231</f>
        <v>1.2817780301820859E-2</v>
      </c>
      <c r="M105" s="279">
        <f>'Initial unit rates'!M231</f>
        <v>1.2817780301820859E-2</v>
      </c>
      <c r="N105" s="279">
        <f>'Initial unit rates'!N231</f>
        <v>1.0893104608460449E-2</v>
      </c>
      <c r="O105" s="279">
        <f>'Initial unit rates'!O231</f>
        <v>0</v>
      </c>
      <c r="P105" s="279">
        <f>'Initial unit rates'!P231</f>
        <v>0</v>
      </c>
      <c r="Q105" s="279">
        <f>'Initial unit rates'!Q231</f>
        <v>1.2664448741842887E-2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378</v>
      </c>
      <c r="G106" s="23" t="s">
        <v>271</v>
      </c>
      <c r="H106" s="266"/>
      <c r="I106" s="266" t="s">
        <v>156</v>
      </c>
      <c r="J106" s="280"/>
      <c r="K106" s="280"/>
      <c r="L106" s="280"/>
      <c r="M106" s="280"/>
      <c r="N106" s="280"/>
      <c r="O106" s="280"/>
      <c r="P106" s="280"/>
      <c r="Q106" s="278">
        <f>'Service model charges'!$Q$44</f>
        <v>0.80418066162481627</v>
      </c>
      <c r="R106" s="280"/>
      <c r="S106" s="280"/>
      <c r="T106" s="280"/>
      <c r="U106" s="280"/>
      <c r="V106" s="280"/>
      <c r="W106" s="280"/>
      <c r="X106" s="280"/>
      <c r="Y106" s="280"/>
      <c r="Z106" s="267"/>
      <c r="AA106" s="267" t="s">
        <v>656</v>
      </c>
    </row>
    <row r="107" spans="3:42" x14ac:dyDescent="0.3">
      <c r="D107"/>
      <c r="F107" s="37" t="s">
        <v>379</v>
      </c>
      <c r="G107" s="37" t="s">
        <v>271</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122</v>
      </c>
      <c r="H111" s="14"/>
      <c r="I111" t="s">
        <v>156</v>
      </c>
      <c r="J111" s="63"/>
      <c r="L111" s="63"/>
      <c r="AA111" t="s">
        <v>205</v>
      </c>
      <c r="AP111" s="3"/>
    </row>
    <row r="112" spans="3:42" x14ac:dyDescent="0.3">
      <c r="C112" s="32"/>
      <c r="D112"/>
      <c r="E112"/>
      <c r="F112" s="23" t="s">
        <v>193</v>
      </c>
      <c r="G112" s="23" t="s">
        <v>169</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194</v>
      </c>
      <c r="G113" t="s">
        <v>169</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1.5008868542263909E-2</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195</v>
      </c>
      <c r="G114" t="s">
        <v>169</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196</v>
      </c>
      <c r="G115" t="s">
        <v>169</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197</v>
      </c>
      <c r="G116" t="s">
        <v>169</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198</v>
      </c>
      <c r="G117" t="s">
        <v>169</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199</v>
      </c>
      <c r="G118" t="s">
        <v>169</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200</v>
      </c>
      <c r="G119" t="s">
        <v>169</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201</v>
      </c>
      <c r="G120" s="37" t="s">
        <v>169</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657</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156</v>
      </c>
      <c r="AA125" t="s">
        <v>658</v>
      </c>
    </row>
    <row r="126" spans="2:42" x14ac:dyDescent="0.3">
      <c r="E126" s="32" t="s">
        <v>623</v>
      </c>
    </row>
    <row r="127" spans="2:42" x14ac:dyDescent="0.3">
      <c r="F127" s="23" t="s">
        <v>191</v>
      </c>
      <c r="G127" s="23" t="s">
        <v>271</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193</v>
      </c>
      <c r="G128" t="s">
        <v>271</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194</v>
      </c>
      <c r="G129" t="s">
        <v>271</v>
      </c>
      <c r="H129" s="267"/>
      <c r="I129" s="267"/>
      <c r="J129" s="282">
        <f t="shared" ref="J129:K129" si="14">J24 * (1 - J$113)</f>
        <v>0.77510148798839484</v>
      </c>
      <c r="K129" s="282">
        <f t="shared" si="14"/>
        <v>0.77510148798839484</v>
      </c>
      <c r="L129" s="282">
        <f t="shared" ref="L129:M129" si="15">L24 * (1 - L$113)</f>
        <v>0.67791861641227813</v>
      </c>
      <c r="M129" s="282">
        <f t="shared" si="15"/>
        <v>0.67791861641227813</v>
      </c>
      <c r="N129" s="282">
        <f t="shared" ref="N129:P129" si="16">N24 * (1 - N$113)</f>
        <v>0.57612458871312344</v>
      </c>
      <c r="O129" s="282">
        <f t="shared" si="16"/>
        <v>0.5277103300433309</v>
      </c>
      <c r="P129" s="282">
        <f t="shared" si="16"/>
        <v>0.45758467091719901</v>
      </c>
      <c r="Q129" s="282">
        <f t="shared" ref="Q129:S129" si="17">Q24 * (1 - Q$113)</f>
        <v>1.8473262225177138</v>
      </c>
      <c r="R129" s="282">
        <f t="shared" si="17"/>
        <v>-0.47336434593126281</v>
      </c>
      <c r="S129" s="282">
        <f t="shared" si="17"/>
        <v>-0.4605945170642799</v>
      </c>
      <c r="T129" s="282">
        <f t="shared" ref="T129:U129" si="18">T24 * (1 - T$113)</f>
        <v>-0.47336434593126281</v>
      </c>
      <c r="U129" s="282">
        <f t="shared" si="18"/>
        <v>-0.47336434593126281</v>
      </c>
      <c r="V129" s="282">
        <f t="shared" ref="V129:W129" si="19">V24 * (1 - V$113)</f>
        <v>-0.4605945170642799</v>
      </c>
      <c r="W129" s="282">
        <f t="shared" si="19"/>
        <v>-0.4605945170642799</v>
      </c>
      <c r="X129" s="282">
        <f t="shared" ref="X129:Y129" si="20">X24 * (1 - X$113)</f>
        <v>-0.45531044994690761</v>
      </c>
      <c r="Y129" s="282">
        <f t="shared" si="20"/>
        <v>-0.45531044994690761</v>
      </c>
      <c r="Z129" s="267"/>
      <c r="AA129" s="267"/>
    </row>
    <row r="130" spans="4:27" x14ac:dyDescent="0.3">
      <c r="F130" t="s">
        <v>195</v>
      </c>
      <c r="G130" t="s">
        <v>271</v>
      </c>
      <c r="H130" s="267"/>
      <c r="I130" s="267"/>
      <c r="J130" s="282">
        <f t="shared" ref="J130:K130" si="21">J25 * (1 - J$114)</f>
        <v>0.40498329502627117</v>
      </c>
      <c r="K130" s="282">
        <f t="shared" si="21"/>
        <v>0.40498329502627117</v>
      </c>
      <c r="L130" s="282">
        <f t="shared" ref="L130:M130" si="22">L25 * (1 - L$114)</f>
        <v>0.35420615143807566</v>
      </c>
      <c r="M130" s="282">
        <f t="shared" si="22"/>
        <v>0.35420615143807566</v>
      </c>
      <c r="N130" s="282">
        <f t="shared" ref="N130:P130" si="23">N25 * (1 - N$114)</f>
        <v>0.30101972180214592</v>
      </c>
      <c r="O130" s="282">
        <f t="shared" si="23"/>
        <v>0.275723723399108</v>
      </c>
      <c r="P130" s="282">
        <f t="shared" si="23"/>
        <v>0.24272677510527194</v>
      </c>
      <c r="Q130" s="282">
        <f t="shared" ref="Q130:S130" si="24">Q25 * (1 - Q$114)</f>
        <v>0.96521071392248403</v>
      </c>
      <c r="R130" s="282">
        <f t="shared" si="24"/>
        <v>-0.24732845380122503</v>
      </c>
      <c r="S130" s="282">
        <f t="shared" si="24"/>
        <v>-0.24065633737309897</v>
      </c>
      <c r="T130" s="282">
        <f t="shared" ref="T130:U130" si="25">T25 * (1 - T$114)</f>
        <v>-0.24732845380122503</v>
      </c>
      <c r="U130" s="282">
        <f t="shared" si="25"/>
        <v>-0.24732845380122503</v>
      </c>
      <c r="V130" s="282">
        <f t="shared" ref="V130:W130" si="26">V25 * (1 - V$114)</f>
        <v>-0.24065633737309897</v>
      </c>
      <c r="W130" s="282">
        <f t="shared" si="26"/>
        <v>-0.24065633737309897</v>
      </c>
      <c r="X130" s="282">
        <f t="shared" ref="X130:Y130" si="27">X25 * (1 - X$114)</f>
        <v>-0.23789546160973649</v>
      </c>
      <c r="Y130" s="282">
        <f t="shared" si="27"/>
        <v>-0.23789546160973649</v>
      </c>
      <c r="Z130" s="267"/>
      <c r="AA130" s="267"/>
    </row>
    <row r="131" spans="4:27" x14ac:dyDescent="0.3">
      <c r="F131" t="s">
        <v>196</v>
      </c>
      <c r="G131" t="s">
        <v>271</v>
      </c>
      <c r="H131" s="267"/>
      <c r="I131" s="267"/>
      <c r="J131" s="282">
        <f t="shared" ref="J131:K131" si="28">J26 * (1 - J$115)</f>
        <v>0.4159798006954355</v>
      </c>
      <c r="K131" s="282">
        <f t="shared" si="28"/>
        <v>0.4159798006954355</v>
      </c>
      <c r="L131" s="282">
        <f t="shared" ref="L131:M131" si="29">L26 * (1 - L$115)</f>
        <v>0.36382390604716153</v>
      </c>
      <c r="M131" s="282">
        <f t="shared" si="29"/>
        <v>0.36382390604716153</v>
      </c>
      <c r="N131" s="282">
        <f t="shared" ref="N131:P131" si="30">N26 * (1 - N$115)</f>
        <v>0.309193306041251</v>
      </c>
      <c r="O131" s="282">
        <f t="shared" si="30"/>
        <v>0.28321044575214904</v>
      </c>
      <c r="P131" s="282">
        <f t="shared" si="30"/>
        <v>0.18640573320200984</v>
      </c>
      <c r="Q131" s="282">
        <f t="shared" ref="Q131:S131" si="31">Q26 * (1 - Q$115)</f>
        <v>1.0175824838185223</v>
      </c>
      <c r="R131" s="282">
        <f t="shared" si="31"/>
        <v>-0.2540441598013809</v>
      </c>
      <c r="S131" s="282">
        <f t="shared" si="31"/>
        <v>-0.24719087549045987</v>
      </c>
      <c r="T131" s="282">
        <f t="shared" ref="T131:U131" si="32">T26 * (1 - T$115)</f>
        <v>-0.2540441598013809</v>
      </c>
      <c r="U131" s="282">
        <f t="shared" si="32"/>
        <v>-0.2540441598013809</v>
      </c>
      <c r="V131" s="282">
        <f t="shared" ref="V131:W131" si="33">V26 * (1 - V$115)</f>
        <v>-0.24719087549045987</v>
      </c>
      <c r="W131" s="282">
        <f t="shared" si="33"/>
        <v>-0.24719087549045987</v>
      </c>
      <c r="X131" s="282">
        <f t="shared" ref="X131:Y131" si="34">X26 * (1 - X$115)</f>
        <v>-0.22836931529062268</v>
      </c>
      <c r="Y131" s="282">
        <f t="shared" si="34"/>
        <v>-0.22836931529062268</v>
      </c>
      <c r="Z131" s="267"/>
      <c r="AA131" s="267"/>
    </row>
    <row r="132" spans="4:27" x14ac:dyDescent="0.3">
      <c r="F132" t="s">
        <v>197</v>
      </c>
      <c r="G132" t="s">
        <v>271</v>
      </c>
      <c r="H132" s="267"/>
      <c r="I132" s="267"/>
      <c r="J132" s="282">
        <f t="shared" ref="J132:K132" si="35">J27 * (1 - J$116)</f>
        <v>0.66919268869772486</v>
      </c>
      <c r="K132" s="282">
        <f t="shared" si="35"/>
        <v>0.66919268869772486</v>
      </c>
      <c r="L132" s="282">
        <f t="shared" ref="L132:M132" si="36">L27 * (1 - L$116)</f>
        <v>0.5852887507835185</v>
      </c>
      <c r="M132" s="282">
        <f t="shared" si="36"/>
        <v>0.5852887507835185</v>
      </c>
      <c r="N132" s="282">
        <f t="shared" ref="N132:P132" si="37">N27 * (1 - N$116)</f>
        <v>0.49740371876512046</v>
      </c>
      <c r="O132" s="282">
        <f t="shared" si="37"/>
        <v>0.45560471768897925</v>
      </c>
      <c r="P132" s="282">
        <f t="shared" si="37"/>
        <v>0</v>
      </c>
      <c r="Q132" s="282">
        <f t="shared" ref="Q132:S132" si="38">Q27 * (1 - Q$116)</f>
        <v>1.6369995782963462</v>
      </c>
      <c r="R132" s="282">
        <f t="shared" si="38"/>
        <v>-0.40868449396155015</v>
      </c>
      <c r="S132" s="282">
        <f t="shared" si="38"/>
        <v>-0.39765951691514551</v>
      </c>
      <c r="T132" s="282">
        <f t="shared" ref="T132:U132" si="39">T27 * (1 - T$116)</f>
        <v>-0.40868449396155015</v>
      </c>
      <c r="U132" s="282">
        <f t="shared" si="39"/>
        <v>-0.40868449396155015</v>
      </c>
      <c r="V132" s="282">
        <f t="shared" ref="V132:W132" si="40">V27 * (1 - V$116)</f>
        <v>-0.39765951691514551</v>
      </c>
      <c r="W132" s="282">
        <f t="shared" si="40"/>
        <v>-0.39765951691514551</v>
      </c>
      <c r="X132" s="282">
        <f t="shared" ref="X132:Y132" si="41">X27 * (1 - X$116)</f>
        <v>-0.25487274673143645</v>
      </c>
      <c r="Y132" s="282">
        <f t="shared" si="41"/>
        <v>-0.25487274673143645</v>
      </c>
      <c r="Z132" s="267"/>
      <c r="AA132" s="267"/>
    </row>
    <row r="133" spans="4:27" x14ac:dyDescent="0.3">
      <c r="F133" t="s">
        <v>198</v>
      </c>
      <c r="G133" t="s">
        <v>271</v>
      </c>
      <c r="H133" s="267"/>
      <c r="I133" s="267"/>
      <c r="J133" s="282">
        <f t="shared" ref="J133:K133" si="42">J28 * (1 - J$117)</f>
        <v>6.7773427462983094E-2</v>
      </c>
      <c r="K133" s="282">
        <f t="shared" si="42"/>
        <v>6.7773427462983094E-2</v>
      </c>
      <c r="L133" s="282">
        <f t="shared" ref="L133:M133" si="43">L28 * (1 - L$117)</f>
        <v>5.9275938554141053E-2</v>
      </c>
      <c r="M133" s="282">
        <f t="shared" si="43"/>
        <v>5.9275938554141053E-2</v>
      </c>
      <c r="N133" s="282">
        <f t="shared" ref="N133:P133" si="44">N28 * (1 - N$117)</f>
        <v>5.0375258760146327E-2</v>
      </c>
      <c r="O133" s="282">
        <f t="shared" si="44"/>
        <v>4.6142006342263717E-2</v>
      </c>
      <c r="P133" s="282">
        <f t="shared" si="44"/>
        <v>0</v>
      </c>
      <c r="Q133" s="282">
        <f t="shared" ref="Q133:S133" si="45">Q28 * (1 - Q$117)</f>
        <v>0.16152675705371033</v>
      </c>
      <c r="R133" s="282">
        <f t="shared" si="45"/>
        <v>-4.1390094922660263E-2</v>
      </c>
      <c r="S133" s="282">
        <f t="shared" si="45"/>
        <v>-4.0273524920095484E-2</v>
      </c>
      <c r="T133" s="282">
        <f t="shared" ref="T133:U133" si="46">T28 * (1 - T$117)</f>
        <v>-4.1390094922660263E-2</v>
      </c>
      <c r="U133" s="282">
        <f t="shared" si="46"/>
        <v>-4.1390094922660263E-2</v>
      </c>
      <c r="V133" s="282">
        <f t="shared" ref="V133:W133" si="47">V28 * (1 - V$117)</f>
        <v>-4.0273524920095484E-2</v>
      </c>
      <c r="W133" s="282">
        <f t="shared" si="47"/>
        <v>-4.0273524920095484E-2</v>
      </c>
      <c r="X133" s="282">
        <f t="shared" ref="X133:Y133" si="48">X28 * (1 - X$117)</f>
        <v>-2.5812594645212541E-2</v>
      </c>
      <c r="Y133" s="282">
        <f t="shared" si="48"/>
        <v>-2.5812594645212541E-2</v>
      </c>
      <c r="Z133" s="267"/>
      <c r="AA133" s="267"/>
    </row>
    <row r="134" spans="4:27" x14ac:dyDescent="0.3">
      <c r="F134" t="s">
        <v>199</v>
      </c>
      <c r="G134" t="s">
        <v>271</v>
      </c>
      <c r="H134" s="267"/>
      <c r="I134" s="267"/>
      <c r="J134" s="282">
        <f t="shared" ref="J134:K134" si="49">J29 * (1 - J$118)</f>
        <v>0.80302265728258548</v>
      </c>
      <c r="K134" s="282">
        <f t="shared" si="49"/>
        <v>0.80302265728258548</v>
      </c>
      <c r="L134" s="282">
        <f t="shared" ref="L134:M134" si="50">L29 * (1 - L$118)</f>
        <v>0.70233900619330525</v>
      </c>
      <c r="M134" s="282">
        <f t="shared" si="50"/>
        <v>0.70233900619330525</v>
      </c>
      <c r="N134" s="282">
        <f t="shared" ref="N134:P134" si="51">N29 * (1 - N$118)</f>
        <v>0.47750247452620131</v>
      </c>
      <c r="O134" s="282">
        <f t="shared" si="51"/>
        <v>0</v>
      </c>
      <c r="P134" s="282">
        <f t="shared" si="51"/>
        <v>0</v>
      </c>
      <c r="Q134" s="282">
        <f t="shared" ref="Q134:S134" si="52">Q29 * (1 - Q$118)</f>
        <v>1.9643785318279032</v>
      </c>
      <c r="R134" s="282">
        <f t="shared" si="52"/>
        <v>-0.49041615946200717</v>
      </c>
      <c r="S134" s="282">
        <f t="shared" si="52"/>
        <v>-0.47718632818349727</v>
      </c>
      <c r="T134" s="282">
        <f t="shared" ref="T134:U134" si="53">T29 * (1 - T$118)</f>
        <v>-0.49041615946200717</v>
      </c>
      <c r="U134" s="282">
        <f t="shared" si="53"/>
        <v>-0.49041615946200717</v>
      </c>
      <c r="V134" s="282">
        <f t="shared" ref="V134:W134" si="54">V29 * (1 - V$118)</f>
        <v>-0.47718632818349727</v>
      </c>
      <c r="W134" s="282">
        <f t="shared" si="54"/>
        <v>-0.47718632818349727</v>
      </c>
      <c r="X134" s="282">
        <f t="shared" ref="X134:Y134" si="55">X29 * (1 - X$118)</f>
        <v>0</v>
      </c>
      <c r="Y134" s="282">
        <f t="shared" si="55"/>
        <v>0</v>
      </c>
      <c r="Z134" s="267"/>
      <c r="AA134" s="267"/>
    </row>
    <row r="135" spans="4:27" x14ac:dyDescent="0.3">
      <c r="F135" t="s">
        <v>200</v>
      </c>
      <c r="G135" t="s">
        <v>271</v>
      </c>
      <c r="H135" s="267"/>
      <c r="I135" s="267"/>
      <c r="J135" s="282">
        <f t="shared" ref="J135:K135" si="56">J30 * (1 - J$119)</f>
        <v>0.20541795523268105</v>
      </c>
      <c r="K135" s="282">
        <f t="shared" si="56"/>
        <v>0.20541795523268105</v>
      </c>
      <c r="L135" s="282">
        <f t="shared" ref="L135:M135" si="57">L30 * (1 - L$119)</f>
        <v>0.17966248053398587</v>
      </c>
      <c r="M135" s="282">
        <f t="shared" si="57"/>
        <v>0.17966248053398587</v>
      </c>
      <c r="N135" s="282">
        <f t="shared" ref="N135:P135" si="58">N30 * (1 - N$119)</f>
        <v>0</v>
      </c>
      <c r="O135" s="282">
        <f t="shared" si="58"/>
        <v>0</v>
      </c>
      <c r="P135" s="282">
        <f t="shared" si="58"/>
        <v>0</v>
      </c>
      <c r="Q135" s="282">
        <f t="shared" ref="Q135:S135" si="59">Q30 * (1 - Q$119)</f>
        <v>0.50249967127523387</v>
      </c>
      <c r="R135" s="282">
        <f t="shared" si="59"/>
        <v>-0.12545136027749618</v>
      </c>
      <c r="S135" s="282">
        <f t="shared" si="59"/>
        <v>0</v>
      </c>
      <c r="T135" s="282">
        <f t="shared" ref="T135:U135" si="60">T30 * (1 - T$119)</f>
        <v>-0.12545136027749618</v>
      </c>
      <c r="U135" s="282">
        <f t="shared" si="60"/>
        <v>-0.12545136027749618</v>
      </c>
      <c r="V135" s="282">
        <f t="shared" ref="V135:W135" si="61">V30 * (1 - V$119)</f>
        <v>0</v>
      </c>
      <c r="W135" s="282">
        <f t="shared" si="61"/>
        <v>0</v>
      </c>
      <c r="X135" s="282">
        <f t="shared" ref="X135:Y135" si="62">X30 * (1 - X$119)</f>
        <v>0</v>
      </c>
      <c r="Y135" s="282">
        <f t="shared" si="62"/>
        <v>0</v>
      </c>
      <c r="Z135" s="267"/>
      <c r="AA135" s="267"/>
    </row>
    <row r="136" spans="4:27" x14ac:dyDescent="0.3">
      <c r="F136" t="s">
        <v>201</v>
      </c>
      <c r="G136" t="s">
        <v>271</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0.21088297704956308</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378</v>
      </c>
      <c r="G137" s="23" t="s">
        <v>271</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379</v>
      </c>
      <c r="G138" s="37" t="s">
        <v>271</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624</v>
      </c>
      <c r="J140" s="89"/>
      <c r="K140" s="89"/>
      <c r="L140" s="89"/>
      <c r="M140" s="89"/>
      <c r="N140" s="89"/>
      <c r="O140" s="89"/>
      <c r="P140" s="89"/>
      <c r="Q140" s="89"/>
      <c r="R140" s="89"/>
      <c r="S140" s="89"/>
      <c r="T140" s="89"/>
      <c r="U140" s="89"/>
      <c r="V140" s="89"/>
      <c r="W140" s="89"/>
      <c r="X140" s="89"/>
      <c r="Y140" s="89"/>
    </row>
    <row r="141" spans="4:27" x14ac:dyDescent="0.3">
      <c r="F141" s="23" t="s">
        <v>191</v>
      </c>
      <c r="G141" s="23" t="s">
        <v>271</v>
      </c>
      <c r="H141" s="266"/>
      <c r="I141" s="266"/>
      <c r="J141" s="434">
        <f t="shared" ref="J141:K141" si="70">J36 * (1 - J$112)</f>
        <v>0.52544975056254206</v>
      </c>
      <c r="K141" s="434">
        <f t="shared" si="70"/>
        <v>0.52544975056254206</v>
      </c>
      <c r="L141" s="434">
        <f t="shared" ref="L141:M141" si="71">L36 * (1 - L$112)</f>
        <v>0.45956842222043126</v>
      </c>
      <c r="M141" s="434">
        <f t="shared" si="71"/>
        <v>0.45956842222043126</v>
      </c>
      <c r="N141" s="434">
        <f t="shared" ref="N141:P141" si="72">N36 * (1 - N$112)</f>
        <v>0.39056114086158278</v>
      </c>
      <c r="O141" s="434">
        <f t="shared" si="72"/>
        <v>0.35774058699097305</v>
      </c>
      <c r="P141" s="434">
        <f t="shared" si="72"/>
        <v>0.31492835630576266</v>
      </c>
      <c r="Q141" s="434">
        <f t="shared" ref="Q141:S141" si="73">Q36 * (1 - Q$112)</f>
        <v>1.1355145193371066</v>
      </c>
      <c r="R141" s="434">
        <f t="shared" si="73"/>
        <v>-0.32089885176237332</v>
      </c>
      <c r="S141" s="434">
        <f t="shared" si="73"/>
        <v>-0.31224204552878376</v>
      </c>
      <c r="T141" s="434">
        <f t="shared" ref="T141:U141" si="74">T36 * (1 - T$112)</f>
        <v>-0.32089885176237332</v>
      </c>
      <c r="U141" s="434">
        <f t="shared" si="74"/>
        <v>-0.32089885176237332</v>
      </c>
      <c r="V141" s="434">
        <f t="shared" ref="V141:W141" si="75">V36 * (1 - V$112)</f>
        <v>-0.31224204552878376</v>
      </c>
      <c r="W141" s="434">
        <f t="shared" si="75"/>
        <v>-0.31224204552878376</v>
      </c>
      <c r="X141" s="434">
        <f t="shared" ref="X141:Y141" si="76">X36 * (1 - X$112)</f>
        <v>-0.30865991881143628</v>
      </c>
      <c r="Y141" s="434">
        <f t="shared" si="76"/>
        <v>-0.30865991881143628</v>
      </c>
      <c r="Z141" s="267"/>
      <c r="AA141" s="267"/>
    </row>
    <row r="142" spans="4:27" x14ac:dyDescent="0.3">
      <c r="F142" t="s">
        <v>193</v>
      </c>
      <c r="G142" t="s">
        <v>271</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194</v>
      </c>
      <c r="G143" t="s">
        <v>271</v>
      </c>
      <c r="H143" s="267"/>
      <c r="I143" s="267"/>
      <c r="J143" s="282">
        <f t="shared" ref="J143:K143" si="84">J38 * (1 - J$113)</f>
        <v>0.49686133517933084</v>
      </c>
      <c r="K143" s="282">
        <f t="shared" si="84"/>
        <v>0.49686133517933084</v>
      </c>
      <c r="L143" s="282">
        <f t="shared" ref="L143:M143" si="85">L38 * (1 - L$113)</f>
        <v>0.43456444622200535</v>
      </c>
      <c r="M143" s="282">
        <f t="shared" si="85"/>
        <v>0.43456444622200535</v>
      </c>
      <c r="N143" s="282">
        <f t="shared" ref="N143:P143" si="86">N38 * (1 - N$113)</f>
        <v>0.36931167958476585</v>
      </c>
      <c r="O143" s="282">
        <f t="shared" si="86"/>
        <v>0.33827681050353042</v>
      </c>
      <c r="P143" s="282">
        <f t="shared" si="86"/>
        <v>0.29332433761618365</v>
      </c>
      <c r="Q143" s="282">
        <f t="shared" ref="Q143:S143" si="87">Q38 * (1 - Q$113)</f>
        <v>1.1841868292809721</v>
      </c>
      <c r="R143" s="282">
        <f t="shared" si="87"/>
        <v>-0.30343954255087086</v>
      </c>
      <c r="S143" s="282">
        <f t="shared" si="87"/>
        <v>-0.29525373163554502</v>
      </c>
      <c r="T143" s="282">
        <f t="shared" ref="T143:U143" si="88">T38 * (1 - T$113)</f>
        <v>-0.30343954255087086</v>
      </c>
      <c r="U143" s="282">
        <f t="shared" si="88"/>
        <v>-0.30343954255087086</v>
      </c>
      <c r="V143" s="282">
        <f t="shared" ref="V143:W143" si="89">V38 * (1 - V$113)</f>
        <v>-0.29525373163554502</v>
      </c>
      <c r="W143" s="282">
        <f t="shared" si="89"/>
        <v>-0.29525373163554502</v>
      </c>
      <c r="X143" s="282">
        <f t="shared" ref="X143:Y143" si="90">X38 * (1 - X$113)</f>
        <v>-0.29186649953265165</v>
      </c>
      <c r="Y143" s="282">
        <f t="shared" si="90"/>
        <v>-0.29186649953265165</v>
      </c>
      <c r="Z143" s="267"/>
      <c r="AA143" s="267"/>
    </row>
    <row r="144" spans="4:27" x14ac:dyDescent="0.3">
      <c r="F144" t="s">
        <v>195</v>
      </c>
      <c r="G144" t="s">
        <v>271</v>
      </c>
      <c r="H144" s="267"/>
      <c r="I144" s="267"/>
      <c r="J144" s="282">
        <f t="shared" ref="J144:K144" si="91">J39 * (1 - J$114)</f>
        <v>0.25960541143367111</v>
      </c>
      <c r="K144" s="282">
        <f t="shared" si="91"/>
        <v>0.25960541143367111</v>
      </c>
      <c r="L144" s="282">
        <f t="shared" ref="L144:M144" si="92">L39 * (1 - L$114)</f>
        <v>0.22705586824378482</v>
      </c>
      <c r="M144" s="282">
        <f t="shared" si="92"/>
        <v>0.22705586824378482</v>
      </c>
      <c r="N144" s="282">
        <f t="shared" ref="N144:P144" si="93">N39 * (1 - N$114)</f>
        <v>0.19296190654734538</v>
      </c>
      <c r="O144" s="282">
        <f t="shared" si="93"/>
        <v>0.17674647703778951</v>
      </c>
      <c r="P144" s="282">
        <f t="shared" si="93"/>
        <v>0.1555945272090411</v>
      </c>
      <c r="Q144" s="282">
        <f t="shared" ref="Q144:S144" si="94">Q39 * (1 - Q$114)</f>
        <v>0.61872656868915854</v>
      </c>
      <c r="R144" s="282">
        <f t="shared" si="94"/>
        <v>-0.15854432959797909</v>
      </c>
      <c r="S144" s="282">
        <f t="shared" si="94"/>
        <v>-0.15426731977626618</v>
      </c>
      <c r="T144" s="282">
        <f t="shared" ref="T144:U144" si="95">T39 * (1 - T$114)</f>
        <v>-0.15854432959797909</v>
      </c>
      <c r="U144" s="282">
        <f t="shared" si="95"/>
        <v>-0.15854432959797909</v>
      </c>
      <c r="V144" s="282">
        <f t="shared" ref="V144:W144" si="96">V39 * (1 - V$114)</f>
        <v>-0.15426731977626618</v>
      </c>
      <c r="W144" s="282">
        <f t="shared" si="96"/>
        <v>-0.15426731977626618</v>
      </c>
      <c r="X144" s="282">
        <f t="shared" ref="X144:Y144" si="97">X39 * (1 - X$114)</f>
        <v>-0.15249752260866084</v>
      </c>
      <c r="Y144" s="282">
        <f t="shared" si="97"/>
        <v>-0.15249752260866084</v>
      </c>
      <c r="Z144" s="267"/>
      <c r="AA144" s="267"/>
    </row>
    <row r="145" spans="3:27" x14ac:dyDescent="0.3">
      <c r="F145" t="s">
        <v>196</v>
      </c>
      <c r="G145" t="s">
        <v>271</v>
      </c>
      <c r="H145" s="267"/>
      <c r="I145" s="267"/>
      <c r="J145" s="282">
        <f t="shared" ref="J145:K145" si="98">J40 * (1 - J$115)</f>
        <v>0.26665447349039351</v>
      </c>
      <c r="K145" s="282">
        <f t="shared" si="98"/>
        <v>0.26665447349039351</v>
      </c>
      <c r="L145" s="282">
        <f t="shared" ref="L145:M145" si="99">L40 * (1 - L$115)</f>
        <v>0.2332211130156657</v>
      </c>
      <c r="M145" s="282">
        <f t="shared" si="99"/>
        <v>0.2332211130156657</v>
      </c>
      <c r="N145" s="282">
        <f t="shared" ref="N145:P145" si="100">N40 * (1 - N$115)</f>
        <v>0.19820139846056856</v>
      </c>
      <c r="O145" s="282">
        <f t="shared" si="100"/>
        <v>0.1815456716233953</v>
      </c>
      <c r="P145" s="282">
        <f t="shared" si="100"/>
        <v>0.12785550656062256</v>
      </c>
      <c r="Q145" s="282">
        <f t="shared" ref="Q145:S145" si="101">Q40 * (1 - Q$115)</f>
        <v>0.65229831112482761</v>
      </c>
      <c r="R145" s="282">
        <f t="shared" si="101"/>
        <v>-0.16284928153216921</v>
      </c>
      <c r="S145" s="282">
        <f t="shared" si="101"/>
        <v>-0.1584561381233944</v>
      </c>
      <c r="T145" s="282">
        <f t="shared" ref="T145:U145" si="102">T40 * (1 - T$115)</f>
        <v>-0.16284928153216921</v>
      </c>
      <c r="U145" s="282">
        <f t="shared" si="102"/>
        <v>-0.16284928153216921</v>
      </c>
      <c r="V145" s="282">
        <f t="shared" ref="V145:W145" si="103">V40 * (1 - V$115)</f>
        <v>-0.1584561381233944</v>
      </c>
      <c r="W145" s="282">
        <f t="shared" si="103"/>
        <v>-0.1584561381233944</v>
      </c>
      <c r="X145" s="282">
        <f t="shared" ref="X145:Y145" si="104">X40 * (1 - X$115)</f>
        <v>-0.15663828567838417</v>
      </c>
      <c r="Y145" s="282">
        <f t="shared" si="104"/>
        <v>-0.15663828567838417</v>
      </c>
      <c r="Z145" s="267"/>
      <c r="AA145" s="267"/>
    </row>
    <row r="146" spans="3:27" x14ac:dyDescent="0.3">
      <c r="F146" t="s">
        <v>197</v>
      </c>
      <c r="G146" t="s">
        <v>271</v>
      </c>
      <c r="H146" s="267"/>
      <c r="I146" s="267"/>
      <c r="J146" s="282">
        <f t="shared" ref="J146:K146" si="105">J41 * (1 - J$116)</f>
        <v>0.42897088697574021</v>
      </c>
      <c r="K146" s="282">
        <f t="shared" si="105"/>
        <v>0.42897088697574021</v>
      </c>
      <c r="L146" s="282">
        <f t="shared" ref="L146:M146" si="106">L41 * (1 - L$116)</f>
        <v>0.37518615908539665</v>
      </c>
      <c r="M146" s="282">
        <f t="shared" si="106"/>
        <v>0.37518615908539665</v>
      </c>
      <c r="N146" s="282">
        <f t="shared" ref="N146:P146" si="107">N41 * (1 - N$116)</f>
        <v>0.31884944056835868</v>
      </c>
      <c r="O146" s="282">
        <f t="shared" si="107"/>
        <v>0.29205513323480764</v>
      </c>
      <c r="P146" s="282">
        <f t="shared" si="107"/>
        <v>0</v>
      </c>
      <c r="Q146" s="282">
        <f t="shared" ref="Q146:S146" si="108">Q41 * (1 - Q$116)</f>
        <v>1.0493616755545463</v>
      </c>
      <c r="R146" s="282">
        <f t="shared" si="108"/>
        <v>-0.26197798157222119</v>
      </c>
      <c r="S146" s="282">
        <f t="shared" si="108"/>
        <v>-0.25491066858097056</v>
      </c>
      <c r="T146" s="282">
        <f t="shared" ref="T146:U146" si="109">T41 * (1 - T$116)</f>
        <v>-0.26197798157222119</v>
      </c>
      <c r="U146" s="282">
        <f t="shared" si="109"/>
        <v>-0.26197798157222119</v>
      </c>
      <c r="V146" s="282">
        <f t="shared" ref="V146:W146" si="110">V41 * (1 - V$116)</f>
        <v>-0.25491066858097056</v>
      </c>
      <c r="W146" s="282">
        <f t="shared" si="110"/>
        <v>-0.25491066858097056</v>
      </c>
      <c r="X146" s="282">
        <f t="shared" ref="X146:Y146" si="111">X41 * (1 - X$116)</f>
        <v>-0.25198626320528067</v>
      </c>
      <c r="Y146" s="282">
        <f t="shared" si="111"/>
        <v>-0.25198626320528067</v>
      </c>
      <c r="Z146" s="267"/>
      <c r="AA146" s="267"/>
    </row>
    <row r="147" spans="3:27" x14ac:dyDescent="0.3">
      <c r="F147" t="s">
        <v>198</v>
      </c>
      <c r="G147" t="s">
        <v>271</v>
      </c>
      <c r="H147" s="267"/>
      <c r="I147" s="267"/>
      <c r="J147" s="282">
        <f t="shared" ref="J147:K147" si="112">J42 * (1 - J$117)</f>
        <v>4.3444627807812296E-2</v>
      </c>
      <c r="K147" s="282">
        <f t="shared" si="112"/>
        <v>4.3444627807812296E-2</v>
      </c>
      <c r="L147" s="282">
        <f t="shared" ref="L147:M147" si="113">L42 * (1 - L$117)</f>
        <v>3.7997504108080699E-2</v>
      </c>
      <c r="M147" s="282">
        <f t="shared" si="113"/>
        <v>3.7997504108080699E-2</v>
      </c>
      <c r="N147" s="282">
        <f t="shared" ref="N147:P147" si="114">N42 * (1 - N$117)</f>
        <v>3.229192398085725E-2</v>
      </c>
      <c r="O147" s="282">
        <f t="shared" si="114"/>
        <v>2.9578292951765766E-2</v>
      </c>
      <c r="P147" s="282">
        <f t="shared" si="114"/>
        <v>0</v>
      </c>
      <c r="Q147" s="282">
        <f t="shared" ref="Q147:S147" si="115">Q42 * (1 - Q$117)</f>
        <v>0.10354308619014746</v>
      </c>
      <c r="R147" s="282">
        <f t="shared" si="115"/>
        <v>-2.6532187262140992E-2</v>
      </c>
      <c r="S147" s="282">
        <f t="shared" si="115"/>
        <v>-2.581643523367393E-2</v>
      </c>
      <c r="T147" s="282">
        <f t="shared" ref="T147:U147" si="116">T42 * (1 - T$117)</f>
        <v>-2.6532187262140992E-2</v>
      </c>
      <c r="U147" s="282">
        <f t="shared" si="116"/>
        <v>-2.6532187262140992E-2</v>
      </c>
      <c r="V147" s="282">
        <f t="shared" ref="V147:W147" si="117">V42 * (1 - V$117)</f>
        <v>-2.581643523367393E-2</v>
      </c>
      <c r="W147" s="282">
        <f t="shared" si="117"/>
        <v>-2.581643523367393E-2</v>
      </c>
      <c r="X147" s="282">
        <f t="shared" ref="X147:Y147" si="118">X42 * (1 - X$117)</f>
        <v>-2.5520261980515151E-2</v>
      </c>
      <c r="Y147" s="282">
        <f t="shared" si="118"/>
        <v>-2.5520261980515151E-2</v>
      </c>
      <c r="Z147" s="267"/>
      <c r="AA147" s="267"/>
    </row>
    <row r="148" spans="3:27" x14ac:dyDescent="0.3">
      <c r="F148" t="s">
        <v>199</v>
      </c>
      <c r="G148" t="s">
        <v>271</v>
      </c>
      <c r="H148" s="267"/>
      <c r="I148" s="267"/>
      <c r="J148" s="282">
        <f t="shared" ref="J148:K148" si="119">J43 * (1 - J$118)</f>
        <v>0.9882754795283355</v>
      </c>
      <c r="K148" s="282">
        <f t="shared" si="119"/>
        <v>0.9882754795283355</v>
      </c>
      <c r="L148" s="282">
        <f t="shared" ref="L148:M148" si="120">L43 * (1 - L$118)</f>
        <v>0.86436467494700642</v>
      </c>
      <c r="M148" s="282">
        <f t="shared" si="120"/>
        <v>0.86436467494700642</v>
      </c>
      <c r="N148" s="282">
        <f t="shared" ref="N148:P148" si="121">N43 * (1 - N$118)</f>
        <v>0.58765961671027211</v>
      </c>
      <c r="O148" s="282">
        <f t="shared" si="121"/>
        <v>0</v>
      </c>
      <c r="P148" s="282">
        <f t="shared" si="121"/>
        <v>0</v>
      </c>
      <c r="Q148" s="282">
        <f t="shared" ref="Q148:S148" si="122">Q43 * (1 - Q$118)</f>
        <v>2.4175496393674285</v>
      </c>
      <c r="R148" s="282">
        <f t="shared" si="122"/>
        <v>-0.60355241631769374</v>
      </c>
      <c r="S148" s="282">
        <f t="shared" si="122"/>
        <v>-0.58727053717982114</v>
      </c>
      <c r="T148" s="282">
        <f t="shared" ref="T148:U148" si="123">T43 * (1 - T$118)</f>
        <v>-0.60355241631769374</v>
      </c>
      <c r="U148" s="282">
        <f t="shared" si="123"/>
        <v>-0.60355241631769374</v>
      </c>
      <c r="V148" s="282">
        <f t="shared" ref="V148:W148" si="124">V43 * (1 - V$118)</f>
        <v>-0.58727053717982114</v>
      </c>
      <c r="W148" s="282">
        <f t="shared" si="124"/>
        <v>-0.58727053717982114</v>
      </c>
      <c r="X148" s="282">
        <f t="shared" ref="X148:Y148" si="125">X43 * (1 - X$118)</f>
        <v>0</v>
      </c>
      <c r="Y148" s="282">
        <f t="shared" si="125"/>
        <v>0</v>
      </c>
      <c r="Z148" s="267"/>
      <c r="AA148" s="267"/>
    </row>
    <row r="149" spans="3:27" x14ac:dyDescent="0.3">
      <c r="F149" t="s">
        <v>200</v>
      </c>
      <c r="G149" t="s">
        <v>271</v>
      </c>
      <c r="H149" s="267"/>
      <c r="I149" s="267"/>
      <c r="J149" s="282">
        <f t="shared" ref="J149:K149" si="126">J44 * (1 - J$119)</f>
        <v>0.45238521720593361</v>
      </c>
      <c r="K149" s="282">
        <f t="shared" si="126"/>
        <v>0.45238521720593361</v>
      </c>
      <c r="L149" s="282">
        <f t="shared" ref="L149:M149" si="127">L44 * (1 - L$119)</f>
        <v>0.39566478104633207</v>
      </c>
      <c r="M149" s="282">
        <f t="shared" si="127"/>
        <v>0.39566478104633207</v>
      </c>
      <c r="N149" s="282">
        <f t="shared" ref="N149:P149" si="128">N44 * (1 - N$119)</f>
        <v>0</v>
      </c>
      <c r="O149" s="282">
        <f t="shared" si="128"/>
        <v>0</v>
      </c>
      <c r="P149" s="282">
        <f t="shared" si="128"/>
        <v>0</v>
      </c>
      <c r="Q149" s="282">
        <f t="shared" ref="Q149:S149" si="129">Q44 * (1 - Q$119)</f>
        <v>1.106638524749519</v>
      </c>
      <c r="R149" s="282">
        <f t="shared" si="129"/>
        <v>-0.27627741111350473</v>
      </c>
      <c r="S149" s="282">
        <f t="shared" si="129"/>
        <v>0</v>
      </c>
      <c r="T149" s="282">
        <f t="shared" ref="T149:U149" si="130">T44 * (1 - T$119)</f>
        <v>-0.27627741111350473</v>
      </c>
      <c r="U149" s="282">
        <f t="shared" si="130"/>
        <v>-0.27627741111350473</v>
      </c>
      <c r="V149" s="282">
        <f t="shared" ref="V149:W149" si="131">V44 * (1 - V$119)</f>
        <v>0</v>
      </c>
      <c r="W149" s="282">
        <f t="shared" si="131"/>
        <v>0</v>
      </c>
      <c r="X149" s="282">
        <f t="shared" ref="X149:Y149" si="132">X44 * (1 - X$119)</f>
        <v>0</v>
      </c>
      <c r="Y149" s="282">
        <f t="shared" si="132"/>
        <v>0</v>
      </c>
      <c r="Z149" s="267"/>
      <c r="AA149" s="267"/>
    </row>
    <row r="150" spans="3:27" x14ac:dyDescent="0.3">
      <c r="F150" t="s">
        <v>201</v>
      </c>
      <c r="G150" t="s">
        <v>271</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2.2057592018224295</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378</v>
      </c>
      <c r="G151" s="23" t="s">
        <v>271</v>
      </c>
      <c r="H151" s="266"/>
      <c r="I151" s="266" t="s">
        <v>156</v>
      </c>
      <c r="J151" s="280"/>
      <c r="K151" s="280"/>
      <c r="L151" s="280"/>
      <c r="M151" s="280"/>
      <c r="N151" s="280"/>
      <c r="O151" s="280"/>
      <c r="P151" s="280"/>
      <c r="Q151" s="281">
        <f t="shared" ref="Q151" si="140">Q46</f>
        <v>0.80418066162481627</v>
      </c>
      <c r="R151" s="280"/>
      <c r="S151" s="280"/>
      <c r="T151" s="280"/>
      <c r="U151" s="280"/>
      <c r="V151" s="280"/>
      <c r="W151" s="280"/>
      <c r="X151" s="280"/>
      <c r="Y151" s="280"/>
      <c r="Z151" s="267"/>
      <c r="AA151" s="267" t="s">
        <v>656</v>
      </c>
    </row>
    <row r="152" spans="3:27" x14ac:dyDescent="0.3">
      <c r="D152"/>
      <c r="F152" s="37" t="s">
        <v>379</v>
      </c>
      <c r="G152" s="37" t="s">
        <v>271</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156</v>
      </c>
      <c r="J155" s="89"/>
      <c r="K155" s="89"/>
      <c r="L155" s="89"/>
      <c r="M155" s="89"/>
      <c r="N155" s="89"/>
      <c r="O155" s="89"/>
      <c r="P155" s="89"/>
      <c r="Q155" s="89"/>
      <c r="R155" s="89"/>
      <c r="S155" s="89"/>
      <c r="T155" s="89"/>
      <c r="U155" s="89"/>
      <c r="V155" s="89"/>
      <c r="W155" s="89"/>
      <c r="X155" s="89"/>
      <c r="Y155" s="89"/>
      <c r="AA155" t="s">
        <v>658</v>
      </c>
    </row>
    <row r="156" spans="3:27" x14ac:dyDescent="0.3">
      <c r="E156" s="32" t="s">
        <v>623</v>
      </c>
      <c r="J156" s="89"/>
      <c r="K156" s="89"/>
      <c r="L156" s="89"/>
      <c r="M156" s="89"/>
      <c r="N156" s="89"/>
      <c r="O156" s="89"/>
      <c r="P156" s="89"/>
      <c r="Q156" s="89"/>
      <c r="R156" s="89"/>
      <c r="S156" s="89"/>
      <c r="T156" s="89"/>
      <c r="U156" s="89"/>
      <c r="V156" s="89"/>
      <c r="W156" s="89"/>
      <c r="X156" s="89"/>
      <c r="Y156" s="89"/>
    </row>
    <row r="157" spans="3:27" x14ac:dyDescent="0.3">
      <c r="F157" s="23" t="s">
        <v>191</v>
      </c>
      <c r="G157" s="23" t="s">
        <v>271</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193</v>
      </c>
      <c r="G158" t="s">
        <v>271</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194</v>
      </c>
      <c r="G159" t="s">
        <v>271</v>
      </c>
      <c r="H159" s="267"/>
      <c r="I159" s="267"/>
      <c r="J159" s="282">
        <f t="shared" ref="J159:K159" si="155">J54 * (1 - J$113)</f>
        <v>0.10609405807239174</v>
      </c>
      <c r="K159" s="282">
        <f t="shared" si="155"/>
        <v>0.10609405807239174</v>
      </c>
      <c r="L159" s="282">
        <f t="shared" ref="L159:M159" si="156">L54 * (1 - L$113)</f>
        <v>9.2791896509785254E-2</v>
      </c>
      <c r="M159" s="282">
        <f t="shared" si="156"/>
        <v>9.2791896509785254E-2</v>
      </c>
      <c r="N159" s="282">
        <f t="shared" ref="N159:P159" si="157">N54 * (1 - N$113)</f>
        <v>7.8858570805347347E-2</v>
      </c>
      <c r="O159" s="282">
        <f t="shared" si="157"/>
        <v>7.22317416088568E-2</v>
      </c>
      <c r="P159" s="282">
        <f t="shared" si="157"/>
        <v>6.2633107279046335E-2</v>
      </c>
      <c r="Q159" s="282">
        <f t="shared" ref="Q159:S159" si="158">Q54 * (1 - Q$113)</f>
        <v>9.1595326022376578E-2</v>
      </c>
      <c r="R159" s="282">
        <f t="shared" si="158"/>
        <v>-6.4792991866096189E-2</v>
      </c>
      <c r="S159" s="282">
        <f t="shared" si="158"/>
        <v>-6.3045087899475924E-2</v>
      </c>
      <c r="T159" s="282">
        <f t="shared" ref="T159:U159" si="159">T54 * (1 - T$113)</f>
        <v>-6.4792991866096189E-2</v>
      </c>
      <c r="U159" s="282">
        <f t="shared" si="159"/>
        <v>-6.4792991866096189E-2</v>
      </c>
      <c r="V159" s="282">
        <f t="shared" ref="V159:W159" si="160">V54 * (1 - V$113)</f>
        <v>-6.3045087899475924E-2</v>
      </c>
      <c r="W159" s="282">
        <f t="shared" si="160"/>
        <v>-6.3045087899475924E-2</v>
      </c>
      <c r="X159" s="282">
        <f t="shared" ref="X159:Y159" si="161">X54 * (1 - X$113)</f>
        <v>-6.2321817292598558E-2</v>
      </c>
      <c r="Y159" s="282">
        <f t="shared" si="161"/>
        <v>-6.2321817292598558E-2</v>
      </c>
      <c r="Z159" s="267"/>
      <c r="AA159" s="267"/>
    </row>
    <row r="160" spans="3:27" x14ac:dyDescent="0.3">
      <c r="F160" t="s">
        <v>195</v>
      </c>
      <c r="G160" t="s">
        <v>271</v>
      </c>
      <c r="H160" s="267"/>
      <c r="I160" s="267"/>
      <c r="J160" s="282">
        <f t="shared" ref="J160:K160" si="162">J55 * (1 - J$114)</f>
        <v>5.5433155382497566E-2</v>
      </c>
      <c r="K160" s="282">
        <f t="shared" si="162"/>
        <v>5.5433155382497566E-2</v>
      </c>
      <c r="L160" s="282">
        <f t="shared" ref="L160:M160" si="163">L55 * (1 - L$114)</f>
        <v>4.8482900088087859E-2</v>
      </c>
      <c r="M160" s="282">
        <f t="shared" si="163"/>
        <v>4.8482900088087859E-2</v>
      </c>
      <c r="N160" s="282">
        <f t="shared" ref="N160:P160" si="164">N55 * (1 - N$114)</f>
        <v>4.1202867418944036E-2</v>
      </c>
      <c r="O160" s="282">
        <f t="shared" si="164"/>
        <v>3.7740410998513045E-2</v>
      </c>
      <c r="P160" s="282">
        <f t="shared" si="164"/>
        <v>3.3223866774628942E-2</v>
      </c>
      <c r="Q160" s="282">
        <f t="shared" ref="Q160:S160" si="165">Q55 * (1 - Q$114)</f>
        <v>4.78577031735785E-2</v>
      </c>
      <c r="R160" s="282">
        <f t="shared" si="165"/>
        <v>-3.3853733668661075E-2</v>
      </c>
      <c r="S160" s="282">
        <f t="shared" si="165"/>
        <v>-3.294047015573906E-2</v>
      </c>
      <c r="T160" s="282">
        <f t="shared" ref="T160:U160" si="166">T55 * (1 - T$114)</f>
        <v>-3.3853733668661075E-2</v>
      </c>
      <c r="U160" s="282">
        <f t="shared" si="166"/>
        <v>-3.3853733668661075E-2</v>
      </c>
      <c r="V160" s="282">
        <f t="shared" ref="V160:W160" si="167">V55 * (1 - V$114)</f>
        <v>-3.294047015573906E-2</v>
      </c>
      <c r="W160" s="282">
        <f t="shared" si="167"/>
        <v>-3.294047015573906E-2</v>
      </c>
      <c r="X160" s="282">
        <f t="shared" ref="X160:Y160" si="168">X55 * (1 - X$114)</f>
        <v>-3.2562568012460984E-2</v>
      </c>
      <c r="Y160" s="282">
        <f t="shared" si="168"/>
        <v>-3.2562568012460984E-2</v>
      </c>
      <c r="Z160" s="267"/>
      <c r="AA160" s="267"/>
    </row>
    <row r="161" spans="4:27" x14ac:dyDescent="0.3">
      <c r="F161" t="s">
        <v>196</v>
      </c>
      <c r="G161" t="s">
        <v>271</v>
      </c>
      <c r="H161" s="267"/>
      <c r="I161" s="267"/>
      <c r="J161" s="282">
        <f t="shared" ref="J161:K161" si="169">J56 * (1 - J$115)</f>
        <v>8.8997071160257735E-2</v>
      </c>
      <c r="K161" s="282">
        <f t="shared" si="169"/>
        <v>8.8997071160257735E-2</v>
      </c>
      <c r="L161" s="282">
        <f t="shared" ref="L161:M161" si="170">L56 * (1 - L$115)</f>
        <v>7.7838544088319819E-2</v>
      </c>
      <c r="M161" s="282">
        <f t="shared" si="170"/>
        <v>7.7838544088319819E-2</v>
      </c>
      <c r="N161" s="282">
        <f t="shared" ref="N161:P161" si="171">N56 * (1 - N$115)</f>
        <v>6.6150564556320082E-2</v>
      </c>
      <c r="O161" s="282">
        <f t="shared" si="171"/>
        <v>6.0591644478397114E-2</v>
      </c>
      <c r="P161" s="282">
        <f t="shared" si="171"/>
        <v>3.9880696790384626E-2</v>
      </c>
      <c r="Q161" s="282">
        <f t="shared" ref="Q161:S161" si="172">Q56 * (1 - Q$115)</f>
        <v>7.0339857981439532E-2</v>
      </c>
      <c r="R161" s="282">
        <f t="shared" si="172"/>
        <v>-5.4351644310356696E-2</v>
      </c>
      <c r="S161" s="282">
        <f t="shared" si="172"/>
        <v>-5.2885413905705211E-2</v>
      </c>
      <c r="T161" s="282">
        <f t="shared" ref="T161:U161" si="173">T56 * (1 - T$115)</f>
        <v>-5.4351644310356696E-2</v>
      </c>
      <c r="U161" s="282">
        <f t="shared" si="173"/>
        <v>-5.4351644310356696E-2</v>
      </c>
      <c r="V161" s="282">
        <f t="shared" ref="V161:W161" si="174">V56 * (1 - V$115)</f>
        <v>-5.2885413905705211E-2</v>
      </c>
      <c r="W161" s="282">
        <f t="shared" si="174"/>
        <v>-5.2885413905705211E-2</v>
      </c>
      <c r="X161" s="282">
        <f t="shared" ref="X161:Y161" si="175">X56 * (1 - X$115)</f>
        <v>-4.8858622870054887E-2</v>
      </c>
      <c r="Y161" s="282">
        <f t="shared" si="175"/>
        <v>-4.8858622870054887E-2</v>
      </c>
      <c r="Z161" s="267"/>
      <c r="AA161" s="267"/>
    </row>
    <row r="162" spans="4:27" x14ac:dyDescent="0.3">
      <c r="F162" t="s">
        <v>197</v>
      </c>
      <c r="G162" t="s">
        <v>271</v>
      </c>
      <c r="H162" s="267"/>
      <c r="I162" s="267"/>
      <c r="J162" s="282">
        <f t="shared" ref="J162:K162" si="176">J57 * (1 - J$116)</f>
        <v>0.14317086848060775</v>
      </c>
      <c r="K162" s="282">
        <f t="shared" si="176"/>
        <v>0.14317086848060775</v>
      </c>
      <c r="L162" s="282">
        <f t="shared" ref="L162:M162" si="177">L57 * (1 - L$116)</f>
        <v>0.12521998547933508</v>
      </c>
      <c r="M162" s="282">
        <f t="shared" si="177"/>
        <v>0.12521998547933508</v>
      </c>
      <c r="N162" s="282">
        <f t="shared" ref="N162:P162" si="178">N57 * (1 - N$116)</f>
        <v>0.10641736469008792</v>
      </c>
      <c r="O162" s="282">
        <f t="shared" si="178"/>
        <v>9.7474650003023924E-2</v>
      </c>
      <c r="P162" s="282">
        <f t="shared" si="178"/>
        <v>0</v>
      </c>
      <c r="Q162" s="282">
        <f t="shared" ref="Q162:S162" si="179">Q57 * (1 - Q$116)</f>
        <v>0.11315674128051995</v>
      </c>
      <c r="R162" s="282">
        <f t="shared" si="179"/>
        <v>-8.743627197855211E-2</v>
      </c>
      <c r="S162" s="282">
        <f t="shared" si="179"/>
        <v>-8.5077526036805115E-2</v>
      </c>
      <c r="T162" s="282">
        <f t="shared" ref="T162:U162" si="180">T57 * (1 - T$116)</f>
        <v>-8.743627197855211E-2</v>
      </c>
      <c r="U162" s="282">
        <f t="shared" si="180"/>
        <v>-8.743627197855211E-2</v>
      </c>
      <c r="V162" s="282">
        <f t="shared" ref="V162:W162" si="181">V57 * (1 - V$116)</f>
        <v>-8.5077526036805115E-2</v>
      </c>
      <c r="W162" s="282">
        <f t="shared" si="181"/>
        <v>-8.5077526036805115E-2</v>
      </c>
      <c r="X162" s="282">
        <f t="shared" ref="X162:Y162" si="182">X57 * (1 - X$116)</f>
        <v>-5.4528916884297396E-2</v>
      </c>
      <c r="Y162" s="282">
        <f t="shared" si="182"/>
        <v>-5.4528916884297396E-2</v>
      </c>
      <c r="Z162" s="267"/>
      <c r="AA162" s="267"/>
    </row>
    <row r="163" spans="4:27" x14ac:dyDescent="0.3">
      <c r="F163" t="s">
        <v>198</v>
      </c>
      <c r="G163" t="s">
        <v>271</v>
      </c>
      <c r="H163" s="267"/>
      <c r="I163" s="267"/>
      <c r="J163" s="282">
        <f t="shared" ref="J163:K163" si="183">J58 * (1 - J$117)</f>
        <v>9.2766664242688365E-3</v>
      </c>
      <c r="K163" s="282">
        <f t="shared" si="183"/>
        <v>9.2766664242688365E-3</v>
      </c>
      <c r="L163" s="282">
        <f t="shared" ref="L163:M163" si="184">L58 * (1 - L$117)</f>
        <v>8.1135502443426145E-3</v>
      </c>
      <c r="M163" s="282">
        <f t="shared" si="184"/>
        <v>8.1135502443426145E-3</v>
      </c>
      <c r="N163" s="282">
        <f t="shared" ref="N163:P163" si="185">N58 * (1 - N$117)</f>
        <v>6.8952462498572129E-3</v>
      </c>
      <c r="O163" s="282">
        <f t="shared" si="185"/>
        <v>6.3158086732070509E-3</v>
      </c>
      <c r="P163" s="282">
        <f t="shared" si="185"/>
        <v>0</v>
      </c>
      <c r="Q163" s="282">
        <f t="shared" ref="Q163:S163" si="186">Q58 * (1 - Q$117)</f>
        <v>8.0089243541985964E-3</v>
      </c>
      <c r="R163" s="282">
        <f t="shared" si="186"/>
        <v>-5.6653782793567179E-3</v>
      </c>
      <c r="S163" s="282">
        <f t="shared" si="186"/>
        <v>-5.5125448187973271E-3</v>
      </c>
      <c r="T163" s="282">
        <f t="shared" ref="T163:U163" si="187">T58 * (1 - T$117)</f>
        <v>-5.6653782793567179E-3</v>
      </c>
      <c r="U163" s="282">
        <f t="shared" si="187"/>
        <v>-5.6653782793567179E-3</v>
      </c>
      <c r="V163" s="282">
        <f t="shared" ref="V163:W163" si="188">V58 * (1 - V$117)</f>
        <v>-5.5125448187973271E-3</v>
      </c>
      <c r="W163" s="282">
        <f t="shared" si="188"/>
        <v>-5.5125448187973271E-3</v>
      </c>
      <c r="X163" s="282">
        <f t="shared" ref="X163:Y163" si="189">X58 * (1 - X$117)</f>
        <v>-3.5331668919842013E-3</v>
      </c>
      <c r="Y163" s="282">
        <f t="shared" si="189"/>
        <v>-3.5331668919842013E-3</v>
      </c>
      <c r="Z163" s="267"/>
      <c r="AA163" s="267"/>
    </row>
    <row r="164" spans="4:27" x14ac:dyDescent="0.3">
      <c r="F164" t="s">
        <v>199</v>
      </c>
      <c r="G164" t="s">
        <v>271</v>
      </c>
      <c r="H164" s="267"/>
      <c r="I164" s="267"/>
      <c r="J164" s="282">
        <f t="shared" ref="J164:K164" si="190">J59 * (1 - J$118)</f>
        <v>0.17180320884331277</v>
      </c>
      <c r="K164" s="282">
        <f t="shared" si="190"/>
        <v>0.17180320884331277</v>
      </c>
      <c r="L164" s="282">
        <f t="shared" ref="L164:M164" si="191">L59 * (1 - L$118)</f>
        <v>0.15026237910665971</v>
      </c>
      <c r="M164" s="282">
        <f t="shared" si="191"/>
        <v>0.15026237910665971</v>
      </c>
      <c r="N164" s="282">
        <f t="shared" ref="N164:P164" si="192">N59 * (1 - N$118)</f>
        <v>0.10215957994489661</v>
      </c>
      <c r="O164" s="282">
        <f t="shared" si="192"/>
        <v>0</v>
      </c>
      <c r="P164" s="282">
        <f t="shared" si="192"/>
        <v>0</v>
      </c>
      <c r="Q164" s="282">
        <f t="shared" ref="Q164:S164" si="193">Q59 * (1 - Q$118)</f>
        <v>0.13578664054048875</v>
      </c>
      <c r="R164" s="282">
        <f t="shared" si="193"/>
        <v>-0.10492240673420632</v>
      </c>
      <c r="S164" s="282">
        <f t="shared" si="193"/>
        <v>-0.10209194180835329</v>
      </c>
      <c r="T164" s="282">
        <f t="shared" ref="T164:U164" si="194">T59 * (1 - T$118)</f>
        <v>-0.10492240673420632</v>
      </c>
      <c r="U164" s="282">
        <f t="shared" si="194"/>
        <v>-0.10492240673420632</v>
      </c>
      <c r="V164" s="282">
        <f t="shared" ref="V164:W164" si="195">V59 * (1 - V$118)</f>
        <v>-0.10209194180835329</v>
      </c>
      <c r="W164" s="282">
        <f t="shared" si="195"/>
        <v>-0.10209194180835329</v>
      </c>
      <c r="X164" s="282">
        <f t="shared" ref="X164:Y164" si="196">X59 * (1 - X$118)</f>
        <v>0</v>
      </c>
      <c r="Y164" s="282">
        <f t="shared" si="196"/>
        <v>0</v>
      </c>
      <c r="Z164" s="267"/>
      <c r="AA164" s="267"/>
    </row>
    <row r="165" spans="4:27" x14ac:dyDescent="0.3">
      <c r="F165" t="s">
        <v>200</v>
      </c>
      <c r="G165" t="s">
        <v>271</v>
      </c>
      <c r="H165" s="267"/>
      <c r="I165" s="267"/>
      <c r="J165" s="282">
        <f t="shared" ref="J165:K165" si="197">J60 * (1 - J$119)</f>
        <v>4.3948279096423341E-2</v>
      </c>
      <c r="K165" s="282">
        <f t="shared" si="197"/>
        <v>4.3948279096423341E-2</v>
      </c>
      <c r="L165" s="282">
        <f t="shared" ref="L165:M165" si="198">L60 * (1 - L$119)</f>
        <v>3.8438007177705263E-2</v>
      </c>
      <c r="M165" s="282">
        <f t="shared" si="198"/>
        <v>3.8438007177705263E-2</v>
      </c>
      <c r="N165" s="282">
        <f t="shared" ref="N165:P165" si="199">N60 * (1 - N$119)</f>
        <v>0</v>
      </c>
      <c r="O165" s="282">
        <f t="shared" si="199"/>
        <v>0</v>
      </c>
      <c r="P165" s="282">
        <f t="shared" si="199"/>
        <v>0</v>
      </c>
      <c r="Q165" s="282">
        <f t="shared" ref="Q165:S165" si="200">Q60 * (1 - Q$119)</f>
        <v>3.4735027455055557E-2</v>
      </c>
      <c r="R165" s="282">
        <f t="shared" si="200"/>
        <v>-2.6839773515690252E-2</v>
      </c>
      <c r="S165" s="282">
        <f t="shared" si="200"/>
        <v>0</v>
      </c>
      <c r="T165" s="282">
        <f t="shared" ref="T165:U165" si="201">T60 * (1 - T$119)</f>
        <v>-2.6839773515690252E-2</v>
      </c>
      <c r="U165" s="282">
        <f t="shared" si="201"/>
        <v>-2.6839773515690252E-2</v>
      </c>
      <c r="V165" s="282">
        <f t="shared" ref="V165:W165" si="202">V60 * (1 - V$119)</f>
        <v>0</v>
      </c>
      <c r="W165" s="282">
        <f t="shared" si="202"/>
        <v>0</v>
      </c>
      <c r="X165" s="282">
        <f t="shared" ref="X165:Y165" si="203">X60 * (1 - X$119)</f>
        <v>0</v>
      </c>
      <c r="Y165" s="282">
        <f t="shared" si="203"/>
        <v>0</v>
      </c>
      <c r="Z165" s="267"/>
      <c r="AA165" s="267"/>
    </row>
    <row r="166" spans="4:27" x14ac:dyDescent="0.3">
      <c r="F166" t="s">
        <v>201</v>
      </c>
      <c r="G166" t="s">
        <v>271</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1.4577175700495716E-2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378</v>
      </c>
      <c r="G167" s="23" t="s">
        <v>271</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379</v>
      </c>
      <c r="G168" s="37" t="s">
        <v>271</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624</v>
      </c>
      <c r="J170" s="89"/>
      <c r="K170" s="89"/>
      <c r="L170" s="89"/>
      <c r="M170" s="89"/>
      <c r="N170" s="89"/>
      <c r="O170" s="89"/>
      <c r="P170" s="89"/>
      <c r="Q170" s="89"/>
      <c r="R170" s="89"/>
      <c r="S170" s="89"/>
      <c r="T170" s="89"/>
      <c r="U170" s="89"/>
      <c r="V170" s="89"/>
      <c r="W170" s="89"/>
      <c r="X170" s="89"/>
      <c r="Y170" s="89"/>
    </row>
    <row r="171" spans="4:27" x14ac:dyDescent="0.3">
      <c r="F171" s="23" t="s">
        <v>191</v>
      </c>
      <c r="G171" s="23" t="s">
        <v>271</v>
      </c>
      <c r="H171" s="266"/>
      <c r="I171" s="266"/>
      <c r="J171" s="434">
        <f t="shared" ref="J171:K171" si="211">J66 * (1 - J$112)</f>
        <v>2.3671201295510782E-2</v>
      </c>
      <c r="K171" s="434">
        <f t="shared" si="211"/>
        <v>2.3671201295510782E-2</v>
      </c>
      <c r="L171" s="434">
        <f t="shared" ref="L171:M171" si="212">L66 * (1 - L$112)</f>
        <v>2.0703286317661485E-2</v>
      </c>
      <c r="M171" s="434">
        <f t="shared" si="212"/>
        <v>2.0703286317661485E-2</v>
      </c>
      <c r="N171" s="434">
        <f t="shared" ref="N171:P171" si="213">N66 * (1 - N$112)</f>
        <v>1.759454900043475E-2</v>
      </c>
      <c r="O171" s="434">
        <f t="shared" si="213"/>
        <v>1.6116002409691087E-2</v>
      </c>
      <c r="P171" s="434">
        <f t="shared" si="213"/>
        <v>1.4187336672625834E-2</v>
      </c>
      <c r="Q171" s="434">
        <f t="shared" ref="Q171:S171" si="214">Q66 * (1 - Q$112)</f>
        <v>3.6329318717386434E-2</v>
      </c>
      <c r="R171" s="434">
        <f t="shared" si="214"/>
        <v>-1.445630397089947E-2</v>
      </c>
      <c r="S171" s="434">
        <f t="shared" si="214"/>
        <v>-1.4066319956800787E-2</v>
      </c>
      <c r="T171" s="434">
        <f t="shared" ref="T171:U171" si="215">T66 * (1 - T$112)</f>
        <v>-1.445630397089947E-2</v>
      </c>
      <c r="U171" s="434">
        <f t="shared" si="215"/>
        <v>-1.445630397089947E-2</v>
      </c>
      <c r="V171" s="434">
        <f t="shared" ref="V171:W171" si="216">V66 * (1 - V$112)</f>
        <v>-1.4066319956800787E-2</v>
      </c>
      <c r="W171" s="434">
        <f t="shared" si="216"/>
        <v>-1.4066319956800787E-2</v>
      </c>
      <c r="X171" s="434">
        <f t="shared" ref="X171:Y171" si="217">X66 * (1 - X$112)</f>
        <v>-1.3904947261311675E-2</v>
      </c>
      <c r="Y171" s="434">
        <f t="shared" si="217"/>
        <v>-1.3904947261311675E-2</v>
      </c>
      <c r="Z171" s="267"/>
      <c r="AA171" s="267"/>
    </row>
    <row r="172" spans="4:27" x14ac:dyDescent="0.3">
      <c r="F172" t="s">
        <v>193</v>
      </c>
      <c r="G172" t="s">
        <v>271</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194</v>
      </c>
      <c r="G173" t="s">
        <v>271</v>
      </c>
      <c r="H173" s="267"/>
      <c r="I173" s="267"/>
      <c r="J173" s="282">
        <f t="shared" ref="J173:K173" si="225">J68 * (1 - J$113)</f>
        <v>6.8009204169185225E-2</v>
      </c>
      <c r="K173" s="282">
        <f t="shared" si="225"/>
        <v>6.8009204169185225E-2</v>
      </c>
      <c r="L173" s="282">
        <f t="shared" ref="L173:M173" si="226">L68 * (1 - L$113)</f>
        <v>5.948215338010613E-2</v>
      </c>
      <c r="M173" s="282">
        <f t="shared" si="226"/>
        <v>5.948215338010613E-2</v>
      </c>
      <c r="N173" s="282">
        <f t="shared" ref="N173:P173" si="227">N68 * (1 - N$113)</f>
        <v>5.05505090467138E-2</v>
      </c>
      <c r="O173" s="282">
        <f t="shared" si="227"/>
        <v>4.6302529583896711E-2</v>
      </c>
      <c r="P173" s="282">
        <f t="shared" si="227"/>
        <v>4.014954143600246E-2</v>
      </c>
      <c r="Q173" s="282">
        <f t="shared" ref="Q173:S173" si="228">Q68 * (1 - Q$113)</f>
        <v>5.8715118844340976E-2</v>
      </c>
      <c r="R173" s="282">
        <f t="shared" si="228"/>
        <v>-4.1534086758628554E-2</v>
      </c>
      <c r="S173" s="282">
        <f t="shared" si="228"/>
        <v>-4.0413632325139962E-2</v>
      </c>
      <c r="T173" s="282">
        <f t="shared" ref="T173:U173" si="229">T68 * (1 - T$113)</f>
        <v>-4.1534086758628554E-2</v>
      </c>
      <c r="U173" s="282">
        <f t="shared" si="229"/>
        <v>-4.1534086758628554E-2</v>
      </c>
      <c r="V173" s="282">
        <f t="shared" ref="V173:W173" si="230">V68 * (1 - V$113)</f>
        <v>-4.0413632325139962E-2</v>
      </c>
      <c r="W173" s="282">
        <f t="shared" si="230"/>
        <v>-4.0413632325139962E-2</v>
      </c>
      <c r="X173" s="282">
        <f t="shared" ref="X173:Y173" si="231">X68 * (1 - X$113)</f>
        <v>-3.9949996007834339E-2</v>
      </c>
      <c r="Y173" s="282">
        <f t="shared" si="231"/>
        <v>-3.9949996007834339E-2</v>
      </c>
      <c r="Z173" s="267"/>
      <c r="AA173" s="267"/>
    </row>
    <row r="174" spans="4:27" x14ac:dyDescent="0.3">
      <c r="F174" t="s">
        <v>195</v>
      </c>
      <c r="G174" t="s">
        <v>271</v>
      </c>
      <c r="H174" s="267"/>
      <c r="I174" s="267"/>
      <c r="J174" s="282">
        <f t="shared" ref="J174:K174" si="232">J69 * (1 - J$114)</f>
        <v>3.5534174586649016E-2</v>
      </c>
      <c r="K174" s="282">
        <f t="shared" si="232"/>
        <v>3.5534174586649016E-2</v>
      </c>
      <c r="L174" s="282">
        <f t="shared" ref="L174:M174" si="233">L69 * (1 - L$114)</f>
        <v>3.107887011499855E-2</v>
      </c>
      <c r="M174" s="282">
        <f t="shared" si="233"/>
        <v>3.107887011499855E-2</v>
      </c>
      <c r="N174" s="282">
        <f t="shared" ref="N174:P174" si="234">N69 * (1 - N$114)</f>
        <v>2.6412169291694099E-2</v>
      </c>
      <c r="O174" s="282">
        <f t="shared" si="234"/>
        <v>2.4192639660135257E-2</v>
      </c>
      <c r="P174" s="282">
        <f t="shared" si="234"/>
        <v>2.1297410805266707E-2</v>
      </c>
      <c r="Q174" s="282">
        <f t="shared" ref="Q174:S174" si="235">Q69 * (1 - Q$114)</f>
        <v>3.0678101727236444E-2</v>
      </c>
      <c r="R174" s="282">
        <f t="shared" si="235"/>
        <v>-2.1701172778123032E-2</v>
      </c>
      <c r="S174" s="282">
        <f t="shared" si="235"/>
        <v>-2.111574579155041E-2</v>
      </c>
      <c r="T174" s="282">
        <f t="shared" ref="T174:U174" si="236">T69 * (1 - T$114)</f>
        <v>-2.1701172778123032E-2</v>
      </c>
      <c r="U174" s="282">
        <f t="shared" si="236"/>
        <v>-2.1701172778123032E-2</v>
      </c>
      <c r="V174" s="282">
        <f t="shared" ref="V174:W174" si="237">V69 * (1 - V$114)</f>
        <v>-2.111574579155041E-2</v>
      </c>
      <c r="W174" s="282">
        <f t="shared" si="237"/>
        <v>-2.111574579155041E-2</v>
      </c>
      <c r="X174" s="282">
        <f t="shared" ref="X174:Y174" si="238">X69 * (1 - X$114)</f>
        <v>-2.0873500141934155E-2</v>
      </c>
      <c r="Y174" s="282">
        <f t="shared" si="238"/>
        <v>-2.0873500141934155E-2</v>
      </c>
      <c r="Z174" s="267"/>
      <c r="AA174" s="267"/>
    </row>
    <row r="175" spans="4:27" x14ac:dyDescent="0.3">
      <c r="F175" t="s">
        <v>196</v>
      </c>
      <c r="G175" t="s">
        <v>271</v>
      </c>
      <c r="H175" s="267"/>
      <c r="I175" s="267"/>
      <c r="J175" s="282">
        <f t="shared" ref="J175:K175" si="239">J70 * (1 - J$115)</f>
        <v>5.7049566139392632E-2</v>
      </c>
      <c r="K175" s="282">
        <f t="shared" si="239"/>
        <v>5.7049566139392632E-2</v>
      </c>
      <c r="L175" s="282">
        <f t="shared" ref="L175:M175" si="240">L70 * (1 - L$115)</f>
        <v>4.9896643914992531E-2</v>
      </c>
      <c r="M175" s="282">
        <f t="shared" si="240"/>
        <v>4.9896643914992531E-2</v>
      </c>
      <c r="N175" s="282">
        <f t="shared" ref="N175:P175" si="241">N70 * (1 - N$115)</f>
        <v>4.2404328126914678E-2</v>
      </c>
      <c r="O175" s="282">
        <f t="shared" si="241"/>
        <v>3.8840907729877139E-2</v>
      </c>
      <c r="P175" s="282">
        <f t="shared" si="241"/>
        <v>2.7354130168300211E-2</v>
      </c>
      <c r="Q175" s="282">
        <f t="shared" ref="Q175:S175" si="242">Q70 * (1 - Q$115)</f>
        <v>4.5089780234695967E-2</v>
      </c>
      <c r="R175" s="282">
        <f t="shared" si="242"/>
        <v>-3.484089629517037E-2</v>
      </c>
      <c r="S175" s="282">
        <f t="shared" si="242"/>
        <v>-3.3901002348602979E-2</v>
      </c>
      <c r="T175" s="282">
        <f t="shared" ref="T175:U175" si="243">T70 * (1 - T$115)</f>
        <v>-3.484089629517037E-2</v>
      </c>
      <c r="U175" s="282">
        <f t="shared" si="243"/>
        <v>-3.484089629517037E-2</v>
      </c>
      <c r="V175" s="282">
        <f t="shared" ref="V175:W175" si="244">V70 * (1 - V$115)</f>
        <v>-3.3901002348602979E-2</v>
      </c>
      <c r="W175" s="282">
        <f t="shared" si="244"/>
        <v>-3.3901002348602979E-2</v>
      </c>
      <c r="X175" s="282">
        <f t="shared" ref="X175:Y175" si="245">X70 * (1 - X$115)</f>
        <v>-3.3512080715540619E-2</v>
      </c>
      <c r="Y175" s="282">
        <f t="shared" si="245"/>
        <v>-3.3512080715540619E-2</v>
      </c>
      <c r="Z175" s="267"/>
      <c r="AA175" s="267"/>
    </row>
    <row r="176" spans="4:27" x14ac:dyDescent="0.3">
      <c r="F176" t="s">
        <v>197</v>
      </c>
      <c r="G176" t="s">
        <v>271</v>
      </c>
      <c r="H176" s="267"/>
      <c r="I176" s="267"/>
      <c r="J176" s="282">
        <f t="shared" ref="J176:K176" si="246">J71 * (1 - J$116)</f>
        <v>9.1776457630957625E-2</v>
      </c>
      <c r="K176" s="282">
        <f t="shared" si="246"/>
        <v>9.1776457630957625E-2</v>
      </c>
      <c r="L176" s="282">
        <f t="shared" ref="L176:M176" si="247">L71 * (1 - L$116)</f>
        <v>8.0269448763244253E-2</v>
      </c>
      <c r="M176" s="282">
        <f t="shared" si="247"/>
        <v>8.0269448763244253E-2</v>
      </c>
      <c r="N176" s="282">
        <f t="shared" ref="N176:P176" si="248">N71 * (1 - N$116)</f>
        <v>6.82164525879152E-2</v>
      </c>
      <c r="O176" s="282">
        <f t="shared" si="248"/>
        <v>6.2483926940113885E-2</v>
      </c>
      <c r="P176" s="282">
        <f t="shared" si="248"/>
        <v>0</v>
      </c>
      <c r="Q176" s="282">
        <f t="shared" ref="Q176:S176" si="249">Q71 * (1 - Q$116)</f>
        <v>7.2536578020377926E-2</v>
      </c>
      <c r="R176" s="282">
        <f t="shared" si="249"/>
        <v>-5.6049051010229722E-2</v>
      </c>
      <c r="S176" s="282">
        <f t="shared" si="249"/>
        <v>-5.4537030099256083E-2</v>
      </c>
      <c r="T176" s="282">
        <f t="shared" ref="T176:U176" si="250">T71 * (1 - T$116)</f>
        <v>-5.6049051010229722E-2</v>
      </c>
      <c r="U176" s="282">
        <f t="shared" si="250"/>
        <v>-5.6049051010229722E-2</v>
      </c>
      <c r="V176" s="282">
        <f t="shared" ref="V176:W176" si="251">V71 * (1 - V$116)</f>
        <v>-5.4537030099256083E-2</v>
      </c>
      <c r="W176" s="282">
        <f t="shared" si="251"/>
        <v>-5.4537030099256083E-2</v>
      </c>
      <c r="X176" s="282">
        <f t="shared" ref="X176:Y176" si="252">X71 * (1 - X$116)</f>
        <v>-5.3911366274025617E-2</v>
      </c>
      <c r="Y176" s="282">
        <f t="shared" si="252"/>
        <v>-5.3911366274025617E-2</v>
      </c>
      <c r="Z176" s="267"/>
      <c r="AA176" s="267"/>
    </row>
    <row r="177" spans="3:27" x14ac:dyDescent="0.3">
      <c r="F177" t="s">
        <v>198</v>
      </c>
      <c r="G177" t="s">
        <v>271</v>
      </c>
      <c r="H177" s="267"/>
      <c r="I177" s="267"/>
      <c r="J177" s="282">
        <f t="shared" ref="J177:K177" si="253">J72 * (1 - J$117)</f>
        <v>5.9465978804113624E-3</v>
      </c>
      <c r="K177" s="282">
        <f t="shared" si="253"/>
        <v>5.9465978804113624E-3</v>
      </c>
      <c r="L177" s="282">
        <f t="shared" ref="L177:M177" si="254">L72 * (1 - L$117)</f>
        <v>5.20100847427223E-3</v>
      </c>
      <c r="M177" s="282">
        <f t="shared" si="254"/>
        <v>5.20100847427223E-3</v>
      </c>
      <c r="N177" s="282">
        <f t="shared" ref="N177:P177" si="255">N72 * (1 - N$117)</f>
        <v>4.4200421637503335E-3</v>
      </c>
      <c r="O177" s="282">
        <f t="shared" si="255"/>
        <v>4.0486067679357069E-3</v>
      </c>
      <c r="P177" s="282">
        <f t="shared" si="255"/>
        <v>0</v>
      </c>
      <c r="Q177" s="282">
        <f t="shared" ref="Q177:S177" si="256">Q72 * (1 - Q$117)</f>
        <v>5.1339404060555156E-3</v>
      </c>
      <c r="R177" s="282">
        <f t="shared" si="256"/>
        <v>-3.6316630270993681E-3</v>
      </c>
      <c r="S177" s="282">
        <f t="shared" si="256"/>
        <v>-3.5336925826473849E-3</v>
      </c>
      <c r="T177" s="282">
        <f t="shared" ref="T177:U177" si="257">T72 * (1 - T$117)</f>
        <v>-3.6316630270993681E-3</v>
      </c>
      <c r="U177" s="282">
        <f t="shared" si="257"/>
        <v>-3.6316630270993681E-3</v>
      </c>
      <c r="V177" s="282">
        <f t="shared" ref="V177:W177" si="258">V72 * (1 - V$117)</f>
        <v>-3.5336925826473849E-3</v>
      </c>
      <c r="W177" s="282">
        <f t="shared" si="258"/>
        <v>-3.5336925826473849E-3</v>
      </c>
      <c r="X177" s="282">
        <f t="shared" ref="X177:Y177" si="259">X72 * (1 - X$117)</f>
        <v>-3.493153088391392E-3</v>
      </c>
      <c r="Y177" s="282">
        <f t="shared" si="259"/>
        <v>-3.493153088391392E-3</v>
      </c>
      <c r="Z177" s="267"/>
      <c r="AA177" s="267"/>
    </row>
    <row r="178" spans="3:27" x14ac:dyDescent="0.3">
      <c r="F178" t="s">
        <v>199</v>
      </c>
      <c r="G178" t="s">
        <v>271</v>
      </c>
      <c r="H178" s="267"/>
      <c r="I178" s="267"/>
      <c r="J178" s="282">
        <f t="shared" ref="J178:K178" si="260">J73 * (1 - J$118)</f>
        <v>0.21143724534335595</v>
      </c>
      <c r="K178" s="282">
        <f t="shared" si="260"/>
        <v>0.21143724534335595</v>
      </c>
      <c r="L178" s="282">
        <f t="shared" ref="L178:M178" si="261">L73 * (1 - L$118)</f>
        <v>0.18492706702601167</v>
      </c>
      <c r="M178" s="282">
        <f t="shared" si="261"/>
        <v>0.18492706702601167</v>
      </c>
      <c r="N178" s="282">
        <f t="shared" ref="N178:P178" si="262">N73 * (1 - N$118)</f>
        <v>0.1257272219442836</v>
      </c>
      <c r="O178" s="282">
        <f t="shared" si="262"/>
        <v>0</v>
      </c>
      <c r="P178" s="282">
        <f t="shared" si="262"/>
        <v>0</v>
      </c>
      <c r="Q178" s="282">
        <f t="shared" ref="Q178:S178" si="263">Q73 * (1 - Q$118)</f>
        <v>0.16711185677849419</v>
      </c>
      <c r="R178" s="282">
        <f t="shared" si="263"/>
        <v>-0.12912741737500597</v>
      </c>
      <c r="S178" s="282">
        <f t="shared" si="263"/>
        <v>-0.12564398006907559</v>
      </c>
      <c r="T178" s="282">
        <f t="shared" ref="T178:U178" si="264">T73 * (1 - T$118)</f>
        <v>-0.12912741737500597</v>
      </c>
      <c r="U178" s="282">
        <f t="shared" si="264"/>
        <v>-0.12912741737500597</v>
      </c>
      <c r="V178" s="282">
        <f t="shared" ref="V178:W178" si="265">V73 * (1 - V$118)</f>
        <v>-0.12564398006907559</v>
      </c>
      <c r="W178" s="282">
        <f t="shared" si="265"/>
        <v>-0.12564398006907559</v>
      </c>
      <c r="X178" s="282">
        <f t="shared" ref="X178:Y178" si="266">X73 * (1 - X$118)</f>
        <v>0</v>
      </c>
      <c r="Y178" s="282">
        <f t="shared" si="266"/>
        <v>0</v>
      </c>
      <c r="Z178" s="267"/>
      <c r="AA178" s="267"/>
    </row>
    <row r="179" spans="3:27" x14ac:dyDescent="0.3">
      <c r="F179" t="s">
        <v>200</v>
      </c>
      <c r="G179" t="s">
        <v>271</v>
      </c>
      <c r="H179" s="267"/>
      <c r="I179" s="267"/>
      <c r="J179" s="282">
        <f t="shared" ref="J179:K179" si="267">J74 * (1 - J$119)</f>
        <v>9.6785851861597147E-2</v>
      </c>
      <c r="K179" s="282">
        <f t="shared" si="267"/>
        <v>9.6785851861597147E-2</v>
      </c>
      <c r="L179" s="282">
        <f t="shared" ref="L179:M179" si="268">L74 * (1 - L$119)</f>
        <v>8.465076096367917E-2</v>
      </c>
      <c r="M179" s="282">
        <f t="shared" si="268"/>
        <v>8.465076096367917E-2</v>
      </c>
      <c r="N179" s="282">
        <f t="shared" ref="N179:P179" si="269">N74 * (1 - N$119)</f>
        <v>0</v>
      </c>
      <c r="O179" s="282">
        <f t="shared" si="269"/>
        <v>0</v>
      </c>
      <c r="P179" s="282">
        <f t="shared" si="269"/>
        <v>0</v>
      </c>
      <c r="Q179" s="282">
        <f t="shared" ref="Q179:S179" si="270">Q74 * (1 - Q$119)</f>
        <v>7.6495810320525534E-2</v>
      </c>
      <c r="R179" s="282">
        <f t="shared" si="270"/>
        <v>-5.9108351837599611E-2</v>
      </c>
      <c r="S179" s="282">
        <f t="shared" si="270"/>
        <v>0</v>
      </c>
      <c r="T179" s="282">
        <f t="shared" ref="T179:U179" si="271">T74 * (1 - T$119)</f>
        <v>-5.9108351837599611E-2</v>
      </c>
      <c r="U179" s="282">
        <f t="shared" si="271"/>
        <v>-5.9108351837599611E-2</v>
      </c>
      <c r="V179" s="282">
        <f t="shared" ref="V179:W179" si="272">V74 * (1 - V$119)</f>
        <v>0</v>
      </c>
      <c r="W179" s="282">
        <f t="shared" si="272"/>
        <v>0</v>
      </c>
      <c r="X179" s="282">
        <f t="shared" ref="X179:Y179" si="273">X74 * (1 - X$119)</f>
        <v>0</v>
      </c>
      <c r="Y179" s="282">
        <f t="shared" si="273"/>
        <v>0</v>
      </c>
      <c r="Z179" s="267"/>
      <c r="AA179" s="267"/>
    </row>
    <row r="180" spans="3:27" x14ac:dyDescent="0.3">
      <c r="F180" t="s">
        <v>201</v>
      </c>
      <c r="G180" t="s">
        <v>271</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0.15247195334497657</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378</v>
      </c>
      <c r="G181" s="23" t="s">
        <v>271</v>
      </c>
      <c r="H181" s="266"/>
      <c r="I181" s="266" t="s">
        <v>156</v>
      </c>
      <c r="J181" s="280"/>
      <c r="K181" s="280"/>
      <c r="L181" s="280"/>
      <c r="M181" s="280"/>
      <c r="N181" s="280"/>
      <c r="O181" s="280"/>
      <c r="P181" s="280"/>
      <c r="Q181" s="281">
        <f>Q76</f>
        <v>0.80418066162481627</v>
      </c>
      <c r="R181" s="280"/>
      <c r="S181" s="280"/>
      <c r="T181" s="280"/>
      <c r="U181" s="280"/>
      <c r="V181" s="280"/>
      <c r="W181" s="280"/>
      <c r="X181" s="280"/>
      <c r="Y181" s="280"/>
      <c r="Z181" s="267"/>
      <c r="AA181" s="267" t="s">
        <v>656</v>
      </c>
    </row>
    <row r="182" spans="3:27" x14ac:dyDescent="0.3">
      <c r="F182" s="37" t="s">
        <v>379</v>
      </c>
      <c r="G182" s="37" t="s">
        <v>271</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156</v>
      </c>
      <c r="J185" s="89"/>
      <c r="K185" s="89"/>
      <c r="L185" s="89"/>
      <c r="M185" s="89"/>
      <c r="N185" s="89"/>
      <c r="O185" s="89"/>
      <c r="P185" s="89"/>
      <c r="Q185" s="89"/>
      <c r="R185" s="89"/>
      <c r="S185" s="89"/>
      <c r="T185" s="89"/>
      <c r="U185" s="89"/>
      <c r="V185" s="89"/>
      <c r="W185" s="89"/>
      <c r="X185" s="89"/>
      <c r="Y185" s="89"/>
      <c r="AA185" t="s">
        <v>658</v>
      </c>
    </row>
    <row r="186" spans="3:27" x14ac:dyDescent="0.3">
      <c r="E186" s="32" t="s">
        <v>623</v>
      </c>
      <c r="J186" s="89"/>
      <c r="K186" s="89"/>
      <c r="L186" s="89"/>
      <c r="M186" s="89"/>
      <c r="N186" s="89"/>
      <c r="O186" s="89"/>
      <c r="P186" s="89"/>
      <c r="Q186" s="89"/>
      <c r="R186" s="89"/>
      <c r="S186" s="89"/>
      <c r="T186" s="89"/>
      <c r="U186" s="89"/>
      <c r="V186" s="89"/>
      <c r="W186" s="89"/>
      <c r="X186" s="89"/>
      <c r="Y186" s="89"/>
    </row>
    <row r="187" spans="3:27" x14ac:dyDescent="0.3">
      <c r="F187" s="23" t="s">
        <v>191</v>
      </c>
      <c r="G187" s="23" t="s">
        <v>271</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193</v>
      </c>
      <c r="G188" t="s">
        <v>271</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194</v>
      </c>
      <c r="G189" t="s">
        <v>271</v>
      </c>
      <c r="H189" s="267"/>
      <c r="I189" s="267"/>
      <c r="J189" s="282">
        <f t="shared" ref="J189:K189" si="295">J84 * (1 - J$113)</f>
        <v>7.5757189040848265E-3</v>
      </c>
      <c r="K189" s="282">
        <f t="shared" si="295"/>
        <v>7.5757189040848265E-3</v>
      </c>
      <c r="L189" s="282">
        <f t="shared" ref="L189:M189" si="296">L84 * (1 - L$113)</f>
        <v>6.6258689440967999E-3</v>
      </c>
      <c r="M189" s="282">
        <f t="shared" si="296"/>
        <v>6.6258689440967999E-3</v>
      </c>
      <c r="N189" s="282">
        <f t="shared" ref="N189:P189" si="297">N84 * (1 - N$113)</f>
        <v>5.630950276136552E-3</v>
      </c>
      <c r="O189" s="282">
        <f t="shared" si="297"/>
        <v>5.1577569971713953E-3</v>
      </c>
      <c r="P189" s="282">
        <f t="shared" si="297"/>
        <v>4.4723599366109854E-3</v>
      </c>
      <c r="Q189" s="282">
        <f t="shared" ref="Q189:S189" si="298">Q84 * (1 - Q$113)</f>
        <v>6.5466075745394181E-3</v>
      </c>
      <c r="R189" s="282">
        <f t="shared" si="298"/>
        <v>-4.6265879753347979E-3</v>
      </c>
      <c r="S189" s="282">
        <f t="shared" si="298"/>
        <v>-4.5017776950699506E-3</v>
      </c>
      <c r="T189" s="282">
        <f t="shared" ref="T189:U189" si="299">T84 * (1 - T$113)</f>
        <v>-4.6265879753347979E-3</v>
      </c>
      <c r="U189" s="282">
        <f t="shared" si="299"/>
        <v>-4.6265879753347979E-3</v>
      </c>
      <c r="V189" s="282">
        <f t="shared" ref="V189:W189" si="300">V84 * (1 - V$113)</f>
        <v>-4.5017776950699506E-3</v>
      </c>
      <c r="W189" s="282">
        <f t="shared" si="300"/>
        <v>-4.5017776950699506E-3</v>
      </c>
      <c r="X189" s="282">
        <f t="shared" ref="X189:Y189" si="301">X84 * (1 - X$113)</f>
        <v>-4.450132061856911E-3</v>
      </c>
      <c r="Y189" s="282">
        <f t="shared" si="301"/>
        <v>-4.450132061856911E-3</v>
      </c>
      <c r="Z189" s="267"/>
      <c r="AA189" s="267"/>
    </row>
    <row r="190" spans="3:27" x14ac:dyDescent="0.3">
      <c r="F190" t="s">
        <v>195</v>
      </c>
      <c r="G190" t="s">
        <v>271</v>
      </c>
      <c r="H190" s="267"/>
      <c r="I190" s="267"/>
      <c r="J190" s="282">
        <f t="shared" ref="J190:K190" si="302">J85 * (1 - J$114)</f>
        <v>3.9582424385889202E-3</v>
      </c>
      <c r="K190" s="282">
        <f t="shared" si="302"/>
        <v>3.9582424385889202E-3</v>
      </c>
      <c r="L190" s="282">
        <f t="shared" ref="L190:M190" si="303">L85 * (1 - L$114)</f>
        <v>3.4619546975153512E-3</v>
      </c>
      <c r="M190" s="282">
        <f t="shared" si="303"/>
        <v>3.4619546975153512E-3</v>
      </c>
      <c r="N190" s="282">
        <f t="shared" ref="N190:P190" si="304">N85 * (1 - N$114)</f>
        <v>2.942118977060996E-3</v>
      </c>
      <c r="O190" s="282">
        <f t="shared" si="304"/>
        <v>2.6948799041533415E-3</v>
      </c>
      <c r="P190" s="282">
        <f t="shared" si="304"/>
        <v>2.3723729694608529E-3</v>
      </c>
      <c r="Q190" s="282">
        <f t="shared" ref="Q190:S190" si="305">Q85 * (1 - Q$114)</f>
        <v>3.4205413715069711E-3</v>
      </c>
      <c r="R190" s="282">
        <f t="shared" si="305"/>
        <v>-2.4173490465651953E-3</v>
      </c>
      <c r="S190" s="282">
        <f t="shared" si="305"/>
        <v>-2.3521368397276228E-3</v>
      </c>
      <c r="T190" s="282">
        <f t="shared" ref="T190:U190" si="306">T85 * (1 - T$114)</f>
        <v>-2.4173490465651953E-3</v>
      </c>
      <c r="U190" s="282">
        <f t="shared" si="306"/>
        <v>-2.4173490465651953E-3</v>
      </c>
      <c r="V190" s="282">
        <f t="shared" ref="V190:W190" si="307">V85 * (1 - V$114)</f>
        <v>-2.3521368397276228E-3</v>
      </c>
      <c r="W190" s="282">
        <f t="shared" si="307"/>
        <v>-2.3521368397276228E-3</v>
      </c>
      <c r="X190" s="282">
        <f t="shared" ref="X190:Y190" si="308">X85 * (1 - X$114)</f>
        <v>-2.3251524782775929E-3</v>
      </c>
      <c r="Y190" s="282">
        <f t="shared" si="308"/>
        <v>-2.3251524782775929E-3</v>
      </c>
      <c r="Z190" s="267"/>
      <c r="AA190" s="267"/>
    </row>
    <row r="191" spans="3:27" x14ac:dyDescent="0.3">
      <c r="F191" t="s">
        <v>196</v>
      </c>
      <c r="G191" t="s">
        <v>271</v>
      </c>
      <c r="H191" s="267"/>
      <c r="I191" s="267"/>
      <c r="J191" s="282">
        <f t="shared" ref="J191:K191" si="309">J86 * (1 - J$115)</f>
        <v>6.7609131450947291E-3</v>
      </c>
      <c r="K191" s="282">
        <f t="shared" si="309"/>
        <v>6.7609131450947291E-3</v>
      </c>
      <c r="L191" s="282">
        <f t="shared" ref="L191:M191" si="310">L86 * (1 - L$115)</f>
        <v>5.9132242113239574E-3</v>
      </c>
      <c r="M191" s="282">
        <f t="shared" si="310"/>
        <v>5.9132242113239574E-3</v>
      </c>
      <c r="N191" s="282">
        <f t="shared" ref="N191:P191" si="311">N86 * (1 - N$115)</f>
        <v>5.0253139303754893E-3</v>
      </c>
      <c r="O191" s="282">
        <f t="shared" si="311"/>
        <v>4.6030149115720087E-3</v>
      </c>
      <c r="P191" s="282">
        <f t="shared" si="311"/>
        <v>3.0296494440825335E-3</v>
      </c>
      <c r="Q191" s="282">
        <f t="shared" ref="Q191:S191" si="312">Q86 * (1 - Q$115)</f>
        <v>5.8424877911738161E-3</v>
      </c>
      <c r="R191" s="282">
        <f t="shared" si="312"/>
        <v>-4.1289757256584708E-3</v>
      </c>
      <c r="S191" s="282">
        <f t="shared" si="312"/>
        <v>-4.0175894037569855E-3</v>
      </c>
      <c r="T191" s="282">
        <f t="shared" ref="T191:U191" si="313">T86 * (1 - T$115)</f>
        <v>-4.1289757256584708E-3</v>
      </c>
      <c r="U191" s="282">
        <f t="shared" si="313"/>
        <v>-4.1289757256584708E-3</v>
      </c>
      <c r="V191" s="282">
        <f t="shared" ref="V191:W191" si="314">V86 * (1 - V$115)</f>
        <v>-4.0175894037569855E-3</v>
      </c>
      <c r="W191" s="282">
        <f t="shared" si="314"/>
        <v>-4.0175894037569855E-3</v>
      </c>
      <c r="X191" s="282">
        <f t="shared" ref="X191:Y191" si="315">X86 * (1 - X$115)</f>
        <v>-3.7116828824462563E-3</v>
      </c>
      <c r="Y191" s="282">
        <f t="shared" si="315"/>
        <v>-3.7116828824462563E-3</v>
      </c>
      <c r="Z191" s="267"/>
      <c r="AA191" s="267"/>
    </row>
    <row r="192" spans="3:27" x14ac:dyDescent="0.3">
      <c r="F192" t="s">
        <v>197</v>
      </c>
      <c r="G192" t="s">
        <v>271</v>
      </c>
      <c r="H192" s="267"/>
      <c r="I192" s="267"/>
      <c r="J192" s="282">
        <f t="shared" ref="J192:K192" si="316">J87 * (1 - J$116)</f>
        <v>1.0876378223302943E-2</v>
      </c>
      <c r="K192" s="282">
        <f t="shared" si="316"/>
        <v>1.0876378223302943E-2</v>
      </c>
      <c r="L192" s="282">
        <f t="shared" ref="L192:M192" si="317">L87 * (1 - L$116)</f>
        <v>9.512688842662315E-3</v>
      </c>
      <c r="M192" s="282">
        <f t="shared" si="317"/>
        <v>9.512688842662315E-3</v>
      </c>
      <c r="N192" s="282">
        <f t="shared" ref="N192:P192" si="318">N87 * (1 - N$116)</f>
        <v>8.0842948022860697E-3</v>
      </c>
      <c r="O192" s="282">
        <f t="shared" si="318"/>
        <v>7.4049362965243433E-3</v>
      </c>
      <c r="P192" s="282">
        <f t="shared" si="318"/>
        <v>0</v>
      </c>
      <c r="Q192" s="282">
        <f t="shared" ref="Q192:S192" si="319">Q87 * (1 - Q$116)</f>
        <v>9.398894146116981E-3</v>
      </c>
      <c r="R192" s="282">
        <f t="shared" si="319"/>
        <v>-6.642342639718829E-3</v>
      </c>
      <c r="S192" s="282">
        <f t="shared" si="319"/>
        <v>-6.4631538615310654E-3</v>
      </c>
      <c r="T192" s="282">
        <f t="shared" ref="T192:U192" si="320">T87 * (1 - T$116)</f>
        <v>-6.642342639718829E-3</v>
      </c>
      <c r="U192" s="282">
        <f t="shared" si="320"/>
        <v>-6.642342639718829E-3</v>
      </c>
      <c r="V192" s="282">
        <f t="shared" ref="V192:W192" si="321">V87 * (1 - V$116)</f>
        <v>-6.4631538615310654E-3</v>
      </c>
      <c r="W192" s="282">
        <f t="shared" si="321"/>
        <v>-6.4631538615310654E-3</v>
      </c>
      <c r="X192" s="282">
        <f t="shared" ref="X192:Y192" si="322">X87 * (1 - X$116)</f>
        <v>-4.1424427359745995E-3</v>
      </c>
      <c r="Y192" s="282">
        <f t="shared" si="322"/>
        <v>-4.1424427359745995E-3</v>
      </c>
      <c r="Z192" s="267"/>
      <c r="AA192" s="267"/>
    </row>
    <row r="193" spans="4:27" x14ac:dyDescent="0.3">
      <c r="F193" t="s">
        <v>198</v>
      </c>
      <c r="G193" t="s">
        <v>271</v>
      </c>
      <c r="H193" s="267"/>
      <c r="I193" s="267"/>
      <c r="J193" s="282">
        <f t="shared" ref="J193:K193" si="323">J88 * (1 - J$117)</f>
        <v>6.6240672167775547E-4</v>
      </c>
      <c r="K193" s="282">
        <f t="shared" si="323"/>
        <v>6.6240672167775547E-4</v>
      </c>
      <c r="L193" s="282">
        <f t="shared" ref="L193:M193" si="324">L88 * (1 - L$117)</f>
        <v>5.793536139730651E-4</v>
      </c>
      <c r="M193" s="282">
        <f t="shared" si="324"/>
        <v>5.793536139730651E-4</v>
      </c>
      <c r="N193" s="282">
        <f t="shared" ref="N193:P193" si="325">N88 * (1 - N$117)</f>
        <v>4.9235978255936349E-4</v>
      </c>
      <c r="O193" s="282">
        <f t="shared" si="325"/>
        <v>4.5098464541294095E-4</v>
      </c>
      <c r="P193" s="282">
        <f t="shared" si="325"/>
        <v>0</v>
      </c>
      <c r="Q193" s="282">
        <f t="shared" ref="Q193:S193" si="326">Q88 * (1 - Q$117)</f>
        <v>5.7242314775211216E-4</v>
      </c>
      <c r="R193" s="282">
        <f t="shared" si="326"/>
        <v>-4.0454021751556415E-4</v>
      </c>
      <c r="S193" s="282">
        <f t="shared" si="326"/>
        <v>-3.9362703955467921E-4</v>
      </c>
      <c r="T193" s="282">
        <f t="shared" ref="T193:U193" si="327">T88 * (1 - T$117)</f>
        <v>-4.0454021751556415E-4</v>
      </c>
      <c r="U193" s="282">
        <f t="shared" si="327"/>
        <v>-4.0454021751556415E-4</v>
      </c>
      <c r="V193" s="282">
        <f t="shared" ref="V193:W193" si="328">V88 * (1 - V$117)</f>
        <v>-3.9362703955467921E-4</v>
      </c>
      <c r="W193" s="282">
        <f t="shared" si="328"/>
        <v>-3.9362703955467921E-4</v>
      </c>
      <c r="X193" s="282">
        <f t="shared" ref="X193:Y193" si="329">X88 * (1 - X$117)</f>
        <v>-2.5228820257424561E-4</v>
      </c>
      <c r="Y193" s="282">
        <f t="shared" si="329"/>
        <v>-2.5228820257424561E-4</v>
      </c>
      <c r="Z193" s="267"/>
      <c r="AA193" s="267"/>
    </row>
    <row r="194" spans="4:27" x14ac:dyDescent="0.3">
      <c r="F194" t="s">
        <v>199</v>
      </c>
      <c r="G194" t="s">
        <v>271</v>
      </c>
      <c r="H194" s="267"/>
      <c r="I194" s="267"/>
      <c r="J194" s="282">
        <f t="shared" ref="J194:K194" si="330">J89 * (1 - J$118)</f>
        <v>1.3051514593627493E-2</v>
      </c>
      <c r="K194" s="282">
        <f t="shared" si="330"/>
        <v>1.3051514593627493E-2</v>
      </c>
      <c r="L194" s="282">
        <f t="shared" ref="L194:M194" si="331">L89 * (1 - L$118)</f>
        <v>1.1415104799191248E-2</v>
      </c>
      <c r="M194" s="282">
        <f t="shared" si="331"/>
        <v>1.1415104799191248E-2</v>
      </c>
      <c r="N194" s="282">
        <f t="shared" ref="N194:P194" si="332">N89 * (1 - N$118)</f>
        <v>7.7608401933033574E-3</v>
      </c>
      <c r="O194" s="282">
        <f t="shared" si="332"/>
        <v>0</v>
      </c>
      <c r="P194" s="282">
        <f t="shared" si="332"/>
        <v>0</v>
      </c>
      <c r="Q194" s="282">
        <f t="shared" ref="Q194:S194" si="333">Q89 * (1 - Q$118)</f>
        <v>1.1278552620502138E-2</v>
      </c>
      <c r="R194" s="282">
        <f t="shared" si="333"/>
        <v>-7.970726111052583E-3</v>
      </c>
      <c r="S194" s="282">
        <f t="shared" si="333"/>
        <v>-7.7557018717776755E-3</v>
      </c>
      <c r="T194" s="282">
        <f t="shared" ref="T194:U194" si="334">T89 * (1 - T$118)</f>
        <v>-7.970726111052583E-3</v>
      </c>
      <c r="U194" s="282">
        <f t="shared" si="334"/>
        <v>-7.970726111052583E-3</v>
      </c>
      <c r="V194" s="282">
        <f t="shared" ref="V194:W194" si="335">V89 * (1 - V$118)</f>
        <v>-7.7557018717776755E-3</v>
      </c>
      <c r="W194" s="282">
        <f t="shared" si="335"/>
        <v>-7.7557018717776755E-3</v>
      </c>
      <c r="X194" s="282">
        <f t="shared" ref="X194:Y194" si="336">X89 * (1 - X$118)</f>
        <v>0</v>
      </c>
      <c r="Y194" s="282">
        <f t="shared" si="336"/>
        <v>0</v>
      </c>
      <c r="Z194" s="267"/>
      <c r="AA194" s="267"/>
    </row>
    <row r="195" spans="4:27" x14ac:dyDescent="0.3">
      <c r="F195" t="s">
        <v>200</v>
      </c>
      <c r="G195" t="s">
        <v>271</v>
      </c>
      <c r="H195" s="267"/>
      <c r="I195" s="267"/>
      <c r="J195" s="282">
        <f t="shared" ref="J195:K195" si="337">J90 * (1 - J$119)</f>
        <v>3.3386547891250855E-3</v>
      </c>
      <c r="K195" s="282">
        <f t="shared" si="337"/>
        <v>3.3386547891250855E-3</v>
      </c>
      <c r="L195" s="282">
        <f t="shared" ref="L195:M195" si="338">L90 * (1 - L$119)</f>
        <v>2.9200514647390171E-3</v>
      </c>
      <c r="M195" s="282">
        <f t="shared" si="338"/>
        <v>2.9200514647390171E-3</v>
      </c>
      <c r="N195" s="282">
        <f t="shared" ref="N195:P195" si="339">N90 * (1 - N$119)</f>
        <v>0</v>
      </c>
      <c r="O195" s="282">
        <f t="shared" si="339"/>
        <v>0</v>
      </c>
      <c r="P195" s="282">
        <f t="shared" si="339"/>
        <v>0</v>
      </c>
      <c r="Q195" s="282">
        <f t="shared" ref="Q195:S195" si="340">Q90 * (1 - Q$119)</f>
        <v>2.8851206080882136E-3</v>
      </c>
      <c r="R195" s="282">
        <f t="shared" si="340"/>
        <v>-2.0389589815471192E-3</v>
      </c>
      <c r="S195" s="282">
        <f t="shared" si="340"/>
        <v>0</v>
      </c>
      <c r="T195" s="282">
        <f t="shared" ref="T195:U195" si="341">T90 * (1 - T$119)</f>
        <v>-2.0389589815471192E-3</v>
      </c>
      <c r="U195" s="282">
        <f t="shared" si="341"/>
        <v>-2.0389589815471192E-3</v>
      </c>
      <c r="V195" s="282">
        <f t="shared" ref="V195:W195" si="342">V90 * (1 - V$119)</f>
        <v>0</v>
      </c>
      <c r="W195" s="282">
        <f t="shared" si="342"/>
        <v>0</v>
      </c>
      <c r="X195" s="282">
        <f t="shared" ref="X195:Y195" si="343">X90 * (1 - X$119)</f>
        <v>0</v>
      </c>
      <c r="Y195" s="282">
        <f t="shared" si="343"/>
        <v>0</v>
      </c>
      <c r="Z195" s="267"/>
      <c r="AA195" s="267"/>
    </row>
    <row r="196" spans="4:27" x14ac:dyDescent="0.3">
      <c r="F196" t="s">
        <v>201</v>
      </c>
      <c r="G196" t="s">
        <v>271</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1.210792479598334E-3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378</v>
      </c>
      <c r="G197" s="23" t="s">
        <v>271</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379</v>
      </c>
      <c r="G198" s="37" t="s">
        <v>271</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624</v>
      </c>
      <c r="J200" s="89"/>
      <c r="K200" s="89"/>
      <c r="L200" s="89"/>
      <c r="M200" s="89"/>
      <c r="N200" s="89"/>
      <c r="O200" s="89"/>
      <c r="P200" s="89"/>
      <c r="Q200" s="89"/>
      <c r="R200" s="89"/>
      <c r="S200" s="89"/>
      <c r="T200" s="89"/>
      <c r="U200" s="89"/>
      <c r="V200" s="89"/>
      <c r="W200" s="89"/>
      <c r="X200" s="89"/>
      <c r="Y200" s="89"/>
    </row>
    <row r="201" spans="4:27" x14ac:dyDescent="0.3">
      <c r="F201" s="23" t="s">
        <v>191</v>
      </c>
      <c r="G201" s="23" t="s">
        <v>271</v>
      </c>
      <c r="H201" s="266"/>
      <c r="I201" s="266"/>
      <c r="J201" s="434">
        <f t="shared" ref="J201:K201" si="351">J96 * (1 - J$112)</f>
        <v>0</v>
      </c>
      <c r="K201" s="434">
        <f t="shared" si="351"/>
        <v>0</v>
      </c>
      <c r="L201" s="434">
        <f t="shared" ref="L201:M201" si="352">L96 * (1 - L$112)</f>
        <v>0</v>
      </c>
      <c r="M201" s="434">
        <f t="shared" si="352"/>
        <v>0</v>
      </c>
      <c r="N201" s="434">
        <f t="shared" ref="N201:P201" si="353">N96 * (1 - N$112)</f>
        <v>0</v>
      </c>
      <c r="O201" s="434">
        <f t="shared" si="353"/>
        <v>0</v>
      </c>
      <c r="P201" s="434">
        <f t="shared" si="353"/>
        <v>0</v>
      </c>
      <c r="Q201" s="434">
        <f t="shared" ref="Q201:S201" si="354">Q96 * (1 - Q$112)</f>
        <v>0</v>
      </c>
      <c r="R201" s="434">
        <f t="shared" si="354"/>
        <v>0</v>
      </c>
      <c r="S201" s="434">
        <f t="shared" si="354"/>
        <v>0</v>
      </c>
      <c r="T201" s="434">
        <f t="shared" ref="T201:U201" si="355">T96 * (1 - T$112)</f>
        <v>0</v>
      </c>
      <c r="U201" s="434">
        <f t="shared" si="355"/>
        <v>0</v>
      </c>
      <c r="V201" s="434">
        <f t="shared" ref="V201:W201" si="356">V96 * (1 - V$112)</f>
        <v>0</v>
      </c>
      <c r="W201" s="434">
        <f t="shared" si="356"/>
        <v>0</v>
      </c>
      <c r="X201" s="434">
        <f t="shared" ref="X201:Y201" si="357">X96 * (1 - X$112)</f>
        <v>0</v>
      </c>
      <c r="Y201" s="434">
        <f t="shared" si="357"/>
        <v>0</v>
      </c>
      <c r="Z201" s="267"/>
      <c r="AA201" s="267"/>
    </row>
    <row r="202" spans="4:27" x14ac:dyDescent="0.3">
      <c r="F202" t="s">
        <v>193</v>
      </c>
      <c r="G202" t="s">
        <v>271</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194</v>
      </c>
      <c r="G203" t="s">
        <v>271</v>
      </c>
      <c r="H203" s="267"/>
      <c r="I203" s="267"/>
      <c r="J203" s="282">
        <f t="shared" ref="J203:K203" si="365">J98 * (1 - J$113)</f>
        <v>4.8562438183362647E-3</v>
      </c>
      <c r="K203" s="282">
        <f t="shared" si="365"/>
        <v>4.8562438183362647E-3</v>
      </c>
      <c r="L203" s="282">
        <f t="shared" ref="L203:M203" si="366">L98 * (1 - L$113)</f>
        <v>4.2473639146677657E-3</v>
      </c>
      <c r="M203" s="282">
        <f t="shared" si="366"/>
        <v>4.2473639146677657E-3</v>
      </c>
      <c r="N203" s="282">
        <f t="shared" ref="N203:P203" si="367">N98 * (1 - N$113)</f>
        <v>3.6095937317714433E-3</v>
      </c>
      <c r="O203" s="282">
        <f t="shared" si="367"/>
        <v>3.3062638478427039E-3</v>
      </c>
      <c r="P203" s="282">
        <f t="shared" si="367"/>
        <v>2.8669055135917281E-3</v>
      </c>
      <c r="Q203" s="282">
        <f t="shared" ref="Q203:S203" si="368">Q98 * (1 - Q$113)</f>
        <v>4.1965552005616552E-3</v>
      </c>
      <c r="R203" s="282">
        <f t="shared" si="368"/>
        <v>-2.9657699209369886E-3</v>
      </c>
      <c r="S203" s="282">
        <f t="shared" si="368"/>
        <v>-2.8857631044651999E-3</v>
      </c>
      <c r="T203" s="282">
        <f t="shared" ref="T203:U203" si="369">T98 * (1 - T$113)</f>
        <v>-2.9657699209369886E-3</v>
      </c>
      <c r="U203" s="282">
        <f t="shared" si="369"/>
        <v>-2.9657699209369886E-3</v>
      </c>
      <c r="V203" s="282">
        <f t="shared" ref="V203:W203" si="370">V98 * (1 - V$113)</f>
        <v>-2.8857631044651999E-3</v>
      </c>
      <c r="W203" s="282">
        <f t="shared" si="370"/>
        <v>-2.8857631044651999E-3</v>
      </c>
      <c r="X203" s="282">
        <f t="shared" ref="X203:Y203" si="371">X98 * (1 - X$113)</f>
        <v>-2.8526568355803218E-3</v>
      </c>
      <c r="Y203" s="282">
        <f t="shared" si="371"/>
        <v>-2.8526568355803218E-3</v>
      </c>
      <c r="Z203" s="267"/>
      <c r="AA203" s="267"/>
    </row>
    <row r="204" spans="4:27" x14ac:dyDescent="0.3">
      <c r="F204" t="s">
        <v>195</v>
      </c>
      <c r="G204" t="s">
        <v>271</v>
      </c>
      <c r="H204" s="267"/>
      <c r="I204" s="267"/>
      <c r="J204" s="282">
        <f t="shared" ref="J204:K204" si="372">J99 * (1 - J$114)</f>
        <v>2.5373420816219975E-3</v>
      </c>
      <c r="K204" s="282">
        <f t="shared" si="372"/>
        <v>2.5373420816219975E-3</v>
      </c>
      <c r="L204" s="282">
        <f t="shared" ref="L204:M204" si="373">L99 * (1 - L$114)</f>
        <v>2.2192080133944837E-3</v>
      </c>
      <c r="M204" s="282">
        <f t="shared" si="373"/>
        <v>2.2192080133944837E-3</v>
      </c>
      <c r="N204" s="282">
        <f t="shared" ref="N204:P204" si="374">N99 * (1 - N$114)</f>
        <v>1.8859790438447213E-3</v>
      </c>
      <c r="O204" s="282">
        <f t="shared" si="374"/>
        <v>1.7274920098535849E-3</v>
      </c>
      <c r="P204" s="282">
        <f t="shared" si="374"/>
        <v>1.5207562098852815E-3</v>
      </c>
      <c r="Q204" s="282">
        <f t="shared" ref="Q204:S204" si="375">Q99 * (1 - Q$114)</f>
        <v>2.1926609343685577E-3</v>
      </c>
      <c r="R204" s="282">
        <f t="shared" si="375"/>
        <v>-1.5495871101834974E-3</v>
      </c>
      <c r="S204" s="282">
        <f t="shared" si="375"/>
        <v>-1.507784295118082E-3</v>
      </c>
      <c r="T204" s="282">
        <f t="shared" ref="T204:U204" si="376">T99 * (1 - T$114)</f>
        <v>-1.5495871101834974E-3</v>
      </c>
      <c r="U204" s="282">
        <f t="shared" si="376"/>
        <v>-1.5495871101834974E-3</v>
      </c>
      <c r="V204" s="282">
        <f t="shared" ref="V204:W204" si="377">V99 * (1 - V$114)</f>
        <v>-1.507784295118082E-3</v>
      </c>
      <c r="W204" s="282">
        <f t="shared" si="377"/>
        <v>-1.507784295118082E-3</v>
      </c>
      <c r="X204" s="282">
        <f t="shared" ref="X204:Y204" si="378">X99 * (1 - X$114)</f>
        <v>-1.4904865785392897E-3</v>
      </c>
      <c r="Y204" s="282">
        <f t="shared" si="378"/>
        <v>-1.4904865785392897E-3</v>
      </c>
      <c r="Z204" s="267"/>
      <c r="AA204" s="267"/>
    </row>
    <row r="205" spans="4:27" x14ac:dyDescent="0.3">
      <c r="F205" t="s">
        <v>196</v>
      </c>
      <c r="G205" t="s">
        <v>271</v>
      </c>
      <c r="H205" s="267"/>
      <c r="I205" s="267"/>
      <c r="J205" s="282">
        <f t="shared" ref="J205:K205" si="379">J100 * (1 - J$115)</f>
        <v>4.3339309553145277E-3</v>
      </c>
      <c r="K205" s="282">
        <f t="shared" si="379"/>
        <v>4.3339309553145277E-3</v>
      </c>
      <c r="L205" s="282">
        <f t="shared" ref="L205:M205" si="380">L100 * (1 - L$115)</f>
        <v>3.7905390744097712E-3</v>
      </c>
      <c r="M205" s="282">
        <f t="shared" si="380"/>
        <v>3.7905390744097712E-3</v>
      </c>
      <c r="N205" s="282">
        <f t="shared" ref="N205:P205" si="381">N100 * (1 - N$115)</f>
        <v>3.2213642056368244E-3</v>
      </c>
      <c r="O205" s="282">
        <f t="shared" si="381"/>
        <v>2.9506589398371544E-3</v>
      </c>
      <c r="P205" s="282">
        <f t="shared" si="381"/>
        <v>2.0780335331987755E-3</v>
      </c>
      <c r="Q205" s="282">
        <f t="shared" ref="Q205:S205" si="382">Q100 * (1 - Q$115)</f>
        <v>3.7451950869368286E-3</v>
      </c>
      <c r="R205" s="282">
        <f t="shared" si="382"/>
        <v>-2.6467868063290703E-3</v>
      </c>
      <c r="S205" s="282">
        <f t="shared" si="382"/>
        <v>-2.575385115739728E-3</v>
      </c>
      <c r="T205" s="282">
        <f t="shared" ref="T205:U205" si="383">T100 * (1 - T$115)</f>
        <v>-2.6467868063290703E-3</v>
      </c>
      <c r="U205" s="282">
        <f t="shared" si="383"/>
        <v>-2.6467868063290703E-3</v>
      </c>
      <c r="V205" s="282">
        <f t="shared" ref="V205:W205" si="384">V100 * (1 - V$115)</f>
        <v>-2.575385115739728E-3</v>
      </c>
      <c r="W205" s="282">
        <f t="shared" si="384"/>
        <v>-2.575385115739728E-3</v>
      </c>
      <c r="X205" s="282">
        <f t="shared" ref="X205:Y205" si="385">X100 * (1 - X$115)</f>
        <v>-2.5458395885993115E-3</v>
      </c>
      <c r="Y205" s="282">
        <f t="shared" si="385"/>
        <v>-2.5458395885993115E-3</v>
      </c>
      <c r="Z205" s="267"/>
      <c r="AA205" s="267"/>
    </row>
    <row r="206" spans="4:27" x14ac:dyDescent="0.3">
      <c r="F206" t="s">
        <v>197</v>
      </c>
      <c r="G206" t="s">
        <v>271</v>
      </c>
      <c r="H206" s="267"/>
      <c r="I206" s="267"/>
      <c r="J206" s="282">
        <f t="shared" ref="J206:K206" si="386">J101 * (1 - J$116)</f>
        <v>6.9720570656762937E-3</v>
      </c>
      <c r="K206" s="282">
        <f t="shared" si="386"/>
        <v>6.9720570656762937E-3</v>
      </c>
      <c r="L206" s="282">
        <f t="shared" ref="L206:M206" si="387">L101 * (1 - L$116)</f>
        <v>6.0978947308916618E-3</v>
      </c>
      <c r="M206" s="282">
        <f t="shared" si="387"/>
        <v>6.0978947308916618E-3</v>
      </c>
      <c r="N206" s="282">
        <f t="shared" ref="N206:P206" si="388">N101 * (1 - N$116)</f>
        <v>5.1822549326693097E-3</v>
      </c>
      <c r="O206" s="282">
        <f t="shared" si="388"/>
        <v>4.7467674778403487E-3</v>
      </c>
      <c r="P206" s="282">
        <f t="shared" si="388"/>
        <v>0</v>
      </c>
      <c r="Q206" s="282">
        <f t="shared" ref="Q206:S206" si="389">Q101 * (1 - Q$116)</f>
        <v>6.0249492060306812E-3</v>
      </c>
      <c r="R206" s="282">
        <f t="shared" si="389"/>
        <v>-4.2579240058673602E-3</v>
      </c>
      <c r="S206" s="282">
        <f t="shared" si="389"/>
        <v>-4.14305907919745E-3</v>
      </c>
      <c r="T206" s="282">
        <f t="shared" ref="T206:U206" si="390">T101 * (1 - T$116)</f>
        <v>-4.2579240058673602E-3</v>
      </c>
      <c r="U206" s="282">
        <f t="shared" si="390"/>
        <v>-4.2579240058673602E-3</v>
      </c>
      <c r="V206" s="282">
        <f t="shared" ref="V206:W206" si="391">V101 * (1 - V$116)</f>
        <v>-4.14305907919745E-3</v>
      </c>
      <c r="W206" s="282">
        <f t="shared" si="391"/>
        <v>-4.14305907919745E-3</v>
      </c>
      <c r="X206" s="282">
        <f t="shared" ref="X206:Y206" si="392">X101 * (1 - X$116)</f>
        <v>-4.0955287647133501E-3</v>
      </c>
      <c r="Y206" s="282">
        <f t="shared" si="392"/>
        <v>-4.0955287647133501E-3</v>
      </c>
      <c r="Z206" s="267"/>
      <c r="AA206" s="267"/>
    </row>
    <row r="207" spans="4:27" x14ac:dyDescent="0.3">
      <c r="F207" t="s">
        <v>198</v>
      </c>
      <c r="G207" t="s">
        <v>271</v>
      </c>
      <c r="H207" s="267"/>
      <c r="I207" s="267"/>
      <c r="J207" s="282">
        <f t="shared" ref="J207:K207" si="393">J102 * (1 - J$117)</f>
        <v>4.2462089579874563E-4</v>
      </c>
      <c r="K207" s="282">
        <f t="shared" si="393"/>
        <v>4.2462089579874563E-4</v>
      </c>
      <c r="L207" s="282">
        <f t="shared" ref="L207:M207" si="394">L102 * (1 - L$117)</f>
        <v>3.7138157343330719E-4</v>
      </c>
      <c r="M207" s="282">
        <f t="shared" si="394"/>
        <v>3.7138157343330719E-4</v>
      </c>
      <c r="N207" s="282">
        <f t="shared" ref="N207:P207" si="395">N102 * (1 - N$117)</f>
        <v>3.1561613897290459E-4</v>
      </c>
      <c r="O207" s="282">
        <f t="shared" si="395"/>
        <v>2.8909354005601627E-4</v>
      </c>
      <c r="P207" s="282">
        <f t="shared" si="395"/>
        <v>0</v>
      </c>
      <c r="Q207" s="282">
        <f t="shared" ref="Q207:S207" si="396">Q102 * (1 - Q$117)</f>
        <v>3.6693895430107623E-4</v>
      </c>
      <c r="R207" s="282">
        <f t="shared" si="396"/>
        <v>-2.5932138658406187E-4</v>
      </c>
      <c r="S207" s="282">
        <f t="shared" si="396"/>
        <v>-2.5232573987621273E-4</v>
      </c>
      <c r="T207" s="282">
        <f t="shared" ref="T207:U207" si="397">T102 * (1 - T$117)</f>
        <v>-2.5932138658406187E-4</v>
      </c>
      <c r="U207" s="282">
        <f t="shared" si="397"/>
        <v>-2.5932138658406187E-4</v>
      </c>
      <c r="V207" s="282">
        <f t="shared" ref="V207:W207" si="398">V102 * (1 - V$117)</f>
        <v>-2.5232573987621273E-4</v>
      </c>
      <c r="W207" s="282">
        <f t="shared" si="398"/>
        <v>-2.5232573987621273E-4</v>
      </c>
      <c r="X207" s="282">
        <f t="shared" ref="X207:Y207" si="399">X102 * (1 - X$117)</f>
        <v>-2.4943098951434414E-4</v>
      </c>
      <c r="Y207" s="282">
        <f t="shared" si="399"/>
        <v>-2.4943098951434414E-4</v>
      </c>
      <c r="Z207" s="267"/>
      <c r="AA207" s="267"/>
    </row>
    <row r="208" spans="4:27" x14ac:dyDescent="0.3">
      <c r="F208" t="s">
        <v>199</v>
      </c>
      <c r="G208" t="s">
        <v>271</v>
      </c>
      <c r="H208" s="267"/>
      <c r="I208" s="267"/>
      <c r="J208" s="282">
        <f t="shared" ref="J208:K208" si="400">J103 * (1 - J$118)</f>
        <v>1.6062425794107164E-2</v>
      </c>
      <c r="K208" s="282">
        <f t="shared" si="400"/>
        <v>1.6062425794107164E-2</v>
      </c>
      <c r="L208" s="282">
        <f t="shared" ref="L208:M208" si="401">L103 * (1 - L$118)</f>
        <v>1.4048505440011554E-2</v>
      </c>
      <c r="M208" s="282">
        <f t="shared" si="401"/>
        <v>1.4048505440011554E-2</v>
      </c>
      <c r="N208" s="282">
        <f t="shared" ref="N208:P208" si="402">N103 * (1 - N$118)</f>
        <v>9.5512224892063263E-3</v>
      </c>
      <c r="O208" s="282">
        <f t="shared" si="402"/>
        <v>0</v>
      </c>
      <c r="P208" s="282">
        <f t="shared" si="402"/>
        <v>0</v>
      </c>
      <c r="Q208" s="282">
        <f t="shared" ref="Q208:S208" si="403">Q103 * (1 - Q$118)</f>
        <v>1.3880451439728058E-2</v>
      </c>
      <c r="R208" s="282">
        <f t="shared" si="403"/>
        <v>-9.8095279107641483E-3</v>
      </c>
      <c r="S208" s="282">
        <f t="shared" si="403"/>
        <v>-9.5448987857295817E-3</v>
      </c>
      <c r="T208" s="282">
        <f t="shared" ref="T208:U208" si="404">T103 * (1 - T$118)</f>
        <v>-9.8095279107641483E-3</v>
      </c>
      <c r="U208" s="282">
        <f t="shared" si="404"/>
        <v>-9.8095279107641483E-3</v>
      </c>
      <c r="V208" s="282">
        <f t="shared" ref="V208:W208" si="405">V103 * (1 - V$118)</f>
        <v>-9.5448987857295817E-3</v>
      </c>
      <c r="W208" s="282">
        <f t="shared" si="405"/>
        <v>-9.5448987857295817E-3</v>
      </c>
      <c r="X208" s="282">
        <f t="shared" ref="X208:Y208" si="406">X103 * (1 - X$118)</f>
        <v>0</v>
      </c>
      <c r="Y208" s="282">
        <f t="shared" si="406"/>
        <v>0</v>
      </c>
      <c r="Z208" s="267"/>
      <c r="AA208" s="267"/>
    </row>
    <row r="209" spans="2:27" x14ac:dyDescent="0.3">
      <c r="F209" t="s">
        <v>200</v>
      </c>
      <c r="G209" t="s">
        <v>271</v>
      </c>
      <c r="H209" s="267"/>
      <c r="I209" s="267"/>
      <c r="J209" s="282">
        <f t="shared" ref="J209:K209" si="407">J104 * (1 - J$119)</f>
        <v>7.3526098059109243E-3</v>
      </c>
      <c r="K209" s="282">
        <f t="shared" si="407"/>
        <v>7.3526098059109243E-3</v>
      </c>
      <c r="L209" s="282">
        <f t="shared" ref="L209:M209" si="408">L104 * (1 - L$119)</f>
        <v>6.4307334508911587E-3</v>
      </c>
      <c r="M209" s="282">
        <f t="shared" si="408"/>
        <v>6.4307334508911587E-3</v>
      </c>
      <c r="N209" s="282">
        <f t="shared" ref="N209:P209" si="409">N104 * (1 - N$119)</f>
        <v>0</v>
      </c>
      <c r="O209" s="282">
        <f t="shared" si="409"/>
        <v>0</v>
      </c>
      <c r="P209" s="282">
        <f t="shared" si="409"/>
        <v>0</v>
      </c>
      <c r="Q209" s="282">
        <f t="shared" ref="Q209:S209" si="410">Q104 * (1 - Q$119)</f>
        <v>6.353806372363561E-3</v>
      </c>
      <c r="R209" s="282">
        <f t="shared" si="410"/>
        <v>-4.4903324088508582E-3</v>
      </c>
      <c r="S209" s="282">
        <f t="shared" si="410"/>
        <v>0</v>
      </c>
      <c r="T209" s="282">
        <f t="shared" ref="T209:U209" si="411">T104 * (1 - T$119)</f>
        <v>-4.4903324088508582E-3</v>
      </c>
      <c r="U209" s="282">
        <f t="shared" si="411"/>
        <v>-4.4903324088508582E-3</v>
      </c>
      <c r="V209" s="282">
        <f t="shared" ref="V209:W209" si="412">V104 * (1 - V$119)</f>
        <v>0</v>
      </c>
      <c r="W209" s="282">
        <f t="shared" si="412"/>
        <v>0</v>
      </c>
      <c r="X209" s="282">
        <f t="shared" ref="X209:Y209" si="413">X104 * (1 - X$119)</f>
        <v>0</v>
      </c>
      <c r="Y209" s="282">
        <f t="shared" si="413"/>
        <v>0</v>
      </c>
      <c r="Z209" s="267"/>
      <c r="AA209" s="267"/>
    </row>
    <row r="210" spans="2:27" x14ac:dyDescent="0.3">
      <c r="F210" t="s">
        <v>201</v>
      </c>
      <c r="G210" t="s">
        <v>271</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1.2664448741842887E-2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378</v>
      </c>
      <c r="G211" s="23" t="s">
        <v>271</v>
      </c>
      <c r="H211" s="266"/>
      <c r="I211" s="266" t="s">
        <v>156</v>
      </c>
      <c r="J211" s="280"/>
      <c r="K211" s="280"/>
      <c r="L211" s="280"/>
      <c r="M211" s="280"/>
      <c r="N211" s="280"/>
      <c r="O211" s="280"/>
      <c r="P211" s="280"/>
      <c r="Q211" s="281">
        <f>Q106</f>
        <v>0.80418066162481627</v>
      </c>
      <c r="R211" s="280"/>
      <c r="S211" s="280"/>
      <c r="T211" s="280"/>
      <c r="U211" s="280"/>
      <c r="V211" s="280"/>
      <c r="W211" s="280"/>
      <c r="X211" s="280"/>
      <c r="Y211" s="280"/>
      <c r="Z211" s="267"/>
      <c r="AA211" s="267" t="s">
        <v>656</v>
      </c>
    </row>
    <row r="212" spans="2:27" x14ac:dyDescent="0.3">
      <c r="D212"/>
      <c r="F212" s="37" t="s">
        <v>379</v>
      </c>
      <c r="G212" s="37" t="s">
        <v>271</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659</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660</v>
      </c>
      <c r="G217" s="23" t="s">
        <v>271</v>
      </c>
      <c r="H217" s="266"/>
      <c r="I217" s="266"/>
      <c r="J217" s="435">
        <f t="shared" ref="J217:K217" si="421">SUM(J127:J138,J141:J152)</f>
        <v>6.8031184945698344</v>
      </c>
      <c r="K217" s="435">
        <f t="shared" si="421"/>
        <v>6.8031184945698344</v>
      </c>
      <c r="L217" s="435">
        <f t="shared" ref="L217:M217" si="422">SUM(L127:L138,L141:L152)</f>
        <v>5.950137818851168</v>
      </c>
      <c r="M217" s="435">
        <f t="shared" si="422"/>
        <v>5.950137818851168</v>
      </c>
      <c r="N217" s="435">
        <f t="shared" ref="N217:P217" si="423">SUM(N127:N138,N141:N152)</f>
        <v>4.3014561753217393</v>
      </c>
      <c r="O217" s="435">
        <f t="shared" si="423"/>
        <v>2.9643341955680929</v>
      </c>
      <c r="P217" s="435">
        <f t="shared" si="423"/>
        <v>1.7784199069160906</v>
      </c>
      <c r="Q217" s="435">
        <f t="shared" ref="Q217:S217" si="424">SUM(Q127:Q138,Q141:Q152)</f>
        <v>19.584165953502431</v>
      </c>
      <c r="R217" s="435">
        <f t="shared" si="424"/>
        <v>-4.1547510698665358</v>
      </c>
      <c r="S217" s="435">
        <f t="shared" si="424"/>
        <v>-3.651777976005032</v>
      </c>
      <c r="T217" s="435">
        <f t="shared" ref="T217:U217" si="425">SUM(T127:T138,T141:T152)</f>
        <v>-4.1547510698665358</v>
      </c>
      <c r="U217" s="435">
        <f t="shared" si="425"/>
        <v>-4.1547510698665358</v>
      </c>
      <c r="V217" s="435">
        <f t="shared" ref="V217:W217" si="426">SUM(V127:V138,V141:V152)</f>
        <v>-3.651777976005032</v>
      </c>
      <c r="W217" s="435">
        <f t="shared" si="426"/>
        <v>-3.651777976005032</v>
      </c>
      <c r="X217" s="435">
        <f t="shared" ref="X217:Y217" si="427">SUM(X127:X138,X141:X152)</f>
        <v>-2.3894293200408447</v>
      </c>
      <c r="Y217" s="435">
        <f t="shared" si="427"/>
        <v>-2.3894293200408447</v>
      </c>
      <c r="Z217" s="267"/>
      <c r="AA217" s="267"/>
    </row>
    <row r="218" spans="2:27" x14ac:dyDescent="0.3">
      <c r="D218"/>
      <c r="F218" t="s">
        <v>661</v>
      </c>
      <c r="G218" t="s">
        <v>271</v>
      </c>
      <c r="H218" s="267"/>
      <c r="I218" s="267"/>
      <c r="J218" s="435">
        <f t="shared" ref="J218:K218" si="428">SUM(J157:J168,J171:J182)</f>
        <v>1.2089336063668195</v>
      </c>
      <c r="K218" s="435">
        <f t="shared" si="428"/>
        <v>1.2089336063668195</v>
      </c>
      <c r="L218" s="435">
        <f t="shared" ref="L218:M218" si="429">SUM(L157:L168,L171:L182)</f>
        <v>1.0573565016492015</v>
      </c>
      <c r="M218" s="435">
        <f t="shared" si="429"/>
        <v>1.0573565016492015</v>
      </c>
      <c r="N218" s="435">
        <f t="shared" ref="N218:P218" si="430">SUM(N157:N168,N171:N182)</f>
        <v>0.73700946582715976</v>
      </c>
      <c r="O218" s="435">
        <f t="shared" si="430"/>
        <v>0.46633886885364767</v>
      </c>
      <c r="P218" s="435">
        <f t="shared" si="430"/>
        <v>0.23872608992625513</v>
      </c>
      <c r="Q218" s="435">
        <f t="shared" ref="Q218:S218" si="431">SUM(Q157:Q168,Q171:Q182)</f>
        <v>1.9648005165270588</v>
      </c>
      <c r="R218" s="435">
        <f t="shared" si="431"/>
        <v>-0.73831114340567561</v>
      </c>
      <c r="S218" s="435">
        <f t="shared" si="431"/>
        <v>-0.63476438779794908</v>
      </c>
      <c r="T218" s="435">
        <f t="shared" ref="T218:U218" si="432">SUM(T157:T168,T171:T182)</f>
        <v>-0.73831114340567561</v>
      </c>
      <c r="U218" s="435">
        <f t="shared" si="432"/>
        <v>-0.73831114340567561</v>
      </c>
      <c r="V218" s="435">
        <f t="shared" ref="V218:W218" si="433">SUM(V157:V168,V171:V182)</f>
        <v>-0.63476438779794908</v>
      </c>
      <c r="W218" s="435">
        <f t="shared" si="433"/>
        <v>-0.63476438779794908</v>
      </c>
      <c r="X218" s="435">
        <f t="shared" ref="X218:Y218" si="434">SUM(X157:X168,X171:X182)</f>
        <v>-0.36745013544043381</v>
      </c>
      <c r="Y218" s="435">
        <f t="shared" si="434"/>
        <v>-0.36745013544043381</v>
      </c>
      <c r="Z218" s="267"/>
      <c r="AA218" s="267"/>
    </row>
    <row r="219" spans="2:27" x14ac:dyDescent="0.3">
      <c r="D219"/>
      <c r="F219" s="37" t="s">
        <v>662</v>
      </c>
      <c r="G219" s="37" t="s">
        <v>271</v>
      </c>
      <c r="H219" s="269"/>
      <c r="I219" s="269"/>
      <c r="J219" s="273">
        <f t="shared" ref="J219:K219" si="435">SUM(J187:J198,J201:J212)</f>
        <v>8.8763059232267655E-2</v>
      </c>
      <c r="K219" s="273">
        <f t="shared" si="435"/>
        <v>8.8763059232267655E-2</v>
      </c>
      <c r="L219" s="273">
        <f t="shared" ref="L219:M219" si="436">SUM(L187:L198,L201:L212)</f>
        <v>7.7633872771201456E-2</v>
      </c>
      <c r="M219" s="273">
        <f t="shared" si="436"/>
        <v>7.7633872771201456E-2</v>
      </c>
      <c r="N219" s="273">
        <f t="shared" ref="N219:P219" si="437">SUM(N187:N198,N201:N212)</f>
        <v>5.3701908503823358E-2</v>
      </c>
      <c r="O219" s="273">
        <f t="shared" si="437"/>
        <v>3.3331848570263833E-2</v>
      </c>
      <c r="P219" s="273">
        <f t="shared" si="437"/>
        <v>1.6340077606830157E-2</v>
      </c>
      <c r="Q219" s="273">
        <f t="shared" ref="Q219:S219" si="438">SUM(Q187:Q198,Q201:Q212)</f>
        <v>0.89476108730022752</v>
      </c>
      <c r="R219" s="273">
        <f t="shared" si="438"/>
        <v>-5.4208730246908546E-2</v>
      </c>
      <c r="S219" s="273">
        <f t="shared" si="438"/>
        <v>-4.6393202831544231E-2</v>
      </c>
      <c r="T219" s="273">
        <f t="shared" ref="T219:U219" si="439">SUM(T187:T198,T201:T212)</f>
        <v>-5.4208730246908546E-2</v>
      </c>
      <c r="U219" s="273">
        <f t="shared" si="439"/>
        <v>-5.4208730246908546E-2</v>
      </c>
      <c r="V219" s="273">
        <f t="shared" ref="V219:W219" si="440">SUM(V187:V198,V201:V212)</f>
        <v>-4.6393202831544231E-2</v>
      </c>
      <c r="W219" s="273">
        <f t="shared" si="440"/>
        <v>-4.6393202831544231E-2</v>
      </c>
      <c r="X219" s="273">
        <f t="shared" ref="X219:Y219" si="441">SUM(X187:X198,X201:X212)</f>
        <v>-2.6115641118076221E-2</v>
      </c>
      <c r="Y219" s="273">
        <f t="shared" si="441"/>
        <v>-2.6115641118076221E-2</v>
      </c>
      <c r="Z219" s="267"/>
      <c r="AA219" s="267"/>
    </row>
    <row r="221" spans="2:27" x14ac:dyDescent="0.3">
      <c r="B221" s="30" t="s">
        <v>233</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234</v>
      </c>
      <c r="G223" s="6" t="s">
        <v>57</v>
      </c>
      <c r="H223" s="103">
        <f t="array" ref="H223">SUM(IF(ISERROR(H22:Y219), 1))</f>
        <v>0</v>
      </c>
      <c r="AA223" s="3"/>
    </row>
    <row r="225" spans="2:27" x14ac:dyDescent="0.3">
      <c r="B225" s="30" t="s">
        <v>108</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687</v>
      </c>
      <c r="E9"/>
    </row>
    <row r="10" spans="1:27" x14ac:dyDescent="0.3">
      <c r="D10" s="29" t="s">
        <v>688</v>
      </c>
      <c r="E10"/>
    </row>
    <row r="11" spans="1:27" x14ac:dyDescent="0.3">
      <c r="D11" s="29" t="s">
        <v>689</v>
      </c>
      <c r="E11"/>
    </row>
    <row r="12" spans="1:27" x14ac:dyDescent="0.3">
      <c r="D12" s="29" t="s">
        <v>690</v>
      </c>
      <c r="E12"/>
    </row>
    <row r="13" spans="1:27" x14ac:dyDescent="0.3">
      <c r="D13" s="29" t="s">
        <v>691</v>
      </c>
      <c r="E13"/>
    </row>
    <row r="14" spans="1:27" x14ac:dyDescent="0.3">
      <c r="D14" s="29" t="s">
        <v>692</v>
      </c>
      <c r="E14"/>
    </row>
    <row r="15" spans="1:27" x14ac:dyDescent="0.3">
      <c r="D15" s="29" t="s">
        <v>693</v>
      </c>
    </row>
    <row r="17" spans="2:27" x14ac:dyDescent="0.3">
      <c r="B17" s="30" t="s">
        <v>694</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695</v>
      </c>
      <c r="F21" s="2"/>
    </row>
    <row r="22" spans="2:27" x14ac:dyDescent="0.3">
      <c r="D22"/>
      <c r="E22" s="29" t="s">
        <v>696</v>
      </c>
      <c r="F22" s="2"/>
    </row>
    <row r="23" spans="2:27" x14ac:dyDescent="0.3">
      <c r="C23" s="88"/>
      <c r="F23" s="108" t="s">
        <v>191</v>
      </c>
      <c r="G23" s="108" t="s">
        <v>169</v>
      </c>
      <c r="H23" s="207">
        <f>'System peak demand'!H226</f>
        <v>2.4713742436156094E-2</v>
      </c>
    </row>
    <row r="24" spans="2:27" x14ac:dyDescent="0.3">
      <c r="C24" s="88"/>
      <c r="F24" t="s">
        <v>193</v>
      </c>
      <c r="G24" t="s">
        <v>169</v>
      </c>
      <c r="H24" s="25">
        <f>'System peak demand'!H226</f>
        <v>2.4713742436156094E-2</v>
      </c>
    </row>
    <row r="25" spans="2:27" x14ac:dyDescent="0.3">
      <c r="C25" s="88"/>
      <c r="F25" t="s">
        <v>194</v>
      </c>
      <c r="G25" t="s">
        <v>169</v>
      </c>
      <c r="H25" s="25">
        <f>'System peak demand'!H227</f>
        <v>7.0839672179421997E-2</v>
      </c>
    </row>
    <row r="26" spans="2:27" x14ac:dyDescent="0.3">
      <c r="C26" s="88"/>
      <c r="F26" t="s">
        <v>195</v>
      </c>
      <c r="G26" t="s">
        <v>169</v>
      </c>
      <c r="H26" s="25">
        <f>'System peak demand'!H228</f>
        <v>7.0839672179421997E-2</v>
      </c>
    </row>
    <row r="27" spans="2:27" x14ac:dyDescent="0.3">
      <c r="C27" s="88"/>
      <c r="F27" t="s">
        <v>196</v>
      </c>
      <c r="G27" t="s">
        <v>169</v>
      </c>
      <c r="H27" s="25">
        <f>'System peak demand'!H229</f>
        <v>0.15545489876905783</v>
      </c>
    </row>
    <row r="28" spans="2:27" x14ac:dyDescent="0.3">
      <c r="C28" s="88"/>
      <c r="F28" t="s">
        <v>197</v>
      </c>
      <c r="G28" t="s">
        <v>169</v>
      </c>
      <c r="H28" s="25">
        <f>'System peak demand'!H230</f>
        <v>0.15545489876905783</v>
      </c>
    </row>
    <row r="29" spans="2:27" x14ac:dyDescent="0.3">
      <c r="C29" s="88"/>
      <c r="F29" t="s">
        <v>198</v>
      </c>
      <c r="G29" t="s">
        <v>169</v>
      </c>
      <c r="H29" s="25">
        <f>'System peak demand'!H231</f>
        <v>7.0839672179421997E-2</v>
      </c>
    </row>
    <row r="30" spans="2:27" x14ac:dyDescent="0.3">
      <c r="C30" s="88"/>
      <c r="F30" t="s">
        <v>199</v>
      </c>
      <c r="G30" t="s">
        <v>169</v>
      </c>
      <c r="H30" s="25">
        <f>'System peak demand'!H232</f>
        <v>0.54830956435053779</v>
      </c>
    </row>
    <row r="31" spans="2:27" x14ac:dyDescent="0.3">
      <c r="C31" s="88"/>
      <c r="F31" t="s">
        <v>200</v>
      </c>
      <c r="G31" t="s">
        <v>169</v>
      </c>
      <c r="H31" s="25">
        <f>'System peak demand'!H233</f>
        <v>0.54830956435053779</v>
      </c>
    </row>
    <row r="32" spans="2:27" x14ac:dyDescent="0.3">
      <c r="C32" s="88"/>
      <c r="F32" t="s">
        <v>201</v>
      </c>
      <c r="G32" t="s">
        <v>169</v>
      </c>
      <c r="H32" s="25">
        <f>'System peak demand'!H234</f>
        <v>0.64257925988936804</v>
      </c>
    </row>
    <row r="33" spans="3:8" x14ac:dyDescent="0.3">
      <c r="C33" s="88"/>
      <c r="F33" t="s">
        <v>378</v>
      </c>
      <c r="G33" t="s">
        <v>169</v>
      </c>
      <c r="H33" s="66"/>
    </row>
    <row r="34" spans="3:8" x14ac:dyDescent="0.3">
      <c r="C34" s="88"/>
      <c r="F34" s="37" t="s">
        <v>379</v>
      </c>
      <c r="G34" s="37" t="s">
        <v>169</v>
      </c>
      <c r="H34" s="68"/>
    </row>
    <row r="35" spans="3:8" x14ac:dyDescent="0.3">
      <c r="C35" s="88"/>
      <c r="F35" s="2"/>
    </row>
    <row r="36" spans="3:8" x14ac:dyDescent="0.3">
      <c r="E36" s="88" t="s">
        <v>396</v>
      </c>
      <c r="F36" s="2"/>
    </row>
    <row r="37" spans="3:8" x14ac:dyDescent="0.3">
      <c r="C37" s="88"/>
      <c r="F37" s="23" t="s">
        <v>191</v>
      </c>
      <c r="G37" s="64" t="s">
        <v>285</v>
      </c>
      <c r="H37" s="124">
        <f t="array" ref="H37:H46">TRANSPOSE('Load &amp; loss characteristics'!J29:S29)</f>
        <v>1</v>
      </c>
    </row>
    <row r="38" spans="3:8" x14ac:dyDescent="0.3">
      <c r="C38" s="88"/>
      <c r="F38" t="s">
        <v>193</v>
      </c>
      <c r="G38" s="28" t="s">
        <v>285</v>
      </c>
      <c r="H38" s="120">
        <v>1</v>
      </c>
    </row>
    <row r="39" spans="3:8" x14ac:dyDescent="0.3">
      <c r="C39" s="88"/>
      <c r="F39" t="s">
        <v>194</v>
      </c>
      <c r="G39" s="28" t="s">
        <v>285</v>
      </c>
      <c r="H39" s="120">
        <v>1.002</v>
      </c>
    </row>
    <row r="40" spans="3:8" x14ac:dyDescent="0.3">
      <c r="C40" s="88"/>
      <c r="F40" t="s">
        <v>195</v>
      </c>
      <c r="G40" s="28" t="s">
        <v>285</v>
      </c>
      <c r="H40" s="120">
        <v>1.006</v>
      </c>
    </row>
    <row r="41" spans="3:8" x14ac:dyDescent="0.3">
      <c r="C41" s="88"/>
      <c r="F41" t="s">
        <v>196</v>
      </c>
      <c r="G41" s="28" t="s">
        <v>285</v>
      </c>
      <c r="H41" s="120">
        <v>1.0129999999999999</v>
      </c>
    </row>
    <row r="42" spans="3:8" x14ac:dyDescent="0.3">
      <c r="C42" s="88"/>
      <c r="F42" t="s">
        <v>197</v>
      </c>
      <c r="G42" s="28" t="s">
        <v>285</v>
      </c>
      <c r="H42" s="120">
        <v>1.0189999999999999</v>
      </c>
    </row>
    <row r="43" spans="3:8" x14ac:dyDescent="0.3">
      <c r="C43" s="88"/>
      <c r="F43" t="s">
        <v>198</v>
      </c>
      <c r="G43" s="28" t="s">
        <v>285</v>
      </c>
      <c r="H43" s="120">
        <v>1.0189999999999999</v>
      </c>
    </row>
    <row r="44" spans="3:8" x14ac:dyDescent="0.3">
      <c r="C44" s="88"/>
      <c r="F44" t="s">
        <v>199</v>
      </c>
      <c r="G44" s="28" t="s">
        <v>285</v>
      </c>
      <c r="H44" s="120">
        <v>1.034</v>
      </c>
    </row>
    <row r="45" spans="3:8" x14ac:dyDescent="0.3">
      <c r="C45" s="88"/>
      <c r="F45" t="s">
        <v>200</v>
      </c>
      <c r="G45" s="28" t="s">
        <v>285</v>
      </c>
      <c r="H45" s="120">
        <v>1.046</v>
      </c>
    </row>
    <row r="46" spans="3:8" x14ac:dyDescent="0.3">
      <c r="C46" s="88"/>
      <c r="F46" t="s">
        <v>201</v>
      </c>
      <c r="G46" s="28" t="s">
        <v>285</v>
      </c>
      <c r="H46" s="120">
        <v>1.075</v>
      </c>
    </row>
    <row r="47" spans="3:8" x14ac:dyDescent="0.3">
      <c r="C47" s="88"/>
      <c r="F47" t="s">
        <v>378</v>
      </c>
      <c r="G47" s="28" t="s">
        <v>285</v>
      </c>
      <c r="H47" s="79"/>
    </row>
    <row r="48" spans="3:8" x14ac:dyDescent="0.3">
      <c r="C48" s="88"/>
      <c r="F48" s="37" t="s">
        <v>379</v>
      </c>
      <c r="G48" s="67" t="s">
        <v>285</v>
      </c>
      <c r="H48" s="81"/>
    </row>
    <row r="49" spans="3:8" x14ac:dyDescent="0.3">
      <c r="C49" s="88"/>
      <c r="F49" s="2"/>
      <c r="H49" s="89"/>
    </row>
    <row r="50" spans="3:8" x14ac:dyDescent="0.3">
      <c r="C50" s="88"/>
      <c r="E50" s="88" t="s">
        <v>586</v>
      </c>
      <c r="H50" s="89"/>
    </row>
    <row r="51" spans="3:8" x14ac:dyDescent="0.3">
      <c r="C51" s="88"/>
      <c r="E51" s="29"/>
      <c r="F51" s="23" t="s">
        <v>191</v>
      </c>
      <c r="G51" s="23" t="s">
        <v>587</v>
      </c>
      <c r="H51" s="83"/>
    </row>
    <row r="52" spans="3:8" x14ac:dyDescent="0.3">
      <c r="C52" s="88"/>
      <c r="E52" s="29"/>
      <c r="F52" t="s">
        <v>193</v>
      </c>
      <c r="G52" t="s">
        <v>587</v>
      </c>
      <c r="H52" s="79"/>
    </row>
    <row r="53" spans="3:8" x14ac:dyDescent="0.3">
      <c r="C53" s="88"/>
      <c r="E53" s="29"/>
      <c r="F53" t="s">
        <v>194</v>
      </c>
      <c r="G53" t="s">
        <v>587</v>
      </c>
      <c r="H53" s="120">
        <f t="array" ref="H53:H60">TRANSPOSE('Unit costs'!L114:S114)</f>
        <v>5.3356416578238894</v>
      </c>
    </row>
    <row r="54" spans="3:8" x14ac:dyDescent="0.3">
      <c r="C54" s="88"/>
      <c r="E54" s="29"/>
      <c r="F54" t="s">
        <v>195</v>
      </c>
      <c r="G54" t="s">
        <v>587</v>
      </c>
      <c r="H54" s="120">
        <v>3.0260391309600432</v>
      </c>
    </row>
    <row r="55" spans="3:8" x14ac:dyDescent="0.3">
      <c r="C55" s="88"/>
      <c r="E55" s="29"/>
      <c r="F55" t="s">
        <v>196</v>
      </c>
      <c r="G55" t="s">
        <v>587</v>
      </c>
      <c r="H55" s="120">
        <v>3.7642733954053105</v>
      </c>
    </row>
    <row r="56" spans="3:8" x14ac:dyDescent="0.3">
      <c r="C56" s="88"/>
      <c r="E56" s="29"/>
      <c r="F56" t="s">
        <v>197</v>
      </c>
      <c r="G56" t="s">
        <v>587</v>
      </c>
      <c r="H56" s="120">
        <v>6.0915083214516024</v>
      </c>
    </row>
    <row r="57" spans="3:8" x14ac:dyDescent="0.3">
      <c r="C57" s="88"/>
      <c r="E57" s="29"/>
      <c r="F57" t="s">
        <v>198</v>
      </c>
      <c r="G57" t="s">
        <v>587</v>
      </c>
      <c r="H57" s="120">
        <v>6.3223136570228027</v>
      </c>
    </row>
    <row r="58" spans="3:8" x14ac:dyDescent="0.3">
      <c r="C58" s="88"/>
      <c r="E58" s="29"/>
      <c r="F58" t="s">
        <v>199</v>
      </c>
      <c r="G58" t="s">
        <v>587</v>
      </c>
      <c r="H58" s="120">
        <v>13.17171456259633</v>
      </c>
    </row>
    <row r="59" spans="3:8" x14ac:dyDescent="0.3">
      <c r="C59" s="88"/>
      <c r="E59" s="29"/>
      <c r="F59" t="s">
        <v>200</v>
      </c>
      <c r="G59" t="s">
        <v>587</v>
      </c>
      <c r="H59" s="120">
        <v>6.0993540177079266</v>
      </c>
    </row>
    <row r="60" spans="3:8" x14ac:dyDescent="0.3">
      <c r="C60" s="88"/>
      <c r="E60" s="29"/>
      <c r="F60" t="s">
        <v>201</v>
      </c>
      <c r="G60" t="s">
        <v>587</v>
      </c>
      <c r="H60" s="120">
        <v>12.494328947130336</v>
      </c>
    </row>
    <row r="61" spans="3:8" x14ac:dyDescent="0.3">
      <c r="C61" s="88"/>
      <c r="E61" s="29"/>
      <c r="F61" t="s">
        <v>378</v>
      </c>
      <c r="G61" t="s">
        <v>587</v>
      </c>
      <c r="H61" s="79"/>
    </row>
    <row r="62" spans="3:8" x14ac:dyDescent="0.3">
      <c r="C62" s="88"/>
      <c r="E62" s="29"/>
      <c r="F62" s="37" t="s">
        <v>379</v>
      </c>
      <c r="G62" s="37" t="s">
        <v>587</v>
      </c>
      <c r="H62" s="81"/>
    </row>
    <row r="63" spans="3:8" x14ac:dyDescent="0.3">
      <c r="C63" s="88"/>
      <c r="D63"/>
      <c r="E63" s="29"/>
      <c r="H63" s="89"/>
    </row>
    <row r="64" spans="3:8" x14ac:dyDescent="0.3">
      <c r="C64" s="88"/>
      <c r="E64" s="88" t="s">
        <v>605</v>
      </c>
      <c r="H64" s="89"/>
    </row>
    <row r="65" spans="3:25" x14ac:dyDescent="0.3">
      <c r="C65" s="88"/>
      <c r="F65" s="23" t="s">
        <v>191</v>
      </c>
      <c r="G65" s="23" t="s">
        <v>587</v>
      </c>
      <c r="H65" s="124">
        <f t="array" ref="H65:H74">TRANSPOSE('Unit costs'!J115:S115)</f>
        <v>2.7058725763924492</v>
      </c>
    </row>
    <row r="66" spans="3:25" x14ac:dyDescent="0.3">
      <c r="C66" s="88"/>
      <c r="F66" t="s">
        <v>193</v>
      </c>
      <c r="G66" t="s">
        <v>587</v>
      </c>
      <c r="H66" s="120">
        <v>0</v>
      </c>
    </row>
    <row r="67" spans="3:25" x14ac:dyDescent="0.3">
      <c r="C67" s="88"/>
      <c r="F67" t="s">
        <v>194</v>
      </c>
      <c r="G67" t="s">
        <v>587</v>
      </c>
      <c r="H67" s="120">
        <v>3.4202927993663312</v>
      </c>
    </row>
    <row r="68" spans="3:25" x14ac:dyDescent="0.3">
      <c r="C68" s="88"/>
      <c r="F68" t="s">
        <v>195</v>
      </c>
      <c r="G68" t="s">
        <v>587</v>
      </c>
      <c r="H68" s="120">
        <v>1.939774166626578</v>
      </c>
    </row>
    <row r="69" spans="3:25" x14ac:dyDescent="0.3">
      <c r="C69" s="88"/>
      <c r="F69" t="s">
        <v>196</v>
      </c>
      <c r="G69" t="s">
        <v>587</v>
      </c>
      <c r="H69" s="120">
        <v>2.4130025992791269</v>
      </c>
    </row>
    <row r="70" spans="3:25" x14ac:dyDescent="0.3">
      <c r="C70" s="88"/>
      <c r="F70" t="s">
        <v>197</v>
      </c>
      <c r="G70" t="s">
        <v>587</v>
      </c>
      <c r="H70" s="120">
        <v>3.9048240840143547</v>
      </c>
    </row>
    <row r="71" spans="3:25" x14ac:dyDescent="0.3">
      <c r="C71" s="88"/>
      <c r="F71" t="s">
        <v>198</v>
      </c>
      <c r="G71" t="s">
        <v>587</v>
      </c>
      <c r="H71" s="120">
        <v>4.052776641164054</v>
      </c>
    </row>
    <row r="72" spans="3:25" x14ac:dyDescent="0.3">
      <c r="C72" s="88"/>
      <c r="F72" t="s">
        <v>199</v>
      </c>
      <c r="G72" t="s">
        <v>587</v>
      </c>
      <c r="H72" s="120">
        <v>8.4434306804873991</v>
      </c>
    </row>
    <row r="73" spans="3:25" x14ac:dyDescent="0.3">
      <c r="C73" s="88"/>
      <c r="F73" t="s">
        <v>200</v>
      </c>
      <c r="G73" t="s">
        <v>587</v>
      </c>
      <c r="H73" s="120">
        <v>3.9098533907280424</v>
      </c>
    </row>
    <row r="74" spans="3:25" x14ac:dyDescent="0.3">
      <c r="C74" s="88"/>
      <c r="F74" t="s">
        <v>201</v>
      </c>
      <c r="G74" t="s">
        <v>587</v>
      </c>
      <c r="H74" s="120">
        <v>8.0092079025061693</v>
      </c>
    </row>
    <row r="75" spans="3:25" x14ac:dyDescent="0.3">
      <c r="C75" s="88"/>
      <c r="F75" t="s">
        <v>378</v>
      </c>
      <c r="G75" t="s">
        <v>587</v>
      </c>
      <c r="H75" s="79"/>
    </row>
    <row r="76" spans="3:25" x14ac:dyDescent="0.3">
      <c r="C76" s="88"/>
      <c r="F76" s="37" t="s">
        <v>379</v>
      </c>
      <c r="G76" s="37" t="s">
        <v>587</v>
      </c>
      <c r="H76" s="81"/>
    </row>
    <row r="77" spans="3:25" x14ac:dyDescent="0.3">
      <c r="C77" s="88"/>
      <c r="F77" s="2"/>
    </row>
    <row r="78" spans="3:25" x14ac:dyDescent="0.3">
      <c r="E78" s="32" t="s">
        <v>410</v>
      </c>
      <c r="F78" s="2"/>
    </row>
    <row r="79" spans="3:25" x14ac:dyDescent="0.3">
      <c r="E79" s="29" t="s">
        <v>403</v>
      </c>
    </row>
    <row r="80" spans="3:25" x14ac:dyDescent="0.3">
      <c r="C80" s="88"/>
      <c r="F80" s="23" t="s">
        <v>191</v>
      </c>
      <c r="G80" s="64" t="s">
        <v>285</v>
      </c>
      <c r="H80" s="208"/>
      <c r="I80" s="208"/>
      <c r="J80" s="124">
        <f t="array" ref="J80:Y89">TRANSPOSE('Load &amp; loss characteristics'!J145:S160)</f>
        <v>1.075</v>
      </c>
      <c r="K80" s="124">
        <v>1.075</v>
      </c>
      <c r="L80" s="124">
        <v>1.075</v>
      </c>
      <c r="M80" s="124">
        <v>1.075</v>
      </c>
      <c r="N80" s="124">
        <v>1.075</v>
      </c>
      <c r="O80" s="124">
        <v>1.046</v>
      </c>
      <c r="P80" s="124">
        <v>1.034</v>
      </c>
      <c r="Q80" s="124">
        <v>1.075</v>
      </c>
      <c r="R80" s="124">
        <v>-1.075</v>
      </c>
      <c r="S80" s="124">
        <v>-1.046</v>
      </c>
      <c r="T80" s="124">
        <v>-1.075</v>
      </c>
      <c r="U80" s="124">
        <v>-1.075</v>
      </c>
      <c r="V80" s="124">
        <v>-1.046</v>
      </c>
      <c r="W80" s="124">
        <v>-1.046</v>
      </c>
      <c r="X80" s="124">
        <v>-1.034</v>
      </c>
      <c r="Y80" s="124">
        <v>-1.034</v>
      </c>
    </row>
    <row r="81" spans="3:42" x14ac:dyDescent="0.3">
      <c r="C81" s="88"/>
      <c r="F81" t="s">
        <v>193</v>
      </c>
      <c r="G81" s="28" t="s">
        <v>285</v>
      </c>
      <c r="H81" s="209"/>
      <c r="I81" s="209"/>
      <c r="J81" s="120">
        <v>1.075</v>
      </c>
      <c r="K81" s="120">
        <v>1.075</v>
      </c>
      <c r="L81" s="120">
        <v>1.075</v>
      </c>
      <c r="M81" s="120">
        <v>1.075</v>
      </c>
      <c r="N81" s="120">
        <v>1.075</v>
      </c>
      <c r="O81" s="120">
        <v>1.046</v>
      </c>
      <c r="P81" s="120">
        <v>1.034</v>
      </c>
      <c r="Q81" s="120">
        <v>1.075</v>
      </c>
      <c r="R81" s="120">
        <v>-1.075</v>
      </c>
      <c r="S81" s="120">
        <v>-1.046</v>
      </c>
      <c r="T81" s="120">
        <v>-1.075</v>
      </c>
      <c r="U81" s="120">
        <v>-1.075</v>
      </c>
      <c r="V81" s="120">
        <v>-1.046</v>
      </c>
      <c r="W81" s="120">
        <v>-1.046</v>
      </c>
      <c r="X81" s="120">
        <v>-1.034</v>
      </c>
      <c r="Y81" s="120">
        <v>-1.034</v>
      </c>
    </row>
    <row r="82" spans="3:42" x14ac:dyDescent="0.3">
      <c r="C82" s="88"/>
      <c r="F82" t="s">
        <v>194</v>
      </c>
      <c r="G82" s="28" t="s">
        <v>285</v>
      </c>
      <c r="H82" s="209"/>
      <c r="I82" s="209"/>
      <c r="J82" s="120">
        <v>1.075</v>
      </c>
      <c r="K82" s="120">
        <v>1.075</v>
      </c>
      <c r="L82" s="120">
        <v>1.075</v>
      </c>
      <c r="M82" s="120">
        <v>1.075</v>
      </c>
      <c r="N82" s="120">
        <v>1.075</v>
      </c>
      <c r="O82" s="120">
        <v>1.046</v>
      </c>
      <c r="P82" s="120">
        <v>1.034</v>
      </c>
      <c r="Q82" s="120">
        <v>1.075</v>
      </c>
      <c r="R82" s="120">
        <v>-1.075</v>
      </c>
      <c r="S82" s="120">
        <v>-1.046</v>
      </c>
      <c r="T82" s="120">
        <v>-1.075</v>
      </c>
      <c r="U82" s="120">
        <v>-1.075</v>
      </c>
      <c r="V82" s="120">
        <v>-1.046</v>
      </c>
      <c r="W82" s="120">
        <v>-1.046</v>
      </c>
      <c r="X82" s="120">
        <v>-1.034</v>
      </c>
      <c r="Y82" s="120">
        <v>-1.034</v>
      </c>
    </row>
    <row r="83" spans="3:42" x14ac:dyDescent="0.3">
      <c r="C83" s="88"/>
      <c r="F83" t="s">
        <v>195</v>
      </c>
      <c r="G83" s="28" t="s">
        <v>285</v>
      </c>
      <c r="H83" s="209"/>
      <c r="I83" s="209"/>
      <c r="J83" s="120">
        <v>0.99432733158533149</v>
      </c>
      <c r="K83" s="120">
        <v>0.99432733158533149</v>
      </c>
      <c r="L83" s="120">
        <v>0.99432733158533149</v>
      </c>
      <c r="M83" s="120">
        <v>0.99432733158533149</v>
      </c>
      <c r="N83" s="120">
        <v>0.99432733158533149</v>
      </c>
      <c r="O83" s="120">
        <v>0.96750361752395975</v>
      </c>
      <c r="P83" s="120">
        <v>0.95640414963649567</v>
      </c>
      <c r="Q83" s="120">
        <v>0.99432733158533149</v>
      </c>
      <c r="R83" s="120">
        <v>-0.99432733158533149</v>
      </c>
      <c r="S83" s="120">
        <v>-0.96750361752395975</v>
      </c>
      <c r="T83" s="120">
        <v>-0.99432733158533149</v>
      </c>
      <c r="U83" s="120">
        <v>-0.99432733158533149</v>
      </c>
      <c r="V83" s="120">
        <v>-0.96750361752395975</v>
      </c>
      <c r="W83" s="120">
        <v>-0.96750361752395975</v>
      </c>
      <c r="X83" s="120">
        <v>-0.95640414963649567</v>
      </c>
      <c r="Y83" s="120">
        <v>-0.95640414963649567</v>
      </c>
    </row>
    <row r="84" spans="3:42" x14ac:dyDescent="0.3">
      <c r="C84" s="88"/>
      <c r="F84" t="s">
        <v>196</v>
      </c>
      <c r="G84" s="28" t="s">
        <v>285</v>
      </c>
      <c r="H84" s="209"/>
      <c r="I84" s="209"/>
      <c r="J84" s="120">
        <v>0.99432733158533149</v>
      </c>
      <c r="K84" s="120">
        <v>0.99432733158533149</v>
      </c>
      <c r="L84" s="120">
        <v>0.99432733158533149</v>
      </c>
      <c r="M84" s="120">
        <v>0.99432733158533149</v>
      </c>
      <c r="N84" s="120">
        <v>0.99432733158533149</v>
      </c>
      <c r="O84" s="120">
        <v>0.96750361752395975</v>
      </c>
      <c r="P84" s="120">
        <v>0.95640414963649567</v>
      </c>
      <c r="Q84" s="120">
        <v>0.99432733158533149</v>
      </c>
      <c r="R84" s="120">
        <v>-0.99432733158533149</v>
      </c>
      <c r="S84" s="120">
        <v>-0.96750361752395975</v>
      </c>
      <c r="T84" s="120">
        <v>-0.99432733158533149</v>
      </c>
      <c r="U84" s="120">
        <v>-0.99432733158533149</v>
      </c>
      <c r="V84" s="120">
        <v>-0.96750361752395975</v>
      </c>
      <c r="W84" s="120">
        <v>-0.96750361752395975</v>
      </c>
      <c r="X84" s="120">
        <v>-0.95640414963649567</v>
      </c>
      <c r="Y84" s="120">
        <v>-0.95640414963649567</v>
      </c>
    </row>
    <row r="85" spans="3:42" x14ac:dyDescent="0.3">
      <c r="C85" s="88"/>
      <c r="F85" t="s">
        <v>197</v>
      </c>
      <c r="G85" s="28" t="s">
        <v>285</v>
      </c>
      <c r="H85" s="209"/>
      <c r="I85" s="209"/>
      <c r="J85" s="120">
        <v>0.99432733158533149</v>
      </c>
      <c r="K85" s="120">
        <v>0.99432733158533149</v>
      </c>
      <c r="L85" s="120">
        <v>0.99432733158533149</v>
      </c>
      <c r="M85" s="120">
        <v>0.99432733158533149</v>
      </c>
      <c r="N85" s="120">
        <v>0.99432733158533149</v>
      </c>
      <c r="O85" s="120">
        <v>0.96750361752395975</v>
      </c>
      <c r="P85" s="120">
        <v>0.95640414963649567</v>
      </c>
      <c r="Q85" s="120">
        <v>0.99432733158533149</v>
      </c>
      <c r="R85" s="120">
        <v>-0.99432733158533149</v>
      </c>
      <c r="S85" s="120">
        <v>-0.96750361752395975</v>
      </c>
      <c r="T85" s="120">
        <v>-0.99432733158533149</v>
      </c>
      <c r="U85" s="120">
        <v>-0.99432733158533149</v>
      </c>
      <c r="V85" s="120">
        <v>-0.96750361752395975</v>
      </c>
      <c r="W85" s="120">
        <v>-0.96750361752395975</v>
      </c>
      <c r="X85" s="120">
        <v>-0.95640414963649567</v>
      </c>
      <c r="Y85" s="120">
        <v>-0.95640414963649567</v>
      </c>
    </row>
    <row r="86" spans="3:42" x14ac:dyDescent="0.3">
      <c r="C86" s="88"/>
      <c r="F86" t="s">
        <v>198</v>
      </c>
      <c r="G86" s="28" t="s">
        <v>285</v>
      </c>
      <c r="H86" s="209"/>
      <c r="I86" s="209"/>
      <c r="J86" s="120">
        <v>8.0672668414668511E-2</v>
      </c>
      <c r="K86" s="120">
        <v>8.0672668414668511E-2</v>
      </c>
      <c r="L86" s="120">
        <v>8.0672668414668511E-2</v>
      </c>
      <c r="M86" s="120">
        <v>8.0672668414668511E-2</v>
      </c>
      <c r="N86" s="120">
        <v>8.0672668414668511E-2</v>
      </c>
      <c r="O86" s="120">
        <v>7.8496382476040252E-2</v>
      </c>
      <c r="P86" s="120">
        <v>7.7595850363504415E-2</v>
      </c>
      <c r="Q86" s="120">
        <v>8.0672668414668511E-2</v>
      </c>
      <c r="R86" s="120">
        <v>-8.0672668414668511E-2</v>
      </c>
      <c r="S86" s="120">
        <v>-7.8496382476040252E-2</v>
      </c>
      <c r="T86" s="120">
        <v>-8.0672668414668511E-2</v>
      </c>
      <c r="U86" s="120">
        <v>-8.0672668414668511E-2</v>
      </c>
      <c r="V86" s="120">
        <v>-7.8496382476040252E-2</v>
      </c>
      <c r="W86" s="120">
        <v>-7.8496382476040252E-2</v>
      </c>
      <c r="X86" s="120">
        <v>-7.7595850363504415E-2</v>
      </c>
      <c r="Y86" s="120">
        <v>-7.7595850363504415E-2</v>
      </c>
    </row>
    <row r="87" spans="3:42" x14ac:dyDescent="0.3">
      <c r="C87" s="88"/>
      <c r="F87" t="s">
        <v>199</v>
      </c>
      <c r="G87" s="28" t="s">
        <v>285</v>
      </c>
      <c r="H87" s="209"/>
      <c r="I87" s="209"/>
      <c r="J87" s="120">
        <v>1.075</v>
      </c>
      <c r="K87" s="120">
        <v>1.075</v>
      </c>
      <c r="L87" s="120">
        <v>1.075</v>
      </c>
      <c r="M87" s="120">
        <v>1.075</v>
      </c>
      <c r="N87" s="120">
        <v>1.075</v>
      </c>
      <c r="O87" s="120">
        <v>1.046</v>
      </c>
      <c r="P87" s="120">
        <v>1.034</v>
      </c>
      <c r="Q87" s="120">
        <v>1.075</v>
      </c>
      <c r="R87" s="120">
        <v>-1.075</v>
      </c>
      <c r="S87" s="120">
        <v>-1.046</v>
      </c>
      <c r="T87" s="120">
        <v>-1.075</v>
      </c>
      <c r="U87" s="120">
        <v>-1.075</v>
      </c>
      <c r="V87" s="120">
        <v>-1.046</v>
      </c>
      <c r="W87" s="120">
        <v>-1.046</v>
      </c>
      <c r="X87" s="120">
        <v>0</v>
      </c>
      <c r="Y87" s="120">
        <v>0</v>
      </c>
    </row>
    <row r="88" spans="3:42" x14ac:dyDescent="0.3">
      <c r="C88" s="88"/>
      <c r="F88" t="s">
        <v>200</v>
      </c>
      <c r="G88" s="28" t="s">
        <v>285</v>
      </c>
      <c r="H88" s="209"/>
      <c r="I88" s="209"/>
      <c r="J88" s="120">
        <v>1.075</v>
      </c>
      <c r="K88" s="120">
        <v>1.075</v>
      </c>
      <c r="L88" s="120">
        <v>1.075</v>
      </c>
      <c r="M88" s="120">
        <v>1.075</v>
      </c>
      <c r="N88" s="120">
        <v>1.075</v>
      </c>
      <c r="O88" s="120">
        <v>1.046</v>
      </c>
      <c r="P88" s="120">
        <v>0</v>
      </c>
      <c r="Q88" s="120">
        <v>1.075</v>
      </c>
      <c r="R88" s="120">
        <v>-1.075</v>
      </c>
      <c r="S88" s="120">
        <v>0</v>
      </c>
      <c r="T88" s="120">
        <v>-1.075</v>
      </c>
      <c r="U88" s="120">
        <v>-1.075</v>
      </c>
      <c r="V88" s="120">
        <v>0</v>
      </c>
      <c r="W88" s="120">
        <v>0</v>
      </c>
      <c r="X88" s="120">
        <v>0</v>
      </c>
      <c r="Y88" s="120">
        <v>0</v>
      </c>
    </row>
    <row r="89" spans="3:42" x14ac:dyDescent="0.3">
      <c r="C89" s="88"/>
      <c r="F89" t="s">
        <v>201</v>
      </c>
      <c r="G89" s="28" t="s">
        <v>285</v>
      </c>
      <c r="H89" s="209"/>
      <c r="I89" s="209"/>
      <c r="J89" s="120">
        <v>1.075</v>
      </c>
      <c r="K89" s="120">
        <v>1.075</v>
      </c>
      <c r="L89" s="120">
        <v>1.075</v>
      </c>
      <c r="M89" s="120">
        <v>1.075</v>
      </c>
      <c r="N89" s="120">
        <v>1.075</v>
      </c>
      <c r="O89" s="120">
        <v>0</v>
      </c>
      <c r="P89" s="120">
        <v>0</v>
      </c>
      <c r="Q89" s="120">
        <v>1.075</v>
      </c>
      <c r="R89" s="120">
        <v>0</v>
      </c>
      <c r="S89" s="120">
        <v>0</v>
      </c>
      <c r="T89" s="120">
        <v>0</v>
      </c>
      <c r="U89" s="120">
        <v>0</v>
      </c>
      <c r="V89" s="120">
        <v>0</v>
      </c>
      <c r="W89" s="120">
        <v>0</v>
      </c>
      <c r="X89" s="120">
        <v>0</v>
      </c>
      <c r="Y89" s="120">
        <v>0</v>
      </c>
    </row>
    <row r="90" spans="3:42" x14ac:dyDescent="0.3">
      <c r="C90" s="88"/>
      <c r="F90" t="s">
        <v>378</v>
      </c>
      <c r="G90" s="28" t="s">
        <v>285</v>
      </c>
      <c r="J90" s="79"/>
      <c r="K90" s="79"/>
      <c r="L90" s="79"/>
      <c r="M90" s="79"/>
      <c r="N90" s="79"/>
      <c r="O90" s="79"/>
      <c r="P90" s="79"/>
      <c r="Q90" s="79"/>
      <c r="R90" s="79"/>
      <c r="S90" s="79"/>
      <c r="T90" s="79"/>
      <c r="U90" s="79"/>
      <c r="V90" s="79"/>
      <c r="W90" s="79"/>
      <c r="X90" s="79"/>
      <c r="Y90" s="79"/>
    </row>
    <row r="91" spans="3:42" x14ac:dyDescent="0.3">
      <c r="C91" s="88"/>
      <c r="F91" s="37" t="s">
        <v>379</v>
      </c>
      <c r="G91" s="67" t="s">
        <v>285</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122</v>
      </c>
      <c r="H93" s="14"/>
      <c r="J93" s="63"/>
      <c r="L93" s="63"/>
      <c r="AP93" s="3"/>
    </row>
    <row r="94" spans="3:42" x14ac:dyDescent="0.3">
      <c r="C94" s="32"/>
      <c r="D94"/>
      <c r="E94"/>
      <c r="F94" s="23" t="s">
        <v>193</v>
      </c>
      <c r="G94" s="23" t="s">
        <v>169</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194</v>
      </c>
      <c r="G95" t="s">
        <v>169</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1.5008868542263909E-2</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195</v>
      </c>
      <c r="G96" t="s">
        <v>169</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196</v>
      </c>
      <c r="G97" t="s">
        <v>169</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197</v>
      </c>
      <c r="G98" t="s">
        <v>169</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198</v>
      </c>
      <c r="G99" t="s">
        <v>169</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199</v>
      </c>
      <c r="G100" t="s">
        <v>169</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200</v>
      </c>
      <c r="G101" t="s">
        <v>169</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201</v>
      </c>
      <c r="G102" s="37" t="s">
        <v>169</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697</v>
      </c>
    </row>
    <row r="105" spans="3:42" x14ac:dyDescent="0.3">
      <c r="C105" s="88"/>
      <c r="F105" s="23" t="s">
        <v>191</v>
      </c>
      <c r="G105" s="23" t="s">
        <v>169</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193</v>
      </c>
      <c r="G106" t="s">
        <v>169</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194</v>
      </c>
      <c r="G107" t="s">
        <v>169</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195</v>
      </c>
      <c r="G108" t="s">
        <v>169</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3">
      <c r="C109" s="88"/>
      <c r="F109" t="s">
        <v>196</v>
      </c>
      <c r="G109" t="s">
        <v>169</v>
      </c>
      <c r="H109" s="209"/>
      <c r="I109" s="209"/>
      <c r="J109" s="25">
        <v>0</v>
      </c>
      <c r="K109" s="25">
        <v>0</v>
      </c>
      <c r="L109" s="25">
        <v>0</v>
      </c>
      <c r="M109" s="25">
        <v>0</v>
      </c>
      <c r="N109" s="25">
        <v>0</v>
      </c>
      <c r="O109" s="25">
        <v>0</v>
      </c>
      <c r="P109" s="25">
        <v>6.5420049562801799E-2</v>
      </c>
      <c r="Q109" s="25">
        <v>0</v>
      </c>
      <c r="R109" s="25">
        <v>0</v>
      </c>
      <c r="S109" s="25">
        <v>0</v>
      </c>
      <c r="T109" s="25">
        <v>0</v>
      </c>
      <c r="U109" s="25">
        <v>0</v>
      </c>
      <c r="V109" s="25">
        <v>0</v>
      </c>
      <c r="W109" s="25">
        <v>0</v>
      </c>
      <c r="X109" s="25">
        <v>6.5420049562801799E-2</v>
      </c>
      <c r="Y109" s="25">
        <v>6.5420049562801799E-2</v>
      </c>
    </row>
    <row r="110" spans="3:42" x14ac:dyDescent="0.3">
      <c r="C110" s="88"/>
      <c r="F110" t="s">
        <v>197</v>
      </c>
      <c r="G110" t="s">
        <v>169</v>
      </c>
      <c r="H110" s="209"/>
      <c r="I110" s="209"/>
      <c r="J110" s="25">
        <v>0</v>
      </c>
      <c r="K110" s="25">
        <v>0</v>
      </c>
      <c r="L110" s="25">
        <v>0</v>
      </c>
      <c r="M110" s="25">
        <v>0</v>
      </c>
      <c r="N110" s="25">
        <v>0</v>
      </c>
      <c r="O110" s="25">
        <v>0</v>
      </c>
      <c r="P110" s="25">
        <v>0.35162962287700078</v>
      </c>
      <c r="Q110" s="25">
        <v>0</v>
      </c>
      <c r="R110" s="25">
        <v>0</v>
      </c>
      <c r="S110" s="25">
        <v>0</v>
      </c>
      <c r="T110" s="25">
        <v>0</v>
      </c>
      <c r="U110" s="25">
        <v>0</v>
      </c>
      <c r="V110" s="25">
        <v>0</v>
      </c>
      <c r="W110" s="25">
        <v>0</v>
      </c>
      <c r="X110" s="25">
        <v>0.35162962287700078</v>
      </c>
      <c r="Y110" s="25">
        <v>0.35162962287700078</v>
      </c>
    </row>
    <row r="111" spans="3:42" x14ac:dyDescent="0.3">
      <c r="C111" s="88"/>
      <c r="F111" t="s">
        <v>198</v>
      </c>
      <c r="G111" t="s">
        <v>169</v>
      </c>
      <c r="H111" s="209"/>
      <c r="I111" s="209"/>
      <c r="J111" s="25">
        <v>0</v>
      </c>
      <c r="K111" s="25">
        <v>0</v>
      </c>
      <c r="L111" s="25">
        <v>0</v>
      </c>
      <c r="M111" s="25">
        <v>0</v>
      </c>
      <c r="N111" s="25">
        <v>0</v>
      </c>
      <c r="O111" s="25">
        <v>0</v>
      </c>
      <c r="P111" s="25">
        <v>0.35162962287700078</v>
      </c>
      <c r="Q111" s="25">
        <v>0</v>
      </c>
      <c r="R111" s="25">
        <v>0</v>
      </c>
      <c r="S111" s="25">
        <v>0</v>
      </c>
      <c r="T111" s="25">
        <v>0</v>
      </c>
      <c r="U111" s="25">
        <v>0</v>
      </c>
      <c r="V111" s="25">
        <v>0</v>
      </c>
      <c r="W111" s="25">
        <v>0</v>
      </c>
      <c r="X111" s="25">
        <v>0.35162962287700078</v>
      </c>
      <c r="Y111" s="25">
        <v>0.35162962287700078</v>
      </c>
    </row>
    <row r="112" spans="3:42" x14ac:dyDescent="0.3">
      <c r="C112" s="88"/>
      <c r="F112" t="s">
        <v>199</v>
      </c>
      <c r="G112" t="s">
        <v>169</v>
      </c>
      <c r="H112" s="209"/>
      <c r="I112" s="209"/>
      <c r="J112" s="25">
        <v>0.47913351897273304</v>
      </c>
      <c r="K112" s="25">
        <v>0.47913351897273304</v>
      </c>
      <c r="L112" s="25">
        <v>0.47913351897273304</v>
      </c>
      <c r="M112" s="25">
        <v>0.47913351897273304</v>
      </c>
      <c r="N112" s="25">
        <v>0.47913351897273304</v>
      </c>
      <c r="O112" s="25">
        <v>0.47913351897273304</v>
      </c>
      <c r="P112" s="25">
        <v>0.63783919619119978</v>
      </c>
      <c r="Q112" s="25">
        <v>0.47913351897273304</v>
      </c>
      <c r="R112" s="25">
        <v>0.47913351897273304</v>
      </c>
      <c r="S112" s="25">
        <v>0.47913351897273304</v>
      </c>
      <c r="T112" s="25">
        <v>0.47913351897273304</v>
      </c>
      <c r="U112" s="25">
        <v>0.47913351897273304</v>
      </c>
      <c r="V112" s="25">
        <v>0.47913351897273304</v>
      </c>
      <c r="W112" s="25">
        <v>0.47913351897273304</v>
      </c>
      <c r="X112" s="25">
        <v>0.63783919619119978</v>
      </c>
      <c r="Y112" s="25">
        <v>0.63783919619119978</v>
      </c>
    </row>
    <row r="113" spans="2:27" x14ac:dyDescent="0.3">
      <c r="C113" s="88"/>
      <c r="F113" t="s">
        <v>200</v>
      </c>
      <c r="G113" t="s">
        <v>169</v>
      </c>
      <c r="H113" s="209"/>
      <c r="I113" s="209"/>
      <c r="J113" s="25">
        <v>0.70892384564689981</v>
      </c>
      <c r="K113" s="25">
        <v>0.70892384564689981</v>
      </c>
      <c r="L113" s="25">
        <v>0.70892384564689981</v>
      </c>
      <c r="M113" s="25">
        <v>0.70892384564689981</v>
      </c>
      <c r="N113" s="25">
        <v>0.70892384564689981</v>
      </c>
      <c r="O113" s="25">
        <v>0.70892384564689981</v>
      </c>
      <c r="P113" s="25">
        <v>0</v>
      </c>
      <c r="Q113" s="25">
        <v>0.70892384564689981</v>
      </c>
      <c r="R113" s="25">
        <v>0.70892384564689981</v>
      </c>
      <c r="S113" s="25">
        <v>0.70892384564689981</v>
      </c>
      <c r="T113" s="25">
        <v>0.70892384564689981</v>
      </c>
      <c r="U113" s="25">
        <v>0.70892384564689981</v>
      </c>
      <c r="V113" s="25">
        <v>0.70892384564689981</v>
      </c>
      <c r="W113" s="25">
        <v>0.70892384564689981</v>
      </c>
      <c r="X113" s="25">
        <v>0</v>
      </c>
      <c r="Y113" s="25">
        <v>0</v>
      </c>
    </row>
    <row r="114" spans="2:27" x14ac:dyDescent="0.3">
      <c r="C114" s="88"/>
      <c r="F114" t="s">
        <v>201</v>
      </c>
      <c r="G114" t="s">
        <v>169</v>
      </c>
      <c r="H114" s="209"/>
      <c r="I114" s="209"/>
      <c r="J114" s="25">
        <v>0.93871417232106646</v>
      </c>
      <c r="K114" s="25">
        <v>0.93871417232106646</v>
      </c>
      <c r="L114" s="25">
        <v>0.93871417232106646</v>
      </c>
      <c r="M114" s="25">
        <v>0.93871417232106646</v>
      </c>
      <c r="N114" s="25">
        <v>0.93871417232106646</v>
      </c>
      <c r="O114" s="25">
        <v>0</v>
      </c>
      <c r="P114" s="25">
        <v>0</v>
      </c>
      <c r="Q114" s="25">
        <v>0.93871417232106646</v>
      </c>
      <c r="R114" s="25">
        <v>0.93871417232106646</v>
      </c>
      <c r="S114" s="25">
        <v>0</v>
      </c>
      <c r="T114" s="25">
        <v>0.93871417232106646</v>
      </c>
      <c r="U114" s="25">
        <v>0.93871417232106646</v>
      </c>
      <c r="V114" s="25">
        <v>0</v>
      </c>
      <c r="W114" s="25">
        <v>0</v>
      </c>
      <c r="X114" s="25">
        <v>0</v>
      </c>
      <c r="Y114" s="25">
        <v>0</v>
      </c>
    </row>
    <row r="115" spans="2:27" x14ac:dyDescent="0.3">
      <c r="C115" s="88"/>
      <c r="F115" t="s">
        <v>378</v>
      </c>
      <c r="G115" t="s">
        <v>169</v>
      </c>
      <c r="J115" s="66"/>
      <c r="K115" s="66"/>
      <c r="L115" s="66"/>
      <c r="M115" s="66"/>
      <c r="N115" s="66"/>
      <c r="O115" s="66"/>
      <c r="P115" s="66"/>
      <c r="Q115" s="66"/>
      <c r="R115" s="66"/>
      <c r="S115" s="66"/>
      <c r="T115" s="66"/>
      <c r="U115" s="66"/>
      <c r="V115" s="66"/>
      <c r="W115" s="66"/>
      <c r="X115" s="66"/>
      <c r="Y115" s="66"/>
    </row>
    <row r="116" spans="2:27" x14ac:dyDescent="0.3">
      <c r="C116" s="88"/>
      <c r="F116" s="37" t="s">
        <v>379</v>
      </c>
      <c r="G116" s="37" t="s">
        <v>169</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698</v>
      </c>
      <c r="F118" s="2"/>
      <c r="I118" t="s">
        <v>156</v>
      </c>
      <c r="AA118" t="s">
        <v>699</v>
      </c>
    </row>
    <row r="119" spans="2:27" x14ac:dyDescent="0.3">
      <c r="D119"/>
      <c r="E119" s="29" t="s">
        <v>700</v>
      </c>
      <c r="F119" s="2"/>
    </row>
    <row r="120" spans="2:27" x14ac:dyDescent="0.3">
      <c r="D120"/>
      <c r="E120" s="29" t="s">
        <v>701</v>
      </c>
      <c r="F120" s="2"/>
    </row>
    <row r="121" spans="2:27" x14ac:dyDescent="0.3">
      <c r="D121"/>
      <c r="F121" s="23" t="s">
        <v>702</v>
      </c>
      <c r="G121" s="23" t="s">
        <v>675</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703</v>
      </c>
      <c r="G122" t="s">
        <v>675</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229</v>
      </c>
      <c r="G123" s="37" t="s">
        <v>675</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704</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705</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623</v>
      </c>
      <c r="I131" t="s">
        <v>156</v>
      </c>
      <c r="AA131" t="s">
        <v>706</v>
      </c>
    </row>
    <row r="132" spans="3:27" x14ac:dyDescent="0.3">
      <c r="C132" s="88"/>
      <c r="F132" s="23" t="s">
        <v>191</v>
      </c>
      <c r="G132" s="23" t="s">
        <v>273</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193</v>
      </c>
      <c r="G133" t="s">
        <v>273</v>
      </c>
      <c r="J133" s="79"/>
      <c r="K133" s="79"/>
      <c r="L133" s="79"/>
      <c r="M133" s="79"/>
      <c r="N133" s="79"/>
      <c r="O133" s="79"/>
      <c r="P133" s="79"/>
      <c r="Q133" s="79"/>
      <c r="R133" s="79"/>
      <c r="S133" s="79"/>
      <c r="T133" s="79"/>
      <c r="U133" s="79"/>
      <c r="V133" s="79"/>
      <c r="W133" s="79"/>
      <c r="X133" s="79"/>
      <c r="Y133" s="79"/>
    </row>
    <row r="134" spans="3:27" x14ac:dyDescent="0.3">
      <c r="C134" s="88"/>
      <c r="F134" t="s">
        <v>194</v>
      </c>
      <c r="G134" t="s">
        <v>273</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2.0086011824827166E-2</v>
      </c>
      <c r="Q134" s="98">
        <f t="shared" ref="Q134" si="3">hundred*Q95*$H53*Q82/$H39*(1-Q107)/days_in_year/(1+$H25)*PowerFactor</f>
        <v>0</v>
      </c>
      <c r="R134" s="79"/>
      <c r="S134" s="79"/>
      <c r="T134" s="79"/>
      <c r="U134" s="79"/>
      <c r="V134" s="79"/>
      <c r="W134" s="79"/>
      <c r="X134" s="79"/>
      <c r="Y134" s="79"/>
    </row>
    <row r="135" spans="3:27" x14ac:dyDescent="0.3">
      <c r="C135" s="88"/>
      <c r="F135" t="s">
        <v>195</v>
      </c>
      <c r="G135" t="s">
        <v>273</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196</v>
      </c>
      <c r="G136" t="s">
        <v>273</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0.14963643844440946</v>
      </c>
      <c r="Q136" s="98">
        <f t="shared" ref="Q136" si="11">hundred*Q97*$H55*Q84/$H41*(1-Q109)/days_in_year/(1+$H27)*PowerFactor</f>
        <v>0</v>
      </c>
      <c r="R136" s="79"/>
      <c r="S136" s="79"/>
      <c r="T136" s="79"/>
      <c r="U136" s="79"/>
      <c r="V136" s="79"/>
      <c r="W136" s="79"/>
      <c r="X136" s="79"/>
      <c r="Y136" s="79"/>
    </row>
    <row r="137" spans="3:27" x14ac:dyDescent="0.3">
      <c r="C137" s="88"/>
      <c r="F137" t="s">
        <v>197</v>
      </c>
      <c r="G137" t="s">
        <v>273</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0.83501257664370176</v>
      </c>
      <c r="Q137" s="98">
        <f t="shared" ref="Q137" si="15">hundred*Q98*$H56*Q85/$H42*(1-Q110)/days_in_year/(1+$H28)*PowerFactor</f>
        <v>0</v>
      </c>
      <c r="R137" s="79"/>
      <c r="S137" s="79"/>
      <c r="T137" s="79"/>
      <c r="U137" s="79"/>
      <c r="V137" s="79"/>
      <c r="W137" s="79"/>
      <c r="X137" s="79"/>
      <c r="Y137" s="79"/>
    </row>
    <row r="138" spans="3:27" x14ac:dyDescent="0.3">
      <c r="C138" s="88"/>
      <c r="F138" t="s">
        <v>198</v>
      </c>
      <c r="G138" t="s">
        <v>273</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7.5869951008305431E-2</v>
      </c>
      <c r="Q138" s="98">
        <f t="shared" ref="Q138" si="19">hundred*Q99*$H57*Q86/$H43*(1-Q111)/days_in_year/(1+$H29)*PowerFactor</f>
        <v>0</v>
      </c>
      <c r="R138" s="79"/>
      <c r="S138" s="79"/>
      <c r="T138" s="79"/>
      <c r="U138" s="79"/>
      <c r="V138" s="79"/>
      <c r="W138" s="79"/>
      <c r="X138" s="79"/>
      <c r="Y138" s="79"/>
    </row>
    <row r="139" spans="3:27" x14ac:dyDescent="0.3">
      <c r="C139" s="88"/>
      <c r="F139" t="s">
        <v>199</v>
      </c>
      <c r="G139" t="s">
        <v>273</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0.23980574689864639</v>
      </c>
      <c r="O139" s="98">
        <f t="shared" si="22"/>
        <v>1.1666828430510887</v>
      </c>
      <c r="P139" s="98">
        <f t="shared" si="22"/>
        <v>0.80189351340667447</v>
      </c>
      <c r="Q139" s="98">
        <f t="shared" ref="Q139" si="23">hundred*Q100*$H58*Q87/$H44*(1-Q112)/days_in_year/(1+$H30)*PowerFactor</f>
        <v>0</v>
      </c>
      <c r="R139" s="79"/>
      <c r="S139" s="79"/>
      <c r="T139" s="79"/>
      <c r="U139" s="79"/>
      <c r="V139" s="79"/>
      <c r="W139" s="79"/>
      <c r="X139" s="79"/>
      <c r="Y139" s="79"/>
    </row>
    <row r="140" spans="3:27" x14ac:dyDescent="0.3">
      <c r="C140" s="88"/>
      <c r="F140" t="s">
        <v>200</v>
      </c>
      <c r="G140" t="s">
        <v>273</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0.30671865690354327</v>
      </c>
      <c r="O140" s="98">
        <f t="shared" si="26"/>
        <v>0.29844438615916868</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201</v>
      </c>
      <c r="G141" t="s">
        <v>273</v>
      </c>
      <c r="J141" s="98">
        <f t="shared" ref="J141:K141" si="28">hundred*J102*$H60*J89/$H46*(1-J114)/days_in_year/(1+$H32)*PowerFactor</f>
        <v>0.12133257020239309</v>
      </c>
      <c r="K141" s="98">
        <f t="shared" si="28"/>
        <v>0.12133257020239309</v>
      </c>
      <c r="L141" s="98">
        <f t="shared" ref="L141:M141" si="29">hundred*L102*$H60*L89/$H46*(1-L114)/days_in_year/(1+$H32)*PowerFactor</f>
        <v>0.12133257020239309</v>
      </c>
      <c r="M141" s="98">
        <f t="shared" si="29"/>
        <v>0.12133257020239309</v>
      </c>
      <c r="N141" s="98">
        <f t="shared" ref="N141:P141" si="30">hundred*N102*$H60*N89/$H46*(1-N114)/days_in_year/(1+$H32)*PowerFactor</f>
        <v>0.12133257020239309</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378</v>
      </c>
      <c r="G142" t="s">
        <v>273</v>
      </c>
      <c r="J142" s="79"/>
      <c r="K142" s="79"/>
      <c r="L142" s="79"/>
      <c r="M142" s="79"/>
      <c r="N142" s="79"/>
      <c r="O142" s="79"/>
      <c r="P142" s="79"/>
      <c r="Q142" s="79"/>
      <c r="R142" s="79"/>
      <c r="S142" s="79"/>
      <c r="T142" s="79"/>
      <c r="U142" s="79"/>
      <c r="V142" s="79"/>
      <c r="W142" s="79"/>
      <c r="X142" s="79"/>
      <c r="Y142" s="79"/>
    </row>
    <row r="143" spans="3:27" x14ac:dyDescent="0.3">
      <c r="C143" s="88"/>
      <c r="D143"/>
      <c r="F143" s="37" t="s">
        <v>379</v>
      </c>
      <c r="G143" s="37" t="s">
        <v>273</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624</v>
      </c>
      <c r="J145" s="98"/>
      <c r="K145" s="98"/>
      <c r="L145" s="98"/>
      <c r="M145" s="98"/>
      <c r="N145" s="98"/>
      <c r="O145" s="98"/>
      <c r="P145" s="98"/>
      <c r="Q145" s="98"/>
      <c r="R145" s="98"/>
      <c r="S145" s="98"/>
      <c r="T145" s="98"/>
      <c r="U145" s="98"/>
      <c r="V145" s="98"/>
      <c r="W145" s="98"/>
      <c r="X145" s="98"/>
      <c r="Y145" s="98"/>
    </row>
    <row r="146" spans="3:27" x14ac:dyDescent="0.3">
      <c r="C146" s="88"/>
      <c r="F146" s="23" t="s">
        <v>191</v>
      </c>
      <c r="G146" s="23" t="s">
        <v>273</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193</v>
      </c>
      <c r="G147" t="s">
        <v>273</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194</v>
      </c>
      <c r="G148" t="s">
        <v>273</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1.2875685066238549E-2</v>
      </c>
      <c r="Q148" s="98">
        <f t="shared" ref="Q148" si="43">hundred*Q95*$H67*Q82/$H39/days_in_year/(1+$H25)*PowerFactor</f>
        <v>0</v>
      </c>
      <c r="R148" s="79"/>
      <c r="S148" s="79"/>
      <c r="T148" s="79"/>
      <c r="U148" s="79"/>
      <c r="V148" s="79"/>
      <c r="W148" s="79"/>
      <c r="X148" s="79"/>
      <c r="Y148" s="79"/>
    </row>
    <row r="149" spans="3:27" x14ac:dyDescent="0.3">
      <c r="C149" s="88"/>
      <c r="F149" t="s">
        <v>195</v>
      </c>
      <c r="G149" t="s">
        <v>273</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196</v>
      </c>
      <c r="G150" t="s">
        <v>273</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0.10263548394460593</v>
      </c>
      <c r="Q150" s="98">
        <f t="shared" ref="Q150" si="51">hundred*Q97*$H69*Q84/$H41/days_in_year/(1+$H27)*PowerFactor</f>
        <v>0</v>
      </c>
      <c r="R150" s="79"/>
      <c r="S150" s="79"/>
      <c r="T150" s="79"/>
      <c r="U150" s="79"/>
      <c r="V150" s="79"/>
      <c r="W150" s="79"/>
      <c r="X150" s="79"/>
      <c r="Y150" s="79"/>
    </row>
    <row r="151" spans="3:27" x14ac:dyDescent="0.3">
      <c r="C151" s="88"/>
      <c r="F151" t="s">
        <v>197</v>
      </c>
      <c r="G151" t="s">
        <v>273</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0.82555589648654593</v>
      </c>
      <c r="Q151" s="98">
        <f t="shared" ref="Q151" si="55">hundred*Q98*$H70*Q85/$H42/days_in_year/(1+$H28)*PowerFactor</f>
        <v>0</v>
      </c>
      <c r="R151" s="79"/>
      <c r="S151" s="79"/>
      <c r="T151" s="79"/>
      <c r="U151" s="79"/>
      <c r="V151" s="79"/>
      <c r="W151" s="79"/>
      <c r="X151" s="79"/>
      <c r="Y151" s="79"/>
    </row>
    <row r="152" spans="3:27" x14ac:dyDescent="0.3">
      <c r="C152" s="88"/>
      <c r="F152" t="s">
        <v>198</v>
      </c>
      <c r="G152" t="s">
        <v>273</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7.5010709027653485E-2</v>
      </c>
      <c r="Q152" s="98">
        <f t="shared" ref="Q152" si="59">hundred*Q99*$H71*Q86/$H43/days_in_year/(1+$H29)*PowerFactor</f>
        <v>0</v>
      </c>
      <c r="R152" s="79"/>
      <c r="S152" s="79"/>
      <c r="T152" s="79"/>
      <c r="U152" s="79"/>
      <c r="V152" s="79"/>
      <c r="W152" s="79"/>
      <c r="X152" s="79"/>
      <c r="Y152" s="79"/>
    </row>
    <row r="153" spans="3:27" x14ac:dyDescent="0.3">
      <c r="C153" s="88"/>
      <c r="F153" t="s">
        <v>199</v>
      </c>
      <c r="G153" t="s">
        <v>273</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0.29512758744802337</v>
      </c>
      <c r="O153" s="98">
        <f t="shared" si="62"/>
        <v>1.4358300300959652</v>
      </c>
      <c r="P153" s="98">
        <f t="shared" si="62"/>
        <v>1.4193577926570056</v>
      </c>
      <c r="Q153" s="98">
        <f t="shared" ref="Q153" si="63">hundred*Q100*$H72*Q87/$H44/days_in_year/(1+$H30)*PowerFactor</f>
        <v>0</v>
      </c>
      <c r="R153" s="79"/>
      <c r="S153" s="79"/>
      <c r="T153" s="79"/>
      <c r="U153" s="79"/>
      <c r="V153" s="79"/>
      <c r="W153" s="79"/>
      <c r="X153" s="79"/>
      <c r="Y153" s="79"/>
    </row>
    <row r="154" spans="3:27" x14ac:dyDescent="0.3">
      <c r="C154" s="88"/>
      <c r="F154" t="s">
        <v>200</v>
      </c>
      <c r="G154" t="s">
        <v>273</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0.67547642593974344</v>
      </c>
      <c r="O154" s="98">
        <f t="shared" si="66"/>
        <v>0.65725427119346214</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201</v>
      </c>
      <c r="G155" t="s">
        <v>273</v>
      </c>
      <c r="J155" s="98">
        <f t="shared" ref="J155:K155" si="68">hundred*J102*$H74*J89/$H46/days_in_year/(1+$H32)*PowerFactor</f>
        <v>1.2690945326601404</v>
      </c>
      <c r="K155" s="98">
        <f t="shared" si="68"/>
        <v>1.2690945326601404</v>
      </c>
      <c r="L155" s="98">
        <f t="shared" ref="L155:M155" si="69">hundred*L102*$H74*L89/$H46/days_in_year/(1+$H32)*PowerFactor</f>
        <v>1.2690945326601404</v>
      </c>
      <c r="M155" s="98">
        <f t="shared" si="69"/>
        <v>1.2690945326601404</v>
      </c>
      <c r="N155" s="98">
        <f t="shared" ref="N155:P155" si="70">hundred*N102*$H74*N89/$H46/days_in_year/(1+$H32)*PowerFactor</f>
        <v>1.2690945326601404</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378</v>
      </c>
      <c r="G156" t="s">
        <v>273</v>
      </c>
      <c r="J156" s="79"/>
      <c r="K156" s="79"/>
      <c r="L156" s="79"/>
      <c r="M156" s="79"/>
      <c r="N156" s="79"/>
      <c r="O156" s="79"/>
      <c r="P156" s="79"/>
      <c r="Q156" s="79"/>
      <c r="R156" s="79"/>
      <c r="S156" s="79"/>
      <c r="T156" s="79"/>
      <c r="U156" s="79"/>
      <c r="V156" s="79"/>
      <c r="W156" s="79"/>
      <c r="X156" s="79"/>
      <c r="Y156" s="79"/>
    </row>
    <row r="157" spans="3:27" x14ac:dyDescent="0.3">
      <c r="C157" s="88"/>
      <c r="D157"/>
      <c r="F157" s="37" t="s">
        <v>379</v>
      </c>
      <c r="G157" s="37" t="s">
        <v>273</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623</v>
      </c>
      <c r="J161" s="89"/>
      <c r="K161" s="89"/>
      <c r="L161" s="89"/>
      <c r="M161" s="89"/>
      <c r="N161" s="89"/>
      <c r="O161" s="89"/>
      <c r="P161" s="89"/>
      <c r="Q161" s="89"/>
      <c r="R161" s="89"/>
      <c r="S161" s="89"/>
      <c r="T161" s="89"/>
      <c r="U161" s="89"/>
      <c r="V161" s="89"/>
      <c r="W161" s="89"/>
      <c r="X161" s="89"/>
      <c r="Y161" s="89"/>
    </row>
    <row r="162" spans="3:25" x14ac:dyDescent="0.3">
      <c r="C162" s="88"/>
      <c r="F162" s="23" t="s">
        <v>191</v>
      </c>
      <c r="G162" s="23" t="s">
        <v>273</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193</v>
      </c>
      <c r="G163" t="s">
        <v>273</v>
      </c>
      <c r="J163" s="79"/>
      <c r="K163" s="79"/>
      <c r="L163" s="79"/>
      <c r="M163" s="79"/>
      <c r="N163" s="79"/>
      <c r="O163" s="79"/>
      <c r="P163" s="79"/>
      <c r="Q163" s="79"/>
      <c r="R163" s="79"/>
      <c r="S163" s="79"/>
      <c r="T163" s="79"/>
      <c r="U163" s="79"/>
      <c r="V163" s="79"/>
      <c r="W163" s="79"/>
      <c r="X163" s="79"/>
      <c r="Y163" s="79"/>
    </row>
    <row r="164" spans="3:25" x14ac:dyDescent="0.3">
      <c r="C164" s="88"/>
      <c r="F164" t="s">
        <v>194</v>
      </c>
      <c r="G164" t="s">
        <v>273</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2.0086011824827166E-2</v>
      </c>
      <c r="Q164" s="98">
        <f t="shared" ref="Q164" si="75">hundred*Q95*$H53*Q82/$H39/days_in_year/(1+$H25)*PowerFactor</f>
        <v>0</v>
      </c>
      <c r="R164" s="79"/>
      <c r="S164" s="79"/>
      <c r="T164" s="79"/>
      <c r="U164" s="79"/>
      <c r="V164" s="79"/>
      <c r="W164" s="79"/>
      <c r="X164" s="79"/>
      <c r="Y164" s="79"/>
    </row>
    <row r="165" spans="3:25" x14ac:dyDescent="0.3">
      <c r="C165" s="88"/>
      <c r="F165" t="s">
        <v>195</v>
      </c>
      <c r="G165" t="s">
        <v>273</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196</v>
      </c>
      <c r="G166" t="s">
        <v>273</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0.16011090156001018</v>
      </c>
      <c r="Q166" s="98">
        <f t="shared" ref="Q166" si="83">hundred*Q97*$H55*Q84/$H41/days_in_year/(1+$H27)*PowerFactor</f>
        <v>0</v>
      </c>
      <c r="R166" s="79"/>
      <c r="S166" s="79"/>
      <c r="T166" s="79"/>
      <c r="U166" s="79"/>
      <c r="V166" s="79"/>
      <c r="W166" s="79"/>
      <c r="X166" s="79"/>
      <c r="Y166" s="79"/>
    </row>
    <row r="167" spans="3:25" x14ac:dyDescent="0.3">
      <c r="C167" s="88"/>
      <c r="F167" t="s">
        <v>197</v>
      </c>
      <c r="G167" t="s">
        <v>273</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1.2878635516151837</v>
      </c>
      <c r="Q167" s="98">
        <f t="shared" ref="Q167" si="87">hundred*Q98*$H56*Q85/$H42/days_in_year/(1+$H28)*PowerFactor</f>
        <v>0</v>
      </c>
      <c r="R167" s="79"/>
      <c r="S167" s="79"/>
      <c r="T167" s="79"/>
      <c r="U167" s="79"/>
      <c r="V167" s="79"/>
      <c r="W167" s="79"/>
      <c r="X167" s="79"/>
      <c r="Y167" s="79"/>
    </row>
    <row r="168" spans="3:25" x14ac:dyDescent="0.3">
      <c r="C168" s="88"/>
      <c r="F168" t="s">
        <v>198</v>
      </c>
      <c r="G168" t="s">
        <v>273</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0.11701637472236417</v>
      </c>
      <c r="Q168" s="98">
        <f t="shared" ref="Q168" si="91">hundred*Q99*$H57*Q86/$H43/days_in_year/(1+$H29)*PowerFactor</f>
        <v>0</v>
      </c>
      <c r="R168" s="79"/>
      <c r="S168" s="79"/>
      <c r="T168" s="79"/>
      <c r="U168" s="79"/>
      <c r="V168" s="79"/>
      <c r="W168" s="79"/>
      <c r="X168" s="79"/>
      <c r="Y168" s="79"/>
    </row>
    <row r="169" spans="3:25" x14ac:dyDescent="0.3">
      <c r="C169" s="88"/>
      <c r="F169" t="s">
        <v>199</v>
      </c>
      <c r="G169" t="s">
        <v>273</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0.46039773268898965</v>
      </c>
      <c r="O169" s="98">
        <f t="shared" si="94"/>
        <v>2.2398885041520145</v>
      </c>
      <c r="P169" s="98">
        <f t="shared" si="94"/>
        <v>2.2141918865135595</v>
      </c>
      <c r="Q169" s="98">
        <f t="shared" ref="Q169" si="95">hundred*Q100*$H58*Q87/$H44/days_in_year/(1+$H30)*PowerFactor</f>
        <v>0</v>
      </c>
      <c r="R169" s="79"/>
      <c r="S169" s="79"/>
      <c r="T169" s="79"/>
      <c r="U169" s="79"/>
      <c r="V169" s="79"/>
      <c r="W169" s="79"/>
      <c r="X169" s="79"/>
      <c r="Y169" s="79"/>
    </row>
    <row r="170" spans="3:25" x14ac:dyDescent="0.3">
      <c r="C170" s="88"/>
      <c r="F170" t="s">
        <v>200</v>
      </c>
      <c r="G170" t="s">
        <v>273</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1.0537402405401695</v>
      </c>
      <c r="O170" s="98">
        <f t="shared" si="98"/>
        <v>1.0253137596325743</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201</v>
      </c>
      <c r="G171" t="s">
        <v>273</v>
      </c>
      <c r="J171" s="98">
        <f t="shared" ref="J171:K171" si="100">hundred*J102*$H60*J89/$H46/days_in_year/(1+$H32)*PowerFactor</f>
        <v>1.9797818647083403</v>
      </c>
      <c r="K171" s="98">
        <f t="shared" si="100"/>
        <v>1.9797818647083403</v>
      </c>
      <c r="L171" s="98">
        <f t="shared" ref="L171:M171" si="101">hundred*L102*$H60*L89/$H46/days_in_year/(1+$H32)*PowerFactor</f>
        <v>1.9797818647083403</v>
      </c>
      <c r="M171" s="98">
        <f t="shared" si="101"/>
        <v>1.9797818647083403</v>
      </c>
      <c r="N171" s="98">
        <f t="shared" ref="N171:P171" si="102">hundred*N102*$H60*N89/$H46/days_in_year/(1+$H32)*PowerFactor</f>
        <v>1.9797818647083403</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378</v>
      </c>
      <c r="G172" t="s">
        <v>273</v>
      </c>
      <c r="J172" s="79"/>
      <c r="K172" s="79"/>
      <c r="L172" s="79"/>
      <c r="M172" s="79"/>
      <c r="N172" s="79"/>
      <c r="O172" s="79"/>
      <c r="P172" s="79"/>
      <c r="Q172" s="79"/>
      <c r="R172" s="79"/>
      <c r="S172" s="79"/>
      <c r="T172" s="79"/>
      <c r="U172" s="79"/>
      <c r="V172" s="79"/>
      <c r="W172" s="79"/>
      <c r="X172" s="79"/>
      <c r="Y172" s="79"/>
    </row>
    <row r="173" spans="3:25" x14ac:dyDescent="0.3">
      <c r="C173" s="88"/>
      <c r="F173" s="37" t="s">
        <v>379</v>
      </c>
      <c r="G173" s="37" t="s">
        <v>273</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624</v>
      </c>
      <c r="J175" s="89"/>
      <c r="K175" s="89"/>
      <c r="L175" s="89"/>
      <c r="M175" s="89"/>
      <c r="N175" s="89"/>
      <c r="O175" s="89"/>
      <c r="P175" s="89"/>
      <c r="Q175" s="89"/>
      <c r="R175" s="89"/>
      <c r="S175" s="89"/>
      <c r="T175" s="89"/>
      <c r="U175" s="89"/>
      <c r="V175" s="89"/>
      <c r="W175" s="89"/>
      <c r="X175" s="89"/>
      <c r="Y175" s="89"/>
    </row>
    <row r="176" spans="3:25" x14ac:dyDescent="0.3">
      <c r="C176" s="88"/>
      <c r="F176" s="23" t="s">
        <v>191</v>
      </c>
      <c r="G176" s="23" t="s">
        <v>273</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193</v>
      </c>
      <c r="G177" t="s">
        <v>273</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194</v>
      </c>
      <c r="G178" t="s">
        <v>273</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1.2875685066238549E-2</v>
      </c>
      <c r="Q178" s="98">
        <f t="shared" ref="Q178" si="115">hundred*Q95*$H67*Q82/$H39/days_in_year/(1+$H25)*PowerFactor</f>
        <v>0</v>
      </c>
      <c r="R178" s="79"/>
      <c r="S178" s="79"/>
      <c r="T178" s="79"/>
      <c r="U178" s="79"/>
      <c r="V178" s="79"/>
      <c r="W178" s="79"/>
      <c r="X178" s="79"/>
      <c r="Y178" s="79"/>
    </row>
    <row r="179" spans="3:27" x14ac:dyDescent="0.3">
      <c r="C179" s="88"/>
      <c r="F179" t="s">
        <v>195</v>
      </c>
      <c r="G179" t="s">
        <v>273</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196</v>
      </c>
      <c r="G180" t="s">
        <v>273</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0.10263548394460593</v>
      </c>
      <c r="Q180" s="98">
        <f t="shared" ref="Q180" si="123">hundred*Q97*$H69*Q84/$H41/days_in_year/(1+$H27)*PowerFactor</f>
        <v>0</v>
      </c>
      <c r="R180" s="79"/>
      <c r="S180" s="79"/>
      <c r="T180" s="79"/>
      <c r="U180" s="79"/>
      <c r="V180" s="79"/>
      <c r="W180" s="79"/>
      <c r="X180" s="79"/>
      <c r="Y180" s="79"/>
    </row>
    <row r="181" spans="3:27" x14ac:dyDescent="0.3">
      <c r="C181" s="88"/>
      <c r="F181" t="s">
        <v>197</v>
      </c>
      <c r="G181" t="s">
        <v>273</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0.82555589648654593</v>
      </c>
      <c r="Q181" s="98">
        <f t="shared" ref="Q181" si="127">hundred*Q98*$H70*Q85/$H42/days_in_year/(1+$H28)*PowerFactor</f>
        <v>0</v>
      </c>
      <c r="R181" s="79"/>
      <c r="S181" s="79"/>
      <c r="T181" s="79"/>
      <c r="U181" s="79"/>
      <c r="V181" s="79"/>
      <c r="W181" s="79"/>
      <c r="X181" s="79"/>
      <c r="Y181" s="79"/>
    </row>
    <row r="182" spans="3:27" x14ac:dyDescent="0.3">
      <c r="C182" s="88"/>
      <c r="F182" t="s">
        <v>198</v>
      </c>
      <c r="G182" t="s">
        <v>273</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7.5010709027653485E-2</v>
      </c>
      <c r="Q182" s="98">
        <f t="shared" ref="Q182" si="131">hundred*Q99*$H71*Q86/$H43/days_in_year/(1+$H29)*PowerFactor</f>
        <v>0</v>
      </c>
      <c r="R182" s="79"/>
      <c r="S182" s="79"/>
      <c r="T182" s="79"/>
      <c r="U182" s="79"/>
      <c r="V182" s="79"/>
      <c r="W182" s="79"/>
      <c r="X182" s="79"/>
      <c r="Y182" s="79"/>
    </row>
    <row r="183" spans="3:27" x14ac:dyDescent="0.3">
      <c r="C183" s="88"/>
      <c r="F183" t="s">
        <v>199</v>
      </c>
      <c r="G183" t="s">
        <v>273</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0.29512758744802337</v>
      </c>
      <c r="O183" s="98">
        <f t="shared" si="134"/>
        <v>1.4358300300959652</v>
      </c>
      <c r="P183" s="98">
        <f t="shared" si="134"/>
        <v>1.4193577926570056</v>
      </c>
      <c r="Q183" s="98">
        <f t="shared" ref="Q183" si="135">hundred*Q100*$H72*Q87/$H44/days_in_year/(1+$H30)*PowerFactor</f>
        <v>0</v>
      </c>
      <c r="R183" s="79"/>
      <c r="S183" s="79"/>
      <c r="T183" s="79"/>
      <c r="U183" s="79"/>
      <c r="V183" s="79"/>
      <c r="W183" s="79"/>
      <c r="X183" s="79"/>
      <c r="Y183" s="79"/>
    </row>
    <row r="184" spans="3:27" x14ac:dyDescent="0.3">
      <c r="C184" s="88"/>
      <c r="F184" t="s">
        <v>200</v>
      </c>
      <c r="G184" t="s">
        <v>273</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0.67547642593974344</v>
      </c>
      <c r="O184" s="98">
        <f t="shared" si="138"/>
        <v>0.65725427119346214</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201</v>
      </c>
      <c r="G185" t="s">
        <v>273</v>
      </c>
      <c r="J185" s="98">
        <f t="shared" ref="J185:K185" si="140">hundred*J102*$H74*J89/$H46/days_in_year/(1+$H32)*PowerFactor</f>
        <v>1.2690945326601404</v>
      </c>
      <c r="K185" s="98">
        <f t="shared" si="140"/>
        <v>1.2690945326601404</v>
      </c>
      <c r="L185" s="98">
        <f t="shared" ref="L185:M185" si="141">hundred*L102*$H74*L89/$H46/days_in_year/(1+$H32)*PowerFactor</f>
        <v>1.2690945326601404</v>
      </c>
      <c r="M185" s="98">
        <f t="shared" si="141"/>
        <v>1.2690945326601404</v>
      </c>
      <c r="N185" s="98">
        <f t="shared" ref="N185:P185" si="142">hundred*N102*$H74*N89/$H46/days_in_year/(1+$H32)*PowerFactor</f>
        <v>1.2690945326601404</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378</v>
      </c>
      <c r="G186" t="s">
        <v>273</v>
      </c>
      <c r="J186" s="79"/>
      <c r="K186" s="79"/>
      <c r="L186" s="79"/>
      <c r="M186" s="79"/>
      <c r="N186" s="79"/>
      <c r="O186" s="79"/>
      <c r="P186" s="79"/>
      <c r="Q186" s="79"/>
      <c r="R186" s="79"/>
      <c r="S186" s="79"/>
      <c r="T186" s="79"/>
      <c r="U186" s="79"/>
      <c r="V186" s="79"/>
      <c r="W186" s="79"/>
      <c r="X186" s="79"/>
      <c r="Y186" s="79"/>
    </row>
    <row r="187" spans="3:27" x14ac:dyDescent="0.3">
      <c r="C187" s="88"/>
      <c r="F187" s="37" t="s">
        <v>379</v>
      </c>
      <c r="G187" s="37" t="s">
        <v>273</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156</v>
      </c>
      <c r="J190" s="89"/>
      <c r="K190" s="89"/>
      <c r="L190" s="89"/>
      <c r="M190" s="89"/>
      <c r="N190" s="89"/>
      <c r="O190" s="89"/>
      <c r="P190" s="89"/>
      <c r="Q190" s="89"/>
      <c r="R190" s="89"/>
      <c r="S190" s="89"/>
      <c r="T190" s="89"/>
      <c r="U190" s="89"/>
      <c r="V190" s="89"/>
      <c r="W190" s="89"/>
      <c r="X190" s="89"/>
      <c r="Y190" s="89"/>
      <c r="AA190" t="s">
        <v>707</v>
      </c>
    </row>
    <row r="191" spans="3:27" x14ac:dyDescent="0.3">
      <c r="C191" s="88"/>
      <c r="D191"/>
      <c r="E191" s="32" t="s">
        <v>623</v>
      </c>
      <c r="J191" s="89"/>
      <c r="K191" s="89"/>
      <c r="L191" s="89"/>
      <c r="M191" s="89"/>
      <c r="N191" s="89"/>
      <c r="O191" s="89"/>
      <c r="P191" s="89"/>
      <c r="Q191" s="89"/>
      <c r="R191" s="89"/>
      <c r="S191" s="89"/>
      <c r="T191" s="89"/>
      <c r="U191" s="89"/>
      <c r="V191" s="89"/>
      <c r="W191" s="89"/>
      <c r="X191" s="89"/>
      <c r="Y191" s="89"/>
    </row>
    <row r="192" spans="3:27" x14ac:dyDescent="0.3">
      <c r="C192" s="88"/>
      <c r="D192"/>
      <c r="F192" s="23" t="s">
        <v>191</v>
      </c>
      <c r="G192" s="23" t="s">
        <v>273</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193</v>
      </c>
      <c r="G193" t="s">
        <v>273</v>
      </c>
      <c r="J193" s="79"/>
      <c r="K193" s="79"/>
      <c r="L193" s="79"/>
      <c r="M193" s="79"/>
      <c r="N193" s="79"/>
      <c r="O193" s="79"/>
      <c r="P193" s="79"/>
      <c r="Q193" s="79"/>
      <c r="R193" s="79"/>
      <c r="S193" s="79"/>
      <c r="T193" s="79"/>
      <c r="U193" s="79"/>
      <c r="V193" s="79"/>
      <c r="W193" s="79"/>
      <c r="X193" s="79"/>
      <c r="Y193" s="79"/>
    </row>
    <row r="194" spans="3:25" x14ac:dyDescent="0.3">
      <c r="C194" s="88"/>
      <c r="D194"/>
      <c r="F194" t="s">
        <v>194</v>
      </c>
      <c r="G194" t="s">
        <v>273</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2.0086011824827166E-2</v>
      </c>
      <c r="Q194" s="98">
        <f t="shared" ref="Q194" si="147">Q$121 * Q134</f>
        <v>0</v>
      </c>
      <c r="R194" s="79"/>
      <c r="S194" s="79"/>
      <c r="T194" s="79"/>
      <c r="U194" s="79"/>
      <c r="V194" s="79"/>
      <c r="W194" s="79"/>
      <c r="X194" s="79"/>
      <c r="Y194" s="79"/>
    </row>
    <row r="195" spans="3:25" x14ac:dyDescent="0.3">
      <c r="C195" s="88"/>
      <c r="D195"/>
      <c r="F195" t="s">
        <v>195</v>
      </c>
      <c r="G195" t="s">
        <v>273</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196</v>
      </c>
      <c r="G196" t="s">
        <v>273</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0.14963643844440946</v>
      </c>
      <c r="Q196" s="98">
        <f t="shared" ref="Q196" si="155">Q$121 * Q136</f>
        <v>0</v>
      </c>
      <c r="R196" s="79"/>
      <c r="S196" s="79"/>
      <c r="T196" s="79"/>
      <c r="U196" s="79"/>
      <c r="V196" s="79"/>
      <c r="W196" s="79"/>
      <c r="X196" s="79"/>
      <c r="Y196" s="79"/>
    </row>
    <row r="197" spans="3:25" x14ac:dyDescent="0.3">
      <c r="C197" s="88"/>
      <c r="D197"/>
      <c r="F197" t="s">
        <v>197</v>
      </c>
      <c r="G197" t="s">
        <v>273</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0.83501257664370176</v>
      </c>
      <c r="Q197" s="98">
        <f t="shared" ref="Q197" si="159">Q$121 * Q137</f>
        <v>0</v>
      </c>
      <c r="R197" s="79"/>
      <c r="S197" s="79"/>
      <c r="T197" s="79"/>
      <c r="U197" s="79"/>
      <c r="V197" s="79"/>
      <c r="W197" s="79"/>
      <c r="X197" s="79"/>
      <c r="Y197" s="79"/>
    </row>
    <row r="198" spans="3:25" x14ac:dyDescent="0.3">
      <c r="C198" s="88"/>
      <c r="D198"/>
      <c r="F198" t="s">
        <v>198</v>
      </c>
      <c r="G198" t="s">
        <v>273</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7.5869951008305431E-2</v>
      </c>
      <c r="Q198" s="98">
        <f t="shared" ref="Q198" si="163">Q$121 * Q138</f>
        <v>0</v>
      </c>
      <c r="R198" s="79"/>
      <c r="S198" s="79"/>
      <c r="T198" s="79"/>
      <c r="U198" s="79"/>
      <c r="V198" s="79"/>
      <c r="W198" s="79"/>
      <c r="X198" s="79"/>
      <c r="Y198" s="79"/>
    </row>
    <row r="199" spans="3:25" x14ac:dyDescent="0.3">
      <c r="C199" s="88"/>
      <c r="D199"/>
      <c r="F199" t="s">
        <v>199</v>
      </c>
      <c r="G199" t="s">
        <v>273</v>
      </c>
      <c r="J199" s="98">
        <f t="shared" ref="J199:K199" si="164">J$121 * J139</f>
        <v>0</v>
      </c>
      <c r="K199" s="98">
        <f t="shared" si="164"/>
        <v>0</v>
      </c>
      <c r="L199" s="98">
        <f t="shared" ref="L199:M199" si="165">L$121 * L139</f>
        <v>0</v>
      </c>
      <c r="M199" s="98">
        <f t="shared" si="165"/>
        <v>0</v>
      </c>
      <c r="N199" s="98">
        <f t="shared" ref="N199:P199" si="166">N$121 * N139</f>
        <v>0.23980574689864639</v>
      </c>
      <c r="O199" s="98">
        <f t="shared" si="166"/>
        <v>1.1666828430510887</v>
      </c>
      <c r="P199" s="98">
        <f t="shared" si="166"/>
        <v>0.80189351340667447</v>
      </c>
      <c r="Q199" s="98">
        <f t="shared" ref="Q199" si="167">Q$121 * Q139</f>
        <v>0</v>
      </c>
      <c r="R199" s="79"/>
      <c r="S199" s="79"/>
      <c r="T199" s="79"/>
      <c r="U199" s="79"/>
      <c r="V199" s="79"/>
      <c r="W199" s="79"/>
      <c r="X199" s="79"/>
      <c r="Y199" s="79"/>
    </row>
    <row r="200" spans="3:25" x14ac:dyDescent="0.3">
      <c r="C200" s="88"/>
      <c r="D200"/>
      <c r="F200" t="s">
        <v>200</v>
      </c>
      <c r="G200" t="s">
        <v>273</v>
      </c>
      <c r="J200" s="98">
        <f t="shared" ref="J200:K200" si="168">J$121 * J140</f>
        <v>0</v>
      </c>
      <c r="K200" s="98">
        <f t="shared" si="168"/>
        <v>0</v>
      </c>
      <c r="L200" s="98">
        <f t="shared" ref="L200:M200" si="169">L$121 * L140</f>
        <v>0</v>
      </c>
      <c r="M200" s="98">
        <f t="shared" si="169"/>
        <v>0</v>
      </c>
      <c r="N200" s="98">
        <f t="shared" ref="N200:P200" si="170">N$121 * N140</f>
        <v>0.30671865690354327</v>
      </c>
      <c r="O200" s="98">
        <f t="shared" si="170"/>
        <v>0.29844438615916868</v>
      </c>
      <c r="P200" s="98">
        <f t="shared" si="170"/>
        <v>0</v>
      </c>
      <c r="Q200" s="98">
        <f t="shared" ref="Q200" si="171">Q$121 * Q140</f>
        <v>0</v>
      </c>
      <c r="R200" s="79"/>
      <c r="S200" s="79"/>
      <c r="T200" s="79"/>
      <c r="U200" s="79"/>
      <c r="V200" s="79"/>
      <c r="W200" s="79"/>
      <c r="X200" s="79"/>
      <c r="Y200" s="79"/>
    </row>
    <row r="201" spans="3:25" x14ac:dyDescent="0.3">
      <c r="C201" s="88"/>
      <c r="D201"/>
      <c r="F201" t="s">
        <v>201</v>
      </c>
      <c r="G201" t="s">
        <v>273</v>
      </c>
      <c r="J201" s="98">
        <f t="shared" ref="J201:K201" si="172">J$121 * J141</f>
        <v>0</v>
      </c>
      <c r="K201" s="98">
        <f t="shared" si="172"/>
        <v>0</v>
      </c>
      <c r="L201" s="98">
        <f t="shared" ref="L201:M201" si="173">L$121 * L141</f>
        <v>0</v>
      </c>
      <c r="M201" s="98">
        <f t="shared" si="173"/>
        <v>0</v>
      </c>
      <c r="N201" s="98">
        <f t="shared" ref="N201:P201" si="174">N$121 * N141</f>
        <v>0.12133257020239309</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378</v>
      </c>
      <c r="G202" t="s">
        <v>273</v>
      </c>
      <c r="J202" s="79"/>
      <c r="K202" s="79"/>
      <c r="L202" s="79"/>
      <c r="M202" s="79"/>
      <c r="N202" s="79"/>
      <c r="O202" s="79"/>
      <c r="P202" s="79"/>
      <c r="Q202" s="79"/>
      <c r="R202" s="79"/>
      <c r="S202" s="79"/>
      <c r="T202" s="79"/>
      <c r="U202" s="79"/>
      <c r="V202" s="79"/>
      <c r="W202" s="79"/>
      <c r="X202" s="79"/>
      <c r="Y202" s="79"/>
    </row>
    <row r="203" spans="3:25" x14ac:dyDescent="0.3">
      <c r="C203" s="88"/>
      <c r="D203"/>
      <c r="F203" s="37" t="s">
        <v>379</v>
      </c>
      <c r="G203" s="37" t="s">
        <v>273</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624</v>
      </c>
      <c r="J205" s="89"/>
      <c r="K205" s="89"/>
      <c r="L205" s="89"/>
      <c r="M205" s="89"/>
      <c r="N205" s="89"/>
      <c r="O205" s="89"/>
      <c r="P205" s="89"/>
      <c r="Q205" s="89"/>
      <c r="R205" s="89"/>
      <c r="S205" s="89"/>
      <c r="T205" s="89"/>
      <c r="U205" s="89"/>
      <c r="V205" s="89"/>
      <c r="W205" s="89"/>
      <c r="X205" s="89"/>
      <c r="Y205" s="89"/>
    </row>
    <row r="206" spans="3:25" x14ac:dyDescent="0.3">
      <c r="C206" s="88"/>
      <c r="D206"/>
      <c r="F206" s="23" t="s">
        <v>191</v>
      </c>
      <c r="G206" s="23" t="s">
        <v>273</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193</v>
      </c>
      <c r="G207" t="s">
        <v>273</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194</v>
      </c>
      <c r="G208" t="s">
        <v>273</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1.2875685066238549E-2</v>
      </c>
      <c r="Q208" s="98">
        <f t="shared" ref="Q208" si="187">Q$121 * Q148</f>
        <v>0</v>
      </c>
      <c r="R208" s="79"/>
      <c r="S208" s="79"/>
      <c r="T208" s="79"/>
      <c r="U208" s="79"/>
      <c r="V208" s="79"/>
      <c r="W208" s="79"/>
      <c r="X208" s="79"/>
      <c r="Y208" s="79"/>
    </row>
    <row r="209" spans="3:27" x14ac:dyDescent="0.3">
      <c r="C209" s="88"/>
      <c r="D209"/>
      <c r="F209" t="s">
        <v>195</v>
      </c>
      <c r="G209" t="s">
        <v>273</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196</v>
      </c>
      <c r="G210" t="s">
        <v>273</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0.10263548394460593</v>
      </c>
      <c r="Q210" s="98">
        <f t="shared" ref="Q210" si="195">Q$121 * Q150</f>
        <v>0</v>
      </c>
      <c r="R210" s="79"/>
      <c r="S210" s="79"/>
      <c r="T210" s="79"/>
      <c r="U210" s="79"/>
      <c r="V210" s="79"/>
      <c r="W210" s="79"/>
      <c r="X210" s="79"/>
      <c r="Y210" s="79"/>
    </row>
    <row r="211" spans="3:27" x14ac:dyDescent="0.3">
      <c r="C211" s="88"/>
      <c r="D211"/>
      <c r="F211" t="s">
        <v>197</v>
      </c>
      <c r="G211" t="s">
        <v>273</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0.82555589648654593</v>
      </c>
      <c r="Q211" s="98">
        <f t="shared" ref="Q211" si="199">Q$121 * Q151</f>
        <v>0</v>
      </c>
      <c r="R211" s="79"/>
      <c r="S211" s="79"/>
      <c r="T211" s="79"/>
      <c r="U211" s="79"/>
      <c r="V211" s="79"/>
      <c r="W211" s="79"/>
      <c r="X211" s="79"/>
      <c r="Y211" s="79"/>
    </row>
    <row r="212" spans="3:27" x14ac:dyDescent="0.3">
      <c r="C212" s="88"/>
      <c r="D212"/>
      <c r="F212" t="s">
        <v>198</v>
      </c>
      <c r="G212" t="s">
        <v>273</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7.5010709027653485E-2</v>
      </c>
      <c r="Q212" s="98">
        <f t="shared" ref="Q212" si="203">Q$121 * Q152</f>
        <v>0</v>
      </c>
      <c r="R212" s="79"/>
      <c r="S212" s="79"/>
      <c r="T212" s="79"/>
      <c r="U212" s="79"/>
      <c r="V212" s="79"/>
      <c r="W212" s="79"/>
      <c r="X212" s="79"/>
      <c r="Y212" s="79"/>
    </row>
    <row r="213" spans="3:27" x14ac:dyDescent="0.3">
      <c r="C213" s="88"/>
      <c r="D213"/>
      <c r="F213" t="s">
        <v>199</v>
      </c>
      <c r="G213" t="s">
        <v>273</v>
      </c>
      <c r="J213" s="98">
        <f t="shared" ref="J213:K213" si="204">J$121 * J153</f>
        <v>0</v>
      </c>
      <c r="K213" s="98">
        <f t="shared" si="204"/>
        <v>0</v>
      </c>
      <c r="L213" s="98">
        <f t="shared" ref="L213:M213" si="205">L$121 * L153</f>
        <v>0</v>
      </c>
      <c r="M213" s="98">
        <f t="shared" si="205"/>
        <v>0</v>
      </c>
      <c r="N213" s="98">
        <f t="shared" ref="N213:P213" si="206">N$121 * N153</f>
        <v>0.29512758744802337</v>
      </c>
      <c r="O213" s="98">
        <f t="shared" si="206"/>
        <v>1.4358300300959652</v>
      </c>
      <c r="P213" s="98">
        <f t="shared" si="206"/>
        <v>1.4193577926570056</v>
      </c>
      <c r="Q213" s="98">
        <f t="shared" ref="Q213" si="207">Q$121 * Q153</f>
        <v>0</v>
      </c>
      <c r="R213" s="79"/>
      <c r="S213" s="79"/>
      <c r="T213" s="79"/>
      <c r="U213" s="79"/>
      <c r="V213" s="79"/>
      <c r="W213" s="79"/>
      <c r="X213" s="79"/>
      <c r="Y213" s="79"/>
    </row>
    <row r="214" spans="3:27" x14ac:dyDescent="0.3">
      <c r="C214" s="88"/>
      <c r="D214"/>
      <c r="F214" t="s">
        <v>200</v>
      </c>
      <c r="G214" t="s">
        <v>273</v>
      </c>
      <c r="J214" s="98">
        <f t="shared" ref="J214:K214" si="208">J$121 * J154</f>
        <v>0</v>
      </c>
      <c r="K214" s="98">
        <f t="shared" si="208"/>
        <v>0</v>
      </c>
      <c r="L214" s="98">
        <f t="shared" ref="L214:M214" si="209">L$121 * L154</f>
        <v>0</v>
      </c>
      <c r="M214" s="98">
        <f t="shared" si="209"/>
        <v>0</v>
      </c>
      <c r="N214" s="98">
        <f t="shared" ref="N214:P214" si="210">N$121 * N154</f>
        <v>0.67547642593974344</v>
      </c>
      <c r="O214" s="98">
        <f t="shared" si="210"/>
        <v>0.65725427119346214</v>
      </c>
      <c r="P214" s="98">
        <f t="shared" si="210"/>
        <v>0</v>
      </c>
      <c r="Q214" s="98">
        <f t="shared" ref="Q214" si="211">Q$121 * Q154</f>
        <v>0</v>
      </c>
      <c r="R214" s="79"/>
      <c r="S214" s="79"/>
      <c r="T214" s="79"/>
      <c r="U214" s="79"/>
      <c r="V214" s="79"/>
      <c r="W214" s="79"/>
      <c r="X214" s="79"/>
      <c r="Y214" s="79"/>
    </row>
    <row r="215" spans="3:27" x14ac:dyDescent="0.3">
      <c r="C215" s="88"/>
      <c r="D215"/>
      <c r="F215" t="s">
        <v>201</v>
      </c>
      <c r="G215" t="s">
        <v>273</v>
      </c>
      <c r="J215" s="98">
        <f t="shared" ref="J215:K215" si="212">J$121 * J155</f>
        <v>0</v>
      </c>
      <c r="K215" s="98">
        <f t="shared" si="212"/>
        <v>0</v>
      </c>
      <c r="L215" s="98">
        <f t="shared" ref="L215:M215" si="213">L$121 * L155</f>
        <v>0</v>
      </c>
      <c r="M215" s="98">
        <f t="shared" si="213"/>
        <v>0</v>
      </c>
      <c r="N215" s="98">
        <f t="shared" ref="N215:P215" si="214">N$121 * N155</f>
        <v>1.2690945326601404</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378</v>
      </c>
      <c r="G216" t="s">
        <v>273</v>
      </c>
      <c r="J216" s="79"/>
      <c r="K216" s="79"/>
      <c r="L216" s="79"/>
      <c r="M216" s="79"/>
      <c r="N216" s="79"/>
      <c r="O216" s="79"/>
      <c r="P216" s="79"/>
      <c r="Q216" s="79"/>
      <c r="R216" s="79"/>
      <c r="S216" s="79"/>
      <c r="T216" s="79"/>
      <c r="U216" s="79"/>
      <c r="V216" s="79"/>
      <c r="W216" s="79"/>
      <c r="X216" s="79"/>
      <c r="Y216" s="79"/>
    </row>
    <row r="217" spans="3:27" x14ac:dyDescent="0.3">
      <c r="C217" s="88"/>
      <c r="D217"/>
      <c r="F217" s="37" t="s">
        <v>379</v>
      </c>
      <c r="G217" s="37" t="s">
        <v>273</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156</v>
      </c>
      <c r="J220" s="89"/>
      <c r="K220" s="89"/>
      <c r="L220" s="89"/>
      <c r="M220" s="89"/>
      <c r="N220" s="89"/>
      <c r="O220" s="89"/>
      <c r="P220" s="89"/>
      <c r="Q220" s="89"/>
      <c r="R220" s="89"/>
      <c r="S220" s="89"/>
      <c r="T220" s="89"/>
      <c r="U220" s="89"/>
      <c r="V220" s="89"/>
      <c r="W220" s="89"/>
      <c r="X220" s="89"/>
      <c r="Y220" s="89"/>
      <c r="AA220" t="s">
        <v>708</v>
      </c>
    </row>
    <row r="221" spans="3:27" x14ac:dyDescent="0.3">
      <c r="C221" s="88"/>
      <c r="D221"/>
      <c r="E221" s="32" t="s">
        <v>623</v>
      </c>
      <c r="J221" s="89"/>
      <c r="K221" s="89"/>
      <c r="L221" s="89"/>
      <c r="M221" s="89"/>
      <c r="N221" s="89"/>
      <c r="O221" s="89"/>
      <c r="P221" s="89"/>
      <c r="Q221" s="89"/>
      <c r="R221" s="89"/>
      <c r="S221" s="89"/>
      <c r="T221" s="89"/>
      <c r="U221" s="89"/>
      <c r="V221" s="89"/>
      <c r="W221" s="89"/>
      <c r="X221" s="89"/>
      <c r="Y221" s="89"/>
    </row>
    <row r="222" spans="3:27" x14ac:dyDescent="0.3">
      <c r="C222" s="88"/>
      <c r="D222"/>
      <c r="F222" s="23" t="s">
        <v>191</v>
      </c>
      <c r="G222" s="23" t="s">
        <v>273</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193</v>
      </c>
      <c r="G223" t="s">
        <v>273</v>
      </c>
      <c r="J223" s="79"/>
      <c r="K223" s="79"/>
      <c r="L223" s="79"/>
      <c r="M223" s="79"/>
      <c r="N223" s="79"/>
      <c r="O223" s="79"/>
      <c r="P223" s="79"/>
      <c r="Q223" s="79"/>
      <c r="R223" s="79"/>
      <c r="S223" s="79"/>
      <c r="T223" s="79"/>
      <c r="U223" s="79"/>
      <c r="V223" s="79"/>
      <c r="W223" s="79"/>
      <c r="X223" s="79"/>
      <c r="Y223" s="79"/>
    </row>
    <row r="224" spans="3:27" x14ac:dyDescent="0.3">
      <c r="C224" s="88"/>
      <c r="D224"/>
      <c r="F224" t="s">
        <v>194</v>
      </c>
      <c r="G224" t="s">
        <v>273</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2.0086011824827166E-2</v>
      </c>
      <c r="Q224" s="98">
        <f t="shared" ref="Q224" si="219">Q$122 * Q164</f>
        <v>0</v>
      </c>
      <c r="R224" s="79"/>
      <c r="S224" s="79"/>
      <c r="T224" s="79"/>
      <c r="U224" s="79"/>
      <c r="V224" s="79"/>
      <c r="W224" s="79"/>
      <c r="X224" s="79"/>
      <c r="Y224" s="79"/>
    </row>
    <row r="225" spans="3:25" x14ac:dyDescent="0.3">
      <c r="C225" s="88"/>
      <c r="D225"/>
      <c r="F225" t="s">
        <v>195</v>
      </c>
      <c r="G225" t="s">
        <v>273</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196</v>
      </c>
      <c r="G226" t="s">
        <v>273</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0.16011090156001018</v>
      </c>
      <c r="Q226" s="98">
        <f t="shared" ref="Q226" si="227">Q$122 * Q166</f>
        <v>0</v>
      </c>
      <c r="R226" s="79"/>
      <c r="S226" s="79"/>
      <c r="T226" s="79"/>
      <c r="U226" s="79"/>
      <c r="V226" s="79"/>
      <c r="W226" s="79"/>
      <c r="X226" s="79"/>
      <c r="Y226" s="79"/>
    </row>
    <row r="227" spans="3:25" x14ac:dyDescent="0.3">
      <c r="C227" s="88"/>
      <c r="D227"/>
      <c r="F227" t="s">
        <v>197</v>
      </c>
      <c r="G227" t="s">
        <v>273</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1.2878635516151837</v>
      </c>
      <c r="Q227" s="98">
        <f t="shared" ref="Q227" si="231">Q$122 * Q167</f>
        <v>0</v>
      </c>
      <c r="R227" s="79"/>
      <c r="S227" s="79"/>
      <c r="T227" s="79"/>
      <c r="U227" s="79"/>
      <c r="V227" s="79"/>
      <c r="W227" s="79"/>
      <c r="X227" s="79"/>
      <c r="Y227" s="79"/>
    </row>
    <row r="228" spans="3:25" x14ac:dyDescent="0.3">
      <c r="C228" s="88"/>
      <c r="D228"/>
      <c r="F228" t="s">
        <v>198</v>
      </c>
      <c r="G228" t="s">
        <v>273</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0.11701637472236417</v>
      </c>
      <c r="Q228" s="98">
        <f t="shared" ref="Q228" si="235">Q$122 * Q168</f>
        <v>0</v>
      </c>
      <c r="R228" s="79"/>
      <c r="S228" s="79"/>
      <c r="T228" s="79"/>
      <c r="U228" s="79"/>
      <c r="V228" s="79"/>
      <c r="W228" s="79"/>
      <c r="X228" s="79"/>
      <c r="Y228" s="79"/>
    </row>
    <row r="229" spans="3:25" x14ac:dyDescent="0.3">
      <c r="C229" s="88"/>
      <c r="D229"/>
      <c r="F229" t="s">
        <v>199</v>
      </c>
      <c r="G229" t="s">
        <v>273</v>
      </c>
      <c r="J229" s="98">
        <f t="shared" ref="J229:K229" si="236">J$122 * J169</f>
        <v>0</v>
      </c>
      <c r="K229" s="98">
        <f t="shared" si="236"/>
        <v>0</v>
      </c>
      <c r="L229" s="98">
        <f t="shared" ref="L229:M229" si="237">L$122 * L169</f>
        <v>0</v>
      </c>
      <c r="M229" s="98">
        <f t="shared" si="237"/>
        <v>0</v>
      </c>
      <c r="N229" s="98">
        <f t="shared" ref="N229:P229" si="238">N$122 * N169</f>
        <v>0.46039773268898965</v>
      </c>
      <c r="O229" s="98">
        <f t="shared" si="238"/>
        <v>2.2398885041520145</v>
      </c>
      <c r="P229" s="98">
        <f t="shared" si="238"/>
        <v>2.2141918865135595</v>
      </c>
      <c r="Q229" s="98">
        <f t="shared" ref="Q229" si="239">Q$122 * Q169</f>
        <v>0</v>
      </c>
      <c r="R229" s="79"/>
      <c r="S229" s="79"/>
      <c r="T229" s="79"/>
      <c r="U229" s="79"/>
      <c r="V229" s="79"/>
      <c r="W229" s="79"/>
      <c r="X229" s="79"/>
      <c r="Y229" s="79"/>
    </row>
    <row r="230" spans="3:25" x14ac:dyDescent="0.3">
      <c r="C230" s="88"/>
      <c r="D230"/>
      <c r="F230" t="s">
        <v>200</v>
      </c>
      <c r="G230" t="s">
        <v>273</v>
      </c>
      <c r="J230" s="98">
        <f t="shared" ref="J230:K230" si="240">J$122 * J170</f>
        <v>0</v>
      </c>
      <c r="K230" s="98">
        <f t="shared" si="240"/>
        <v>0</v>
      </c>
      <c r="L230" s="98">
        <f t="shared" ref="L230:M230" si="241">L$122 * L170</f>
        <v>0</v>
      </c>
      <c r="M230" s="98">
        <f t="shared" si="241"/>
        <v>0</v>
      </c>
      <c r="N230" s="98">
        <f t="shared" ref="N230:P230" si="242">N$122 * N170</f>
        <v>1.0537402405401695</v>
      </c>
      <c r="O230" s="98">
        <f t="shared" si="242"/>
        <v>1.0253137596325743</v>
      </c>
      <c r="P230" s="98">
        <f t="shared" si="242"/>
        <v>0</v>
      </c>
      <c r="Q230" s="98">
        <f t="shared" ref="Q230" si="243">Q$122 * Q170</f>
        <v>0</v>
      </c>
      <c r="R230" s="79"/>
      <c r="S230" s="79"/>
      <c r="T230" s="79"/>
      <c r="U230" s="79"/>
      <c r="V230" s="79"/>
      <c r="W230" s="79"/>
      <c r="X230" s="79"/>
      <c r="Y230" s="79"/>
    </row>
    <row r="231" spans="3:25" x14ac:dyDescent="0.3">
      <c r="C231" s="88"/>
      <c r="D231"/>
      <c r="F231" t="s">
        <v>201</v>
      </c>
      <c r="G231" t="s">
        <v>273</v>
      </c>
      <c r="J231" s="98">
        <f t="shared" ref="J231:K231" si="244">J$122 * J171</f>
        <v>0</v>
      </c>
      <c r="K231" s="98">
        <f t="shared" si="244"/>
        <v>0</v>
      </c>
      <c r="L231" s="98">
        <f t="shared" ref="L231:M231" si="245">L$122 * L171</f>
        <v>0</v>
      </c>
      <c r="M231" s="98">
        <f t="shared" si="245"/>
        <v>0</v>
      </c>
      <c r="N231" s="98">
        <f t="shared" ref="N231:P231" si="246">N$122 * N171</f>
        <v>1.9797818647083403</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378</v>
      </c>
      <c r="G232" t="s">
        <v>273</v>
      </c>
      <c r="J232" s="79"/>
      <c r="K232" s="79"/>
      <c r="L232" s="79"/>
      <c r="M232" s="79"/>
      <c r="N232" s="79"/>
      <c r="O232" s="79"/>
      <c r="P232" s="79"/>
      <c r="Q232" s="79"/>
      <c r="R232" s="79"/>
      <c r="S232" s="79"/>
      <c r="T232" s="79"/>
      <c r="U232" s="79"/>
      <c r="V232" s="79"/>
      <c r="W232" s="79"/>
      <c r="X232" s="79"/>
      <c r="Y232" s="79"/>
    </row>
    <row r="233" spans="3:25" x14ac:dyDescent="0.3">
      <c r="C233" s="88"/>
      <c r="D233"/>
      <c r="F233" s="37" t="s">
        <v>379</v>
      </c>
      <c r="G233" s="37" t="s">
        <v>273</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624</v>
      </c>
      <c r="J235" s="89"/>
      <c r="K235" s="89"/>
      <c r="L235" s="89"/>
      <c r="M235" s="89"/>
      <c r="N235" s="89"/>
      <c r="O235" s="89"/>
      <c r="P235" s="89"/>
      <c r="Q235" s="89"/>
      <c r="R235" s="89"/>
      <c r="S235" s="89"/>
      <c r="T235" s="89"/>
      <c r="U235" s="89"/>
      <c r="V235" s="89"/>
      <c r="W235" s="89"/>
      <c r="X235" s="89"/>
      <c r="Y235" s="89"/>
    </row>
    <row r="236" spans="3:25" x14ac:dyDescent="0.3">
      <c r="C236" s="88"/>
      <c r="D236"/>
      <c r="F236" s="23" t="s">
        <v>191</v>
      </c>
      <c r="G236" s="23" t="s">
        <v>273</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193</v>
      </c>
      <c r="G237" t="s">
        <v>273</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194</v>
      </c>
      <c r="G238" t="s">
        <v>273</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1.2875685066238549E-2</v>
      </c>
      <c r="Q238" s="98">
        <f t="shared" ref="Q238" si="259">Q$122 * Q178</f>
        <v>0</v>
      </c>
      <c r="R238" s="79"/>
      <c r="S238" s="79"/>
      <c r="T238" s="79"/>
      <c r="U238" s="79"/>
      <c r="V238" s="79"/>
      <c r="W238" s="79"/>
      <c r="X238" s="79"/>
      <c r="Y238" s="79"/>
    </row>
    <row r="239" spans="3:25" x14ac:dyDescent="0.3">
      <c r="C239" s="88"/>
      <c r="D239"/>
      <c r="F239" t="s">
        <v>195</v>
      </c>
      <c r="G239" t="s">
        <v>273</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196</v>
      </c>
      <c r="G240" t="s">
        <v>273</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0.10263548394460593</v>
      </c>
      <c r="Q240" s="98">
        <f t="shared" ref="Q240" si="267">Q$122 * Q180</f>
        <v>0</v>
      </c>
      <c r="R240" s="79"/>
      <c r="S240" s="79"/>
      <c r="T240" s="79"/>
      <c r="U240" s="79"/>
      <c r="V240" s="79"/>
      <c r="W240" s="79"/>
      <c r="X240" s="79"/>
      <c r="Y240" s="79"/>
    </row>
    <row r="241" spans="2:27" x14ac:dyDescent="0.3">
      <c r="C241" s="88"/>
      <c r="D241"/>
      <c r="F241" t="s">
        <v>197</v>
      </c>
      <c r="G241" t="s">
        <v>273</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0.82555589648654593</v>
      </c>
      <c r="Q241" s="98">
        <f t="shared" ref="Q241" si="271">Q$122 * Q181</f>
        <v>0</v>
      </c>
      <c r="R241" s="79"/>
      <c r="S241" s="79"/>
      <c r="T241" s="79"/>
      <c r="U241" s="79"/>
      <c r="V241" s="79"/>
      <c r="W241" s="79"/>
      <c r="X241" s="79"/>
      <c r="Y241" s="79"/>
    </row>
    <row r="242" spans="2:27" x14ac:dyDescent="0.3">
      <c r="C242" s="88"/>
      <c r="D242"/>
      <c r="F242" t="s">
        <v>198</v>
      </c>
      <c r="G242" t="s">
        <v>273</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7.5010709027653485E-2</v>
      </c>
      <c r="Q242" s="98">
        <f t="shared" ref="Q242" si="275">Q$122 * Q182</f>
        <v>0</v>
      </c>
      <c r="R242" s="79"/>
      <c r="S242" s="79"/>
      <c r="T242" s="79"/>
      <c r="U242" s="79"/>
      <c r="V242" s="79"/>
      <c r="W242" s="79"/>
      <c r="X242" s="79"/>
      <c r="Y242" s="79"/>
    </row>
    <row r="243" spans="2:27" x14ac:dyDescent="0.3">
      <c r="C243" s="88"/>
      <c r="D243"/>
      <c r="F243" t="s">
        <v>199</v>
      </c>
      <c r="G243" t="s">
        <v>273</v>
      </c>
      <c r="J243" s="98">
        <f t="shared" ref="J243:K243" si="276">J$122 * J183</f>
        <v>0</v>
      </c>
      <c r="K243" s="98">
        <f t="shared" si="276"/>
        <v>0</v>
      </c>
      <c r="L243" s="98">
        <f t="shared" ref="L243:M243" si="277">L$122 * L183</f>
        <v>0</v>
      </c>
      <c r="M243" s="98">
        <f t="shared" si="277"/>
        <v>0</v>
      </c>
      <c r="N243" s="98">
        <f t="shared" ref="N243:P243" si="278">N$122 * N183</f>
        <v>0.29512758744802337</v>
      </c>
      <c r="O243" s="98">
        <f t="shared" si="278"/>
        <v>1.4358300300959652</v>
      </c>
      <c r="P243" s="98">
        <f t="shared" si="278"/>
        <v>1.4193577926570056</v>
      </c>
      <c r="Q243" s="98">
        <f t="shared" ref="Q243" si="279">Q$122 * Q183</f>
        <v>0</v>
      </c>
      <c r="R243" s="79"/>
      <c r="S243" s="79"/>
      <c r="T243" s="79"/>
      <c r="U243" s="79"/>
      <c r="V243" s="79"/>
      <c r="W243" s="79"/>
      <c r="X243" s="79"/>
      <c r="Y243" s="79"/>
    </row>
    <row r="244" spans="2:27" x14ac:dyDescent="0.3">
      <c r="C244" s="88"/>
      <c r="D244"/>
      <c r="F244" t="s">
        <v>200</v>
      </c>
      <c r="G244" t="s">
        <v>273</v>
      </c>
      <c r="J244" s="98">
        <f t="shared" ref="J244:K244" si="280">J$122 * J184</f>
        <v>0</v>
      </c>
      <c r="K244" s="98">
        <f t="shared" si="280"/>
        <v>0</v>
      </c>
      <c r="L244" s="98">
        <f t="shared" ref="L244:M244" si="281">L$122 * L184</f>
        <v>0</v>
      </c>
      <c r="M244" s="98">
        <f t="shared" si="281"/>
        <v>0</v>
      </c>
      <c r="N244" s="98">
        <f t="shared" ref="N244:P244" si="282">N$122 * N184</f>
        <v>0.67547642593974344</v>
      </c>
      <c r="O244" s="98">
        <f t="shared" si="282"/>
        <v>0.65725427119346214</v>
      </c>
      <c r="P244" s="98">
        <f t="shared" si="282"/>
        <v>0</v>
      </c>
      <c r="Q244" s="98">
        <f t="shared" ref="Q244" si="283">Q$122 * Q184</f>
        <v>0</v>
      </c>
      <c r="R244" s="79"/>
      <c r="S244" s="79"/>
      <c r="T244" s="79"/>
      <c r="U244" s="79"/>
      <c r="V244" s="79"/>
      <c r="W244" s="79"/>
      <c r="X244" s="79"/>
      <c r="Y244" s="79"/>
    </row>
    <row r="245" spans="2:27" x14ac:dyDescent="0.3">
      <c r="C245" s="88"/>
      <c r="D245"/>
      <c r="F245" t="s">
        <v>201</v>
      </c>
      <c r="G245" t="s">
        <v>273</v>
      </c>
      <c r="J245" s="98">
        <f t="shared" ref="J245:K245" si="284">J$122 * J185</f>
        <v>0</v>
      </c>
      <c r="K245" s="98">
        <f t="shared" si="284"/>
        <v>0</v>
      </c>
      <c r="L245" s="98">
        <f t="shared" ref="L245:M245" si="285">L$122 * L185</f>
        <v>0</v>
      </c>
      <c r="M245" s="98">
        <f t="shared" si="285"/>
        <v>0</v>
      </c>
      <c r="N245" s="98">
        <f t="shared" ref="N245:P245" si="286">N$122 * N185</f>
        <v>1.2690945326601404</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378</v>
      </c>
      <c r="G246" t="s">
        <v>273</v>
      </c>
      <c r="J246" s="79"/>
      <c r="K246" s="79"/>
      <c r="L246" s="79"/>
      <c r="M246" s="79"/>
      <c r="N246" s="79"/>
      <c r="O246" s="79"/>
      <c r="P246" s="79"/>
      <c r="Q246" s="79"/>
      <c r="R246" s="79"/>
      <c r="S246" s="79"/>
      <c r="T246" s="79"/>
      <c r="U246" s="79"/>
      <c r="V246" s="79"/>
      <c r="W246" s="79"/>
      <c r="X246" s="79"/>
      <c r="Y246" s="79"/>
    </row>
    <row r="247" spans="2:27" x14ac:dyDescent="0.3">
      <c r="C247" s="88"/>
      <c r="D247"/>
      <c r="F247" s="37" t="s">
        <v>379</v>
      </c>
      <c r="G247" s="37" t="s">
        <v>273</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709</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710</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711</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712</v>
      </c>
      <c r="G256" t="s">
        <v>273</v>
      </c>
      <c r="I256" t="s">
        <v>156</v>
      </c>
      <c r="J256" s="131">
        <f t="shared" ref="J256:K256" si="288">SUM(J192:J203,J206:J217)</f>
        <v>0</v>
      </c>
      <c r="K256" s="131">
        <f t="shared" si="288"/>
        <v>0</v>
      </c>
      <c r="L256" s="131">
        <f t="shared" ref="L256:M256" si="289">SUM(L192:L203,L206:L217)</f>
        <v>0</v>
      </c>
      <c r="M256" s="131">
        <f t="shared" si="289"/>
        <v>0</v>
      </c>
      <c r="N256" s="131">
        <f t="shared" ref="N256:P256" si="290">SUM(N192:N203,N206:N217)</f>
        <v>2.9075555200524899</v>
      </c>
      <c r="O256" s="131">
        <f t="shared" si="290"/>
        <v>3.5582115304996851</v>
      </c>
      <c r="P256" s="131">
        <f t="shared" si="290"/>
        <v>4.3179340585099677</v>
      </c>
      <c r="Q256" s="131">
        <f t="shared" ref="Q256" si="291">SUM(Q192:Q203,Q206:Q217)</f>
        <v>0</v>
      </c>
      <c r="R256" s="79"/>
      <c r="S256" s="79"/>
      <c r="T256" s="79"/>
      <c r="U256" s="79"/>
      <c r="V256" s="79"/>
      <c r="W256" s="79"/>
      <c r="X256" s="79"/>
      <c r="Y256" s="79"/>
      <c r="AA256" t="s">
        <v>713</v>
      </c>
    </row>
    <row r="257" spans="3:27" x14ac:dyDescent="0.3">
      <c r="E257" t="s">
        <v>714</v>
      </c>
      <c r="G257" t="s">
        <v>273</v>
      </c>
      <c r="I257" t="s">
        <v>156</v>
      </c>
      <c r="J257" s="121">
        <f t="shared" ref="J257:K257" si="292">SUM(J222:J233,J236:J247)</f>
        <v>0</v>
      </c>
      <c r="K257" s="121">
        <f t="shared" si="292"/>
        <v>0</v>
      </c>
      <c r="L257" s="121">
        <f t="shared" ref="L257:M257" si="293">SUM(L222:L233,L236:L247)</f>
        <v>0</v>
      </c>
      <c r="M257" s="121">
        <f t="shared" si="293"/>
        <v>0</v>
      </c>
      <c r="N257" s="121">
        <f t="shared" ref="N257:P257" si="294">SUM(N222:N233,N236:N247)</f>
        <v>5.7336183839854069</v>
      </c>
      <c r="O257" s="121">
        <f t="shared" si="294"/>
        <v>5.3582865650740166</v>
      </c>
      <c r="P257" s="121">
        <f t="shared" si="294"/>
        <v>6.2347042934179937</v>
      </c>
      <c r="Q257" s="121">
        <f t="shared" ref="Q257" si="295">SUM(Q222:Q233,Q236:Q247)</f>
        <v>0</v>
      </c>
      <c r="R257" s="79"/>
      <c r="S257" s="79"/>
      <c r="T257" s="79"/>
      <c r="U257" s="79"/>
      <c r="V257" s="79"/>
      <c r="W257" s="79"/>
      <c r="X257" s="79"/>
      <c r="Y257" s="79"/>
      <c r="AA257" t="s">
        <v>713</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156</v>
      </c>
      <c r="J260" s="89"/>
      <c r="K260" s="89"/>
      <c r="L260" s="89"/>
      <c r="M260" s="89"/>
      <c r="N260" s="89"/>
      <c r="O260" s="89"/>
      <c r="P260" s="89"/>
      <c r="Q260" s="89"/>
      <c r="R260" s="89"/>
      <c r="S260" s="89"/>
      <c r="T260" s="89"/>
      <c r="U260" s="89"/>
      <c r="V260" s="89"/>
      <c r="W260" s="89"/>
      <c r="X260" s="89"/>
      <c r="Y260" s="89"/>
      <c r="AA260" t="s">
        <v>715</v>
      </c>
    </row>
    <row r="261" spans="3:27" x14ac:dyDescent="0.3">
      <c r="C261" s="88"/>
      <c r="D261"/>
      <c r="E261" s="32" t="s">
        <v>623</v>
      </c>
      <c r="J261" s="89"/>
      <c r="K261" s="89"/>
      <c r="L261" s="89"/>
      <c r="M261" s="89"/>
      <c r="N261" s="89"/>
      <c r="O261" s="89"/>
      <c r="P261" s="89"/>
      <c r="Q261" s="89"/>
      <c r="R261" s="89"/>
      <c r="S261" s="89"/>
      <c r="T261" s="89"/>
      <c r="U261" s="89"/>
      <c r="V261" s="89"/>
      <c r="W261" s="89"/>
      <c r="X261" s="89"/>
      <c r="Y261" s="89"/>
    </row>
    <row r="262" spans="3:27" x14ac:dyDescent="0.3">
      <c r="C262" s="88"/>
      <c r="D262"/>
      <c r="F262" s="23" t="s">
        <v>191</v>
      </c>
      <c r="G262" s="23" t="s">
        <v>273</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193</v>
      </c>
      <c r="G263" t="s">
        <v>273</v>
      </c>
      <c r="J263" s="79"/>
      <c r="K263" s="79"/>
      <c r="L263" s="79"/>
      <c r="M263" s="79"/>
      <c r="N263" s="79"/>
      <c r="O263" s="79"/>
      <c r="P263" s="79"/>
      <c r="Q263" s="79"/>
      <c r="R263" s="79"/>
      <c r="S263" s="79"/>
      <c r="T263" s="79"/>
      <c r="U263" s="79"/>
      <c r="V263" s="79"/>
      <c r="W263" s="79"/>
      <c r="X263" s="79"/>
      <c r="Y263" s="79"/>
    </row>
    <row r="264" spans="3:27" x14ac:dyDescent="0.3">
      <c r="C264" s="88"/>
      <c r="D264"/>
      <c r="F264" t="s">
        <v>194</v>
      </c>
      <c r="G264" t="s">
        <v>273</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195</v>
      </c>
      <c r="G265" t="s">
        <v>273</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196</v>
      </c>
      <c r="G266" t="s">
        <v>273</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197</v>
      </c>
      <c r="G267" t="s">
        <v>273</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198</v>
      </c>
      <c r="G268" t="s">
        <v>273</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199</v>
      </c>
      <c r="G269" t="s">
        <v>273</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200</v>
      </c>
      <c r="G270" t="s">
        <v>273</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201</v>
      </c>
      <c r="G271" t="s">
        <v>273</v>
      </c>
      <c r="J271" s="121">
        <f t="shared" ref="J271:K271" si="324">J$123 * J141</f>
        <v>0.12133257020239309</v>
      </c>
      <c r="K271" s="121">
        <f t="shared" si="324"/>
        <v>0</v>
      </c>
      <c r="L271" s="121">
        <f t="shared" ref="L271:M271" si="325">L$123 * L141</f>
        <v>0.12133257020239309</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378</v>
      </c>
      <c r="G272" t="s">
        <v>273</v>
      </c>
      <c r="J272" s="79"/>
      <c r="K272" s="79"/>
      <c r="L272" s="79"/>
      <c r="M272" s="79"/>
      <c r="N272" s="79"/>
      <c r="O272" s="79"/>
      <c r="P272" s="79"/>
      <c r="Q272" s="79"/>
      <c r="R272" s="79"/>
      <c r="S272" s="79"/>
      <c r="T272" s="79"/>
      <c r="U272" s="79"/>
      <c r="V272" s="79"/>
      <c r="W272" s="79"/>
      <c r="X272" s="79"/>
      <c r="Y272" s="79"/>
    </row>
    <row r="273" spans="3:25" x14ac:dyDescent="0.3">
      <c r="C273" s="88"/>
      <c r="D273"/>
      <c r="F273" s="37" t="s">
        <v>379</v>
      </c>
      <c r="G273" s="37" t="s">
        <v>273</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716</v>
      </c>
      <c r="J275" s="89"/>
      <c r="K275" s="89"/>
      <c r="L275" s="89"/>
      <c r="M275" s="89"/>
      <c r="N275" s="89"/>
      <c r="O275" s="89"/>
      <c r="P275" s="89"/>
      <c r="Q275" s="89"/>
      <c r="R275" s="89"/>
      <c r="S275" s="89"/>
      <c r="T275" s="89"/>
      <c r="U275" s="89"/>
      <c r="V275" s="89"/>
      <c r="W275" s="89"/>
      <c r="X275" s="89"/>
      <c r="Y275" s="89"/>
    </row>
    <row r="276" spans="3:25" x14ac:dyDescent="0.3">
      <c r="C276" s="88"/>
      <c r="D276"/>
      <c r="F276" s="23" t="s">
        <v>191</v>
      </c>
      <c r="G276" s="23" t="s">
        <v>273</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193</v>
      </c>
      <c r="G277" t="s">
        <v>273</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194</v>
      </c>
      <c r="G278" t="s">
        <v>273</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195</v>
      </c>
      <c r="G279" t="s">
        <v>273</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196</v>
      </c>
      <c r="G280" t="s">
        <v>273</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197</v>
      </c>
      <c r="G281" t="s">
        <v>273</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198</v>
      </c>
      <c r="G282" t="s">
        <v>273</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199</v>
      </c>
      <c r="G283" t="s">
        <v>273</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200</v>
      </c>
      <c r="G284" t="s">
        <v>273</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201</v>
      </c>
      <c r="G285" t="s">
        <v>273</v>
      </c>
      <c r="J285" s="121">
        <f t="shared" ref="J285:K285" si="364">J$123 * J155</f>
        <v>1.2690945326601404</v>
      </c>
      <c r="K285" s="121">
        <f t="shared" si="364"/>
        <v>0</v>
      </c>
      <c r="L285" s="121">
        <f t="shared" ref="L285:M285" si="365">L$123 * L155</f>
        <v>1.2690945326601404</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378</v>
      </c>
      <c r="G286" t="s">
        <v>273</v>
      </c>
      <c r="J286" s="79"/>
      <c r="K286" s="79"/>
      <c r="L286" s="79"/>
      <c r="M286" s="79"/>
      <c r="N286" s="79"/>
      <c r="O286" s="79"/>
      <c r="P286" s="79"/>
      <c r="Q286" s="79"/>
      <c r="R286" s="79"/>
      <c r="S286" s="79"/>
      <c r="T286" s="79"/>
      <c r="U286" s="79"/>
      <c r="V286" s="79"/>
      <c r="W286" s="79"/>
      <c r="X286" s="79"/>
      <c r="Y286" s="79"/>
    </row>
    <row r="287" spans="3:25" x14ac:dyDescent="0.3">
      <c r="C287" s="88"/>
      <c r="D287"/>
      <c r="F287" s="37" t="s">
        <v>379</v>
      </c>
      <c r="G287" s="37" t="s">
        <v>273</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233</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234</v>
      </c>
      <c r="G291" s="6" t="s">
        <v>57</v>
      </c>
      <c r="H291" s="187">
        <f t="array" ref="H291">SUM(IF(ISERROR(H51:Y287), 1))</f>
        <v>0</v>
      </c>
    </row>
    <row r="293" spans="2:27" x14ac:dyDescent="0.3">
      <c r="E293" t="s">
        <v>717</v>
      </c>
      <c r="G293" s="6" t="s">
        <v>57</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241</v>
      </c>
      <c r="G295" s="6" t="s">
        <v>57</v>
      </c>
      <c r="H295" s="103">
        <f>H291 + H293</f>
        <v>0</v>
      </c>
    </row>
    <row r="297" spans="2:27" x14ac:dyDescent="0.3">
      <c r="B297" s="30" t="s">
        <v>108</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663</v>
      </c>
      <c r="D9"/>
    </row>
    <row r="10" spans="1:27" x14ac:dyDescent="0.3">
      <c r="C10" s="29" t="s">
        <v>664</v>
      </c>
      <c r="D10"/>
      <c r="E10"/>
    </row>
    <row r="11" spans="1:27" x14ac:dyDescent="0.3">
      <c r="C11" s="91" t="s">
        <v>665</v>
      </c>
    </row>
    <row r="13" spans="1:27" x14ac:dyDescent="0.3">
      <c r="B13" s="30" t="s">
        <v>666</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667</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287</v>
      </c>
    </row>
    <row r="20" spans="3:27" x14ac:dyDescent="0.3">
      <c r="D20" s="29" t="s">
        <v>668</v>
      </c>
      <c r="E20"/>
    </row>
    <row r="21" spans="3:27" x14ac:dyDescent="0.3">
      <c r="C21" s="88"/>
      <c r="E21" s="23" t="s">
        <v>191</v>
      </c>
      <c r="F21" s="23"/>
      <c r="G21" s="23" t="s">
        <v>669</v>
      </c>
      <c r="H21" s="83"/>
    </row>
    <row r="22" spans="3:27" x14ac:dyDescent="0.3">
      <c r="C22" s="88"/>
      <c r="E22" t="s">
        <v>193</v>
      </c>
      <c r="G22" t="s">
        <v>669</v>
      </c>
      <c r="H22" s="120">
        <f t="array" ref="H22:H30">TRANSPOSE('Inputs by network level'!K21:S21)</f>
        <v>0.22251782235181283</v>
      </c>
    </row>
    <row r="23" spans="3:27" x14ac:dyDescent="0.3">
      <c r="C23" s="88"/>
      <c r="E23" t="s">
        <v>194</v>
      </c>
      <c r="G23" t="s">
        <v>669</v>
      </c>
      <c r="H23" s="120">
        <v>0.22251782235181283</v>
      </c>
    </row>
    <row r="24" spans="3:27" x14ac:dyDescent="0.3">
      <c r="C24" s="88"/>
      <c r="E24" t="s">
        <v>195</v>
      </c>
      <c r="G24" t="s">
        <v>669</v>
      </c>
      <c r="H24" s="120">
        <v>0.22251782235181283</v>
      </c>
    </row>
    <row r="25" spans="3:27" x14ac:dyDescent="0.3">
      <c r="C25" s="88"/>
      <c r="E25" t="s">
        <v>196</v>
      </c>
      <c r="G25" t="s">
        <v>669</v>
      </c>
      <c r="H25" s="120">
        <v>0.22251782235181283</v>
      </c>
    </row>
    <row r="26" spans="3:27" x14ac:dyDescent="0.3">
      <c r="C26" s="88"/>
      <c r="E26" t="s">
        <v>197</v>
      </c>
      <c r="G26" t="s">
        <v>669</v>
      </c>
      <c r="H26" s="120">
        <v>0.22251782235181283</v>
      </c>
    </row>
    <row r="27" spans="3:27" x14ac:dyDescent="0.3">
      <c r="C27" s="88"/>
      <c r="E27" t="s">
        <v>198</v>
      </c>
      <c r="G27" t="s">
        <v>669</v>
      </c>
      <c r="H27" s="120">
        <v>0.22251782235181283</v>
      </c>
    </row>
    <row r="28" spans="3:27" x14ac:dyDescent="0.3">
      <c r="C28" s="88"/>
      <c r="E28" t="s">
        <v>199</v>
      </c>
      <c r="G28" t="s">
        <v>669</v>
      </c>
      <c r="H28" s="120">
        <v>0.22251782235181283</v>
      </c>
    </row>
    <row r="29" spans="3:27" x14ac:dyDescent="0.3">
      <c r="C29" s="88"/>
      <c r="E29" t="s">
        <v>200</v>
      </c>
      <c r="G29" t="s">
        <v>669</v>
      </c>
      <c r="H29" s="120">
        <v>0.22251782235181283</v>
      </c>
    </row>
    <row r="30" spans="3:27" x14ac:dyDescent="0.3">
      <c r="C30" s="88"/>
      <c r="E30" t="s">
        <v>201</v>
      </c>
      <c r="G30" t="s">
        <v>669</v>
      </c>
      <c r="H30" s="120">
        <v>0.22251782235181283</v>
      </c>
    </row>
    <row r="31" spans="3:27" x14ac:dyDescent="0.3">
      <c r="C31" s="88"/>
      <c r="E31" t="s">
        <v>378</v>
      </c>
      <c r="G31" t="s">
        <v>669</v>
      </c>
      <c r="H31" s="79"/>
    </row>
    <row r="32" spans="3:27" x14ac:dyDescent="0.3">
      <c r="C32" s="88"/>
      <c r="E32" s="37" t="s">
        <v>379</v>
      </c>
      <c r="F32" s="37"/>
      <c r="G32" s="37" t="s">
        <v>669</v>
      </c>
      <c r="H32" s="81"/>
    </row>
    <row r="33" spans="3:8" x14ac:dyDescent="0.3">
      <c r="C33" s="88"/>
      <c r="H33" s="89"/>
    </row>
    <row r="34" spans="3:8" x14ac:dyDescent="0.3">
      <c r="D34" s="88" t="s">
        <v>396</v>
      </c>
      <c r="H34" s="89"/>
    </row>
    <row r="35" spans="3:8" x14ac:dyDescent="0.3">
      <c r="C35" s="88"/>
      <c r="E35" s="23" t="s">
        <v>191</v>
      </c>
      <c r="F35" s="23"/>
      <c r="G35" s="64" t="s">
        <v>285</v>
      </c>
      <c r="H35" s="124">
        <f t="array" ref="H35:H44">TRANSPOSE('Load &amp; loss characteristics'!J29:S29)</f>
        <v>1</v>
      </c>
    </row>
    <row r="36" spans="3:8" x14ac:dyDescent="0.3">
      <c r="C36" s="88"/>
      <c r="E36" t="s">
        <v>193</v>
      </c>
      <c r="G36" s="28" t="s">
        <v>285</v>
      </c>
      <c r="H36" s="120">
        <v>1</v>
      </c>
    </row>
    <row r="37" spans="3:8" x14ac:dyDescent="0.3">
      <c r="C37" s="88"/>
      <c r="E37" t="s">
        <v>194</v>
      </c>
      <c r="G37" s="28" t="s">
        <v>285</v>
      </c>
      <c r="H37" s="120">
        <v>1.002</v>
      </c>
    </row>
    <row r="38" spans="3:8" x14ac:dyDescent="0.3">
      <c r="C38" s="88"/>
      <c r="E38" t="s">
        <v>195</v>
      </c>
      <c r="G38" s="28" t="s">
        <v>285</v>
      </c>
      <c r="H38" s="120">
        <v>1.006</v>
      </c>
    </row>
    <row r="39" spans="3:8" x14ac:dyDescent="0.3">
      <c r="C39" s="88"/>
      <c r="E39" t="s">
        <v>196</v>
      </c>
      <c r="G39" s="28" t="s">
        <v>285</v>
      </c>
      <c r="H39" s="120">
        <v>1.0129999999999999</v>
      </c>
    </row>
    <row r="40" spans="3:8" x14ac:dyDescent="0.3">
      <c r="C40" s="88"/>
      <c r="E40" t="s">
        <v>197</v>
      </c>
      <c r="G40" s="28" t="s">
        <v>285</v>
      </c>
      <c r="H40" s="120">
        <v>1.0189999999999999</v>
      </c>
    </row>
    <row r="41" spans="3:8" x14ac:dyDescent="0.3">
      <c r="C41" s="88"/>
      <c r="E41" t="s">
        <v>198</v>
      </c>
      <c r="G41" s="28" t="s">
        <v>285</v>
      </c>
      <c r="H41" s="120">
        <v>1.0189999999999999</v>
      </c>
    </row>
    <row r="42" spans="3:8" x14ac:dyDescent="0.3">
      <c r="C42" s="88"/>
      <c r="E42" t="s">
        <v>199</v>
      </c>
      <c r="G42" s="28" t="s">
        <v>285</v>
      </c>
      <c r="H42" s="120">
        <v>1.034</v>
      </c>
    </row>
    <row r="43" spans="3:8" x14ac:dyDescent="0.3">
      <c r="C43" s="88"/>
      <c r="E43" t="s">
        <v>200</v>
      </c>
      <c r="G43" s="28" t="s">
        <v>285</v>
      </c>
      <c r="H43" s="120">
        <v>1.046</v>
      </c>
    </row>
    <row r="44" spans="3:8" x14ac:dyDescent="0.3">
      <c r="C44" s="88"/>
      <c r="E44" t="s">
        <v>201</v>
      </c>
      <c r="G44" s="28" t="s">
        <v>285</v>
      </c>
      <c r="H44" s="120">
        <v>1.075</v>
      </c>
    </row>
    <row r="45" spans="3:8" x14ac:dyDescent="0.3">
      <c r="C45" s="88"/>
      <c r="E45" t="s">
        <v>378</v>
      </c>
      <c r="G45" s="28" t="s">
        <v>285</v>
      </c>
      <c r="H45" s="79"/>
    </row>
    <row r="46" spans="3:8" x14ac:dyDescent="0.3">
      <c r="C46" s="88"/>
      <c r="E46" s="37" t="s">
        <v>379</v>
      </c>
      <c r="F46" s="37"/>
      <c r="G46" s="67" t="s">
        <v>285</v>
      </c>
      <c r="H46" s="81"/>
    </row>
    <row r="47" spans="3:8" x14ac:dyDescent="0.3">
      <c r="C47" s="88"/>
      <c r="H47" s="89"/>
    </row>
    <row r="48" spans="3:8" x14ac:dyDescent="0.3">
      <c r="D48" s="32" t="s">
        <v>670</v>
      </c>
      <c r="H48" s="89"/>
    </row>
    <row r="49" spans="3:8" x14ac:dyDescent="0.3">
      <c r="C49" s="88"/>
      <c r="E49" s="23" t="s">
        <v>191</v>
      </c>
      <c r="F49" s="23"/>
      <c r="G49" s="23" t="s">
        <v>587</v>
      </c>
      <c r="H49" s="83"/>
    </row>
    <row r="50" spans="3:8" x14ac:dyDescent="0.3">
      <c r="C50" s="88"/>
      <c r="E50" t="s">
        <v>193</v>
      </c>
      <c r="G50" t="s">
        <v>587</v>
      </c>
      <c r="H50" s="79"/>
    </row>
    <row r="51" spans="3:8" x14ac:dyDescent="0.3">
      <c r="C51" s="88"/>
      <c r="E51" t="s">
        <v>194</v>
      </c>
      <c r="G51" t="s">
        <v>587</v>
      </c>
      <c r="H51" s="120">
        <f t="array" ref="H51:H58">TRANSPOSE('Unit costs'!L114:S114)</f>
        <v>5.3356416578238894</v>
      </c>
    </row>
    <row r="52" spans="3:8" x14ac:dyDescent="0.3">
      <c r="C52" s="88"/>
      <c r="E52" t="s">
        <v>195</v>
      </c>
      <c r="G52" t="s">
        <v>587</v>
      </c>
      <c r="H52" s="120">
        <v>3.0260391309600432</v>
      </c>
    </row>
    <row r="53" spans="3:8" x14ac:dyDescent="0.3">
      <c r="C53" s="88"/>
      <c r="E53" t="s">
        <v>196</v>
      </c>
      <c r="G53" t="s">
        <v>587</v>
      </c>
      <c r="H53" s="120">
        <v>3.7642733954053105</v>
      </c>
    </row>
    <row r="54" spans="3:8" x14ac:dyDescent="0.3">
      <c r="C54" s="88"/>
      <c r="E54" t="s">
        <v>197</v>
      </c>
      <c r="G54" t="s">
        <v>587</v>
      </c>
      <c r="H54" s="120">
        <v>6.0915083214516024</v>
      </c>
    </row>
    <row r="55" spans="3:8" x14ac:dyDescent="0.3">
      <c r="C55" s="88"/>
      <c r="E55" t="s">
        <v>198</v>
      </c>
      <c r="G55" t="s">
        <v>587</v>
      </c>
      <c r="H55" s="120">
        <v>6.3223136570228027</v>
      </c>
    </row>
    <row r="56" spans="3:8" x14ac:dyDescent="0.3">
      <c r="C56" s="88"/>
      <c r="E56" t="s">
        <v>199</v>
      </c>
      <c r="G56" t="s">
        <v>587</v>
      </c>
      <c r="H56" s="120">
        <v>13.17171456259633</v>
      </c>
    </row>
    <row r="57" spans="3:8" x14ac:dyDescent="0.3">
      <c r="C57" s="88"/>
      <c r="E57" t="s">
        <v>200</v>
      </c>
      <c r="G57" t="s">
        <v>587</v>
      </c>
      <c r="H57" s="120">
        <v>6.0993540177079266</v>
      </c>
    </row>
    <row r="58" spans="3:8" x14ac:dyDescent="0.3">
      <c r="C58" s="88"/>
      <c r="E58" t="s">
        <v>201</v>
      </c>
      <c r="G58" t="s">
        <v>587</v>
      </c>
      <c r="H58" s="120">
        <v>12.494328947130336</v>
      </c>
    </row>
    <row r="59" spans="3:8" x14ac:dyDescent="0.3">
      <c r="C59" s="88"/>
      <c r="E59" t="s">
        <v>378</v>
      </c>
      <c r="G59" t="s">
        <v>587</v>
      </c>
      <c r="H59" s="79"/>
    </row>
    <row r="60" spans="3:8" x14ac:dyDescent="0.3">
      <c r="C60" s="88"/>
      <c r="E60" s="37" t="s">
        <v>379</v>
      </c>
      <c r="F60" s="37"/>
      <c r="G60" s="37" t="s">
        <v>587</v>
      </c>
      <c r="H60" s="81"/>
    </row>
    <row r="61" spans="3:8" x14ac:dyDescent="0.3">
      <c r="C61" s="88"/>
      <c r="H61" s="89"/>
    </row>
    <row r="62" spans="3:8" x14ac:dyDescent="0.3">
      <c r="C62" s="88"/>
      <c r="D62" s="32" t="s">
        <v>671</v>
      </c>
      <c r="E62"/>
      <c r="H62" s="89"/>
    </row>
    <row r="63" spans="3:8" x14ac:dyDescent="0.3">
      <c r="C63" s="88"/>
      <c r="E63" s="23" t="s">
        <v>191</v>
      </c>
      <c r="F63" s="23"/>
      <c r="G63" s="23" t="s">
        <v>587</v>
      </c>
      <c r="H63" s="124">
        <f t="array" ref="H63:H72">TRANSPOSE('Unit costs'!J115:S115)</f>
        <v>2.7058725763924492</v>
      </c>
    </row>
    <row r="64" spans="3:8" x14ac:dyDescent="0.3">
      <c r="C64" s="88"/>
      <c r="E64" t="s">
        <v>193</v>
      </c>
      <c r="G64" t="s">
        <v>587</v>
      </c>
      <c r="H64" s="120">
        <v>0</v>
      </c>
    </row>
    <row r="65" spans="3:42" x14ac:dyDescent="0.3">
      <c r="C65" s="88"/>
      <c r="E65" t="s">
        <v>194</v>
      </c>
      <c r="G65" t="s">
        <v>587</v>
      </c>
      <c r="H65" s="120">
        <v>3.4202927993663312</v>
      </c>
    </row>
    <row r="66" spans="3:42" x14ac:dyDescent="0.3">
      <c r="C66" s="88"/>
      <c r="E66" t="s">
        <v>195</v>
      </c>
      <c r="G66" t="s">
        <v>587</v>
      </c>
      <c r="H66" s="120">
        <v>1.939774166626578</v>
      </c>
    </row>
    <row r="67" spans="3:42" x14ac:dyDescent="0.3">
      <c r="C67" s="88"/>
      <c r="E67" t="s">
        <v>196</v>
      </c>
      <c r="G67" t="s">
        <v>587</v>
      </c>
      <c r="H67" s="120">
        <v>2.4130025992791269</v>
      </c>
    </row>
    <row r="68" spans="3:42" x14ac:dyDescent="0.3">
      <c r="C68" s="88"/>
      <c r="E68" t="s">
        <v>197</v>
      </c>
      <c r="G68" t="s">
        <v>587</v>
      </c>
      <c r="H68" s="120">
        <v>3.9048240840143547</v>
      </c>
    </row>
    <row r="69" spans="3:42" x14ac:dyDescent="0.3">
      <c r="C69" s="88"/>
      <c r="E69" t="s">
        <v>198</v>
      </c>
      <c r="G69" t="s">
        <v>587</v>
      </c>
      <c r="H69" s="120">
        <v>4.052776641164054</v>
      </c>
    </row>
    <row r="70" spans="3:42" x14ac:dyDescent="0.3">
      <c r="C70" s="88"/>
      <c r="E70" t="s">
        <v>199</v>
      </c>
      <c r="G70" t="s">
        <v>587</v>
      </c>
      <c r="H70" s="120">
        <v>8.4434306804873991</v>
      </c>
    </row>
    <row r="71" spans="3:42" x14ac:dyDescent="0.3">
      <c r="C71" s="88"/>
      <c r="E71" t="s">
        <v>200</v>
      </c>
      <c r="G71" t="s">
        <v>587</v>
      </c>
      <c r="H71" s="120">
        <v>3.9098533907280424</v>
      </c>
    </row>
    <row r="72" spans="3:42" x14ac:dyDescent="0.3">
      <c r="C72" s="88"/>
      <c r="E72" t="s">
        <v>201</v>
      </c>
      <c r="G72" t="s">
        <v>587</v>
      </c>
      <c r="H72" s="120">
        <v>8.0092079025061693</v>
      </c>
    </row>
    <row r="73" spans="3:42" x14ac:dyDescent="0.3">
      <c r="C73" s="88"/>
      <c r="E73" t="s">
        <v>378</v>
      </c>
      <c r="G73" t="s">
        <v>587</v>
      </c>
      <c r="H73" s="79"/>
    </row>
    <row r="74" spans="3:42" x14ac:dyDescent="0.3">
      <c r="C74" s="88"/>
      <c r="E74" s="37" t="s">
        <v>379</v>
      </c>
      <c r="F74" s="37"/>
      <c r="G74" s="37" t="s">
        <v>587</v>
      </c>
      <c r="H74" s="81"/>
    </row>
    <row r="75" spans="3:42" x14ac:dyDescent="0.3">
      <c r="C75" s="88"/>
      <c r="H75" s="63"/>
    </row>
    <row r="76" spans="3:42" x14ac:dyDescent="0.3">
      <c r="D76" s="88" t="s">
        <v>672</v>
      </c>
    </row>
    <row r="77" spans="3:42" x14ac:dyDescent="0.3">
      <c r="D77" s="29" t="s">
        <v>673</v>
      </c>
      <c r="E77" s="203"/>
    </row>
    <row r="78" spans="3:42" x14ac:dyDescent="0.3">
      <c r="C78" s="88"/>
      <c r="E78" t="s">
        <v>674</v>
      </c>
      <c r="G78" t="s">
        <v>675</v>
      </c>
      <c r="I78" t="s">
        <v>156</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225</v>
      </c>
    </row>
    <row r="79" spans="3:42" x14ac:dyDescent="0.3">
      <c r="C79" s="88"/>
    </row>
    <row r="80" spans="3:42" x14ac:dyDescent="0.3">
      <c r="D80" s="32" t="s">
        <v>122</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193</v>
      </c>
      <c r="F81" s="23"/>
      <c r="G81" s="23" t="s">
        <v>169</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194</v>
      </c>
      <c r="G82" t="s">
        <v>169</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1.5008868542263909E-2</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195</v>
      </c>
      <c r="G83" t="s">
        <v>169</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196</v>
      </c>
      <c r="G84" t="s">
        <v>169</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197</v>
      </c>
      <c r="G85" t="s">
        <v>169</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198</v>
      </c>
      <c r="G86" t="s">
        <v>169</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199</v>
      </c>
      <c r="G87" t="s">
        <v>169</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200</v>
      </c>
      <c r="G88" t="s">
        <v>169</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201</v>
      </c>
      <c r="F89" s="37"/>
      <c r="G89" s="37" t="s">
        <v>169</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406</v>
      </c>
      <c r="E91" s="32"/>
      <c r="I91" t="s">
        <v>156</v>
      </c>
      <c r="AA91" t="s">
        <v>676</v>
      </c>
    </row>
    <row r="92" spans="3:42" x14ac:dyDescent="0.3">
      <c r="D92" s="29" t="s">
        <v>403</v>
      </c>
      <c r="E92"/>
      <c r="AA92" s="204"/>
    </row>
    <row r="93" spans="3:42" x14ac:dyDescent="0.3">
      <c r="D93"/>
      <c r="E93" s="23" t="s">
        <v>191</v>
      </c>
      <c r="F93" s="23"/>
      <c r="G93" s="64" t="s">
        <v>285</v>
      </c>
      <c r="H93" s="23"/>
      <c r="I93" s="23"/>
      <c r="J93" s="83"/>
      <c r="K93" s="83"/>
      <c r="L93" s="83"/>
      <c r="M93" s="83"/>
      <c r="N93" s="83"/>
      <c r="O93" s="83"/>
      <c r="P93" s="83"/>
      <c r="Q93" s="83"/>
      <c r="R93" s="124">
        <f t="array" ref="R93:Y102">TRANSPOSE('Load &amp; loss characteristics'!J172:S179)</f>
        <v>-1.075</v>
      </c>
      <c r="S93" s="124">
        <v>-1.046</v>
      </c>
      <c r="T93" s="124">
        <v>-1.075</v>
      </c>
      <c r="U93" s="124">
        <v>-1.075</v>
      </c>
      <c r="V93" s="124">
        <v>-1.046</v>
      </c>
      <c r="W93" s="124">
        <v>-1.046</v>
      </c>
      <c r="X93" s="124">
        <v>-1.034</v>
      </c>
      <c r="Y93" s="124">
        <v>-1.034</v>
      </c>
    </row>
    <row r="94" spans="3:42" x14ac:dyDescent="0.3">
      <c r="D94"/>
      <c r="E94" t="s">
        <v>193</v>
      </c>
      <c r="G94" s="28" t="s">
        <v>285</v>
      </c>
      <c r="J94" s="79"/>
      <c r="K94" s="79"/>
      <c r="L94" s="79"/>
      <c r="M94" s="79"/>
      <c r="N94" s="79"/>
      <c r="O94" s="79"/>
      <c r="P94" s="79"/>
      <c r="Q94" s="79"/>
      <c r="R94" s="120">
        <v>-1.075</v>
      </c>
      <c r="S94" s="120">
        <v>-1.046</v>
      </c>
      <c r="T94" s="120">
        <v>-1.075</v>
      </c>
      <c r="U94" s="120">
        <v>-1.075</v>
      </c>
      <c r="V94" s="120">
        <v>-1.046</v>
      </c>
      <c r="W94" s="120">
        <v>-1.046</v>
      </c>
      <c r="X94" s="120">
        <v>-1.034</v>
      </c>
      <c r="Y94" s="120">
        <v>-1.034</v>
      </c>
    </row>
    <row r="95" spans="3:42" x14ac:dyDescent="0.3">
      <c r="D95"/>
      <c r="E95" t="s">
        <v>194</v>
      </c>
      <c r="G95" s="28" t="s">
        <v>285</v>
      </c>
      <c r="J95" s="79"/>
      <c r="K95" s="79"/>
      <c r="L95" s="79"/>
      <c r="M95" s="79"/>
      <c r="N95" s="79"/>
      <c r="O95" s="79"/>
      <c r="P95" s="79"/>
      <c r="Q95" s="79"/>
      <c r="R95" s="120">
        <v>-1.075</v>
      </c>
      <c r="S95" s="120">
        <v>-1.046</v>
      </c>
      <c r="T95" s="120">
        <v>-1.075</v>
      </c>
      <c r="U95" s="120">
        <v>-1.075</v>
      </c>
      <c r="V95" s="120">
        <v>-1.046</v>
      </c>
      <c r="W95" s="120">
        <v>-1.046</v>
      </c>
      <c r="X95" s="120">
        <v>-1.034</v>
      </c>
      <c r="Y95" s="120">
        <v>-1.034</v>
      </c>
    </row>
    <row r="96" spans="3:42" x14ac:dyDescent="0.3">
      <c r="D96"/>
      <c r="E96" t="s">
        <v>195</v>
      </c>
      <c r="G96" s="28" t="s">
        <v>285</v>
      </c>
      <c r="J96" s="79"/>
      <c r="K96" s="79"/>
      <c r="L96" s="79"/>
      <c r="M96" s="79"/>
      <c r="N96" s="79"/>
      <c r="O96" s="79"/>
      <c r="P96" s="79"/>
      <c r="Q96" s="79"/>
      <c r="R96" s="120">
        <v>-0.99432733158533149</v>
      </c>
      <c r="S96" s="120">
        <v>-0.96750361752395975</v>
      </c>
      <c r="T96" s="120">
        <v>-0.99432733158533149</v>
      </c>
      <c r="U96" s="120">
        <v>-0.99432733158533149</v>
      </c>
      <c r="V96" s="120">
        <v>-0.96750361752395975</v>
      </c>
      <c r="W96" s="120">
        <v>-0.96750361752395975</v>
      </c>
      <c r="X96" s="120">
        <v>-0.95640414963649567</v>
      </c>
      <c r="Y96" s="120">
        <v>-0.95640414963649567</v>
      </c>
    </row>
    <row r="97" spans="3:25" x14ac:dyDescent="0.3">
      <c r="D97"/>
      <c r="E97" t="s">
        <v>196</v>
      </c>
      <c r="G97" s="28" t="s">
        <v>285</v>
      </c>
      <c r="J97" s="79"/>
      <c r="K97" s="79"/>
      <c r="L97" s="79"/>
      <c r="M97" s="79"/>
      <c r="N97" s="79"/>
      <c r="O97" s="79"/>
      <c r="P97" s="79"/>
      <c r="Q97" s="79"/>
      <c r="R97" s="120">
        <v>-0.99432733158533149</v>
      </c>
      <c r="S97" s="120">
        <v>-0.96750361752395975</v>
      </c>
      <c r="T97" s="120">
        <v>-0.99432733158533149</v>
      </c>
      <c r="U97" s="120">
        <v>-0.99432733158533149</v>
      </c>
      <c r="V97" s="120">
        <v>-0.96750361752395975</v>
      </c>
      <c r="W97" s="120">
        <v>-0.96750361752395975</v>
      </c>
      <c r="X97" s="120">
        <v>-0.95640414963649567</v>
      </c>
      <c r="Y97" s="120">
        <v>-0.95640414963649567</v>
      </c>
    </row>
    <row r="98" spans="3:25" x14ac:dyDescent="0.3">
      <c r="D98"/>
      <c r="E98" t="s">
        <v>197</v>
      </c>
      <c r="G98" s="28" t="s">
        <v>285</v>
      </c>
      <c r="J98" s="79"/>
      <c r="K98" s="79"/>
      <c r="L98" s="79"/>
      <c r="M98" s="79"/>
      <c r="N98" s="79"/>
      <c r="O98" s="79"/>
      <c r="P98" s="79"/>
      <c r="Q98" s="79"/>
      <c r="R98" s="120">
        <v>-0.99432733158533149</v>
      </c>
      <c r="S98" s="120">
        <v>-0.96750361752395975</v>
      </c>
      <c r="T98" s="120">
        <v>-0.99432733158533149</v>
      </c>
      <c r="U98" s="120">
        <v>-0.99432733158533149</v>
      </c>
      <c r="V98" s="120">
        <v>-0.96750361752395975</v>
      </c>
      <c r="W98" s="120">
        <v>-0.96750361752395975</v>
      </c>
      <c r="X98" s="120">
        <v>-0.95640414963649567</v>
      </c>
      <c r="Y98" s="120">
        <v>-0.95640414963649567</v>
      </c>
    </row>
    <row r="99" spans="3:25" x14ac:dyDescent="0.3">
      <c r="D99"/>
      <c r="E99" t="s">
        <v>198</v>
      </c>
      <c r="G99" s="28" t="s">
        <v>285</v>
      </c>
      <c r="J99" s="79"/>
      <c r="K99" s="79"/>
      <c r="L99" s="79"/>
      <c r="M99" s="79"/>
      <c r="N99" s="79"/>
      <c r="O99" s="79"/>
      <c r="P99" s="79"/>
      <c r="Q99" s="79"/>
      <c r="R99" s="120">
        <v>-8.0672668414668511E-2</v>
      </c>
      <c r="S99" s="120">
        <v>-7.8496382476040252E-2</v>
      </c>
      <c r="T99" s="120">
        <v>-8.0672668414668511E-2</v>
      </c>
      <c r="U99" s="120">
        <v>-8.0672668414668511E-2</v>
      </c>
      <c r="V99" s="120">
        <v>-7.8496382476040252E-2</v>
      </c>
      <c r="W99" s="120">
        <v>-7.8496382476040252E-2</v>
      </c>
      <c r="X99" s="120">
        <v>-7.7595850363504415E-2</v>
      </c>
      <c r="Y99" s="120">
        <v>-7.7595850363504415E-2</v>
      </c>
    </row>
    <row r="100" spans="3:25" x14ac:dyDescent="0.3">
      <c r="D100"/>
      <c r="E100" t="s">
        <v>199</v>
      </c>
      <c r="G100" s="28" t="s">
        <v>285</v>
      </c>
      <c r="J100" s="79"/>
      <c r="K100" s="79"/>
      <c r="L100" s="79"/>
      <c r="M100" s="79"/>
      <c r="N100" s="79"/>
      <c r="O100" s="79"/>
      <c r="P100" s="79"/>
      <c r="Q100" s="79"/>
      <c r="R100" s="120">
        <v>-1.075</v>
      </c>
      <c r="S100" s="120">
        <v>-1.046</v>
      </c>
      <c r="T100" s="120">
        <v>-1.075</v>
      </c>
      <c r="U100" s="120">
        <v>-1.075</v>
      </c>
      <c r="V100" s="120">
        <v>-1.046</v>
      </c>
      <c r="W100" s="120">
        <v>-1.046</v>
      </c>
      <c r="X100" s="120">
        <v>-1.034</v>
      </c>
      <c r="Y100" s="120">
        <v>-1.034</v>
      </c>
    </row>
    <row r="101" spans="3:25" x14ac:dyDescent="0.3">
      <c r="D101"/>
      <c r="E101" t="s">
        <v>200</v>
      </c>
      <c r="G101" s="28" t="s">
        <v>285</v>
      </c>
      <c r="J101" s="79"/>
      <c r="K101" s="79"/>
      <c r="L101" s="79"/>
      <c r="M101" s="79"/>
      <c r="N101" s="79"/>
      <c r="O101" s="79"/>
      <c r="P101" s="79"/>
      <c r="Q101" s="79"/>
      <c r="R101" s="120">
        <v>-1.075</v>
      </c>
      <c r="S101" s="120">
        <v>-1.046</v>
      </c>
      <c r="T101" s="120">
        <v>-1.075</v>
      </c>
      <c r="U101" s="120">
        <v>-1.075</v>
      </c>
      <c r="V101" s="120">
        <v>-1.046</v>
      </c>
      <c r="W101" s="120">
        <v>-1.046</v>
      </c>
      <c r="X101" s="120">
        <v>0</v>
      </c>
      <c r="Y101" s="120">
        <v>0</v>
      </c>
    </row>
    <row r="102" spans="3:25" x14ac:dyDescent="0.3">
      <c r="D102"/>
      <c r="E102" t="s">
        <v>201</v>
      </c>
      <c r="G102" s="28" t="s">
        <v>285</v>
      </c>
      <c r="J102" s="79"/>
      <c r="K102" s="79"/>
      <c r="L102" s="79"/>
      <c r="M102" s="79"/>
      <c r="N102" s="79"/>
      <c r="O102" s="79"/>
      <c r="P102" s="79"/>
      <c r="Q102" s="79"/>
      <c r="R102" s="120">
        <v>-1.075</v>
      </c>
      <c r="S102" s="120">
        <v>0</v>
      </c>
      <c r="T102" s="120">
        <v>-1.075</v>
      </c>
      <c r="U102" s="120">
        <v>-1.075</v>
      </c>
      <c r="V102" s="120">
        <v>0</v>
      </c>
      <c r="W102" s="120">
        <v>0</v>
      </c>
      <c r="X102" s="120">
        <v>0</v>
      </c>
      <c r="Y102" s="120">
        <v>0</v>
      </c>
    </row>
    <row r="103" spans="3:25" x14ac:dyDescent="0.3">
      <c r="D103"/>
      <c r="E103" t="s">
        <v>378</v>
      </c>
      <c r="G103" s="28" t="s">
        <v>285</v>
      </c>
      <c r="J103" s="79"/>
      <c r="K103" s="79"/>
      <c r="L103" s="79"/>
      <c r="M103" s="79"/>
      <c r="N103" s="79"/>
      <c r="O103" s="79"/>
      <c r="P103" s="79"/>
      <c r="Q103" s="79"/>
      <c r="R103" s="79"/>
      <c r="S103" s="79"/>
      <c r="T103" s="79"/>
      <c r="U103" s="79"/>
      <c r="V103" s="79"/>
      <c r="W103" s="79"/>
      <c r="X103" s="79"/>
      <c r="Y103" s="79"/>
    </row>
    <row r="104" spans="3:25" x14ac:dyDescent="0.3">
      <c r="D104"/>
      <c r="E104" s="37" t="s">
        <v>379</v>
      </c>
      <c r="F104" s="37"/>
      <c r="G104" s="67" t="s">
        <v>285</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418</v>
      </c>
      <c r="E106"/>
    </row>
    <row r="107" spans="3:25" x14ac:dyDescent="0.3">
      <c r="C107" s="88"/>
      <c r="E107" s="23" t="s">
        <v>191</v>
      </c>
      <c r="F107" s="23"/>
      <c r="G107" s="23" t="s">
        <v>169</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193</v>
      </c>
      <c r="G108" t="s">
        <v>169</v>
      </c>
      <c r="J108" s="66"/>
      <c r="K108" s="66"/>
      <c r="L108" s="66"/>
      <c r="M108" s="66"/>
      <c r="N108" s="66"/>
      <c r="O108" s="66"/>
      <c r="P108" s="66"/>
      <c r="Q108" s="66"/>
      <c r="R108" s="66"/>
      <c r="S108" s="66"/>
      <c r="T108" s="66"/>
      <c r="U108" s="66"/>
      <c r="V108" s="66"/>
      <c r="W108" s="66"/>
      <c r="X108" s="66"/>
      <c r="Y108" s="66"/>
    </row>
    <row r="109" spans="3:25" x14ac:dyDescent="0.3">
      <c r="C109" s="88"/>
      <c r="E109" t="s">
        <v>194</v>
      </c>
      <c r="G109" t="s">
        <v>169</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195</v>
      </c>
      <c r="G110" t="s">
        <v>169</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3">
      <c r="C111" s="88"/>
      <c r="E111" t="s">
        <v>196</v>
      </c>
      <c r="G111" t="s">
        <v>169</v>
      </c>
      <c r="J111" s="25">
        <v>0</v>
      </c>
      <c r="K111" s="25">
        <v>0</v>
      </c>
      <c r="L111" s="25">
        <v>0</v>
      </c>
      <c r="M111" s="25">
        <v>0</v>
      </c>
      <c r="N111" s="25">
        <v>0</v>
      </c>
      <c r="O111" s="25">
        <v>0</v>
      </c>
      <c r="P111" s="25">
        <v>6.5420049562801799E-2</v>
      </c>
      <c r="Q111" s="25">
        <v>0</v>
      </c>
      <c r="R111" s="25">
        <v>0</v>
      </c>
      <c r="S111" s="25">
        <v>0</v>
      </c>
      <c r="T111" s="25">
        <v>0</v>
      </c>
      <c r="U111" s="25">
        <v>0</v>
      </c>
      <c r="V111" s="25">
        <v>0</v>
      </c>
      <c r="W111" s="25">
        <v>0</v>
      </c>
      <c r="X111" s="25">
        <v>6.5420049562801799E-2</v>
      </c>
      <c r="Y111" s="25">
        <v>6.5420049562801799E-2</v>
      </c>
    </row>
    <row r="112" spans="3:25" x14ac:dyDescent="0.3">
      <c r="C112" s="88"/>
      <c r="E112" t="s">
        <v>197</v>
      </c>
      <c r="G112" t="s">
        <v>169</v>
      </c>
      <c r="J112" s="25">
        <v>0</v>
      </c>
      <c r="K112" s="25">
        <v>0</v>
      </c>
      <c r="L112" s="25">
        <v>0</v>
      </c>
      <c r="M112" s="25">
        <v>0</v>
      </c>
      <c r="N112" s="25">
        <v>0</v>
      </c>
      <c r="O112" s="25">
        <v>0</v>
      </c>
      <c r="P112" s="25">
        <v>0.35162962287700078</v>
      </c>
      <c r="Q112" s="25">
        <v>0</v>
      </c>
      <c r="R112" s="25">
        <v>0</v>
      </c>
      <c r="S112" s="25">
        <v>0</v>
      </c>
      <c r="T112" s="25">
        <v>0</v>
      </c>
      <c r="U112" s="25">
        <v>0</v>
      </c>
      <c r="V112" s="25">
        <v>0</v>
      </c>
      <c r="W112" s="25">
        <v>0</v>
      </c>
      <c r="X112" s="25">
        <v>0.35162962287700078</v>
      </c>
      <c r="Y112" s="25">
        <v>0.35162962287700078</v>
      </c>
    </row>
    <row r="113" spans="3:27" x14ac:dyDescent="0.3">
      <c r="C113" s="88"/>
      <c r="E113" t="s">
        <v>198</v>
      </c>
      <c r="G113" t="s">
        <v>169</v>
      </c>
      <c r="J113" s="25">
        <v>0</v>
      </c>
      <c r="K113" s="25">
        <v>0</v>
      </c>
      <c r="L113" s="25">
        <v>0</v>
      </c>
      <c r="M113" s="25">
        <v>0</v>
      </c>
      <c r="N113" s="25">
        <v>0</v>
      </c>
      <c r="O113" s="25">
        <v>0</v>
      </c>
      <c r="P113" s="25">
        <v>0.35162962287700078</v>
      </c>
      <c r="Q113" s="25">
        <v>0</v>
      </c>
      <c r="R113" s="25">
        <v>0</v>
      </c>
      <c r="S113" s="25">
        <v>0</v>
      </c>
      <c r="T113" s="25">
        <v>0</v>
      </c>
      <c r="U113" s="25">
        <v>0</v>
      </c>
      <c r="V113" s="25">
        <v>0</v>
      </c>
      <c r="W113" s="25">
        <v>0</v>
      </c>
      <c r="X113" s="25">
        <v>0.35162962287700078</v>
      </c>
      <c r="Y113" s="25">
        <v>0.35162962287700078</v>
      </c>
    </row>
    <row r="114" spans="3:27" x14ac:dyDescent="0.3">
      <c r="C114" s="88"/>
      <c r="E114" t="s">
        <v>199</v>
      </c>
      <c r="G114" t="s">
        <v>169</v>
      </c>
      <c r="J114" s="25">
        <v>0.47913351897273304</v>
      </c>
      <c r="K114" s="25">
        <v>0.47913351897273304</v>
      </c>
      <c r="L114" s="25">
        <v>0.47913351897273304</v>
      </c>
      <c r="M114" s="25">
        <v>0.47913351897273304</v>
      </c>
      <c r="N114" s="25">
        <v>0.47913351897273304</v>
      </c>
      <c r="O114" s="25">
        <v>0.47913351897273304</v>
      </c>
      <c r="P114" s="25">
        <v>0.63783919619119978</v>
      </c>
      <c r="Q114" s="25">
        <v>0.47913351897273304</v>
      </c>
      <c r="R114" s="25">
        <v>0.47913351897273304</v>
      </c>
      <c r="S114" s="25">
        <v>0.47913351897273304</v>
      </c>
      <c r="T114" s="25">
        <v>0.47913351897273304</v>
      </c>
      <c r="U114" s="25">
        <v>0.47913351897273304</v>
      </c>
      <c r="V114" s="25">
        <v>0.47913351897273304</v>
      </c>
      <c r="W114" s="25">
        <v>0.47913351897273304</v>
      </c>
      <c r="X114" s="25">
        <v>0.63783919619119978</v>
      </c>
      <c r="Y114" s="25">
        <v>0.63783919619119978</v>
      </c>
    </row>
    <row r="115" spans="3:27" x14ac:dyDescent="0.3">
      <c r="C115" s="88"/>
      <c r="E115" t="s">
        <v>200</v>
      </c>
      <c r="G115" t="s">
        <v>169</v>
      </c>
      <c r="J115" s="25">
        <v>0.70892384564689981</v>
      </c>
      <c r="K115" s="25">
        <v>0.70892384564689981</v>
      </c>
      <c r="L115" s="25">
        <v>0.70892384564689981</v>
      </c>
      <c r="M115" s="25">
        <v>0.70892384564689981</v>
      </c>
      <c r="N115" s="25">
        <v>0.70892384564689981</v>
      </c>
      <c r="O115" s="25">
        <v>0.70892384564689981</v>
      </c>
      <c r="P115" s="25">
        <v>0</v>
      </c>
      <c r="Q115" s="25">
        <v>0.70892384564689981</v>
      </c>
      <c r="R115" s="25">
        <v>0.70892384564689981</v>
      </c>
      <c r="S115" s="25">
        <v>0.70892384564689981</v>
      </c>
      <c r="T115" s="25">
        <v>0.70892384564689981</v>
      </c>
      <c r="U115" s="25">
        <v>0.70892384564689981</v>
      </c>
      <c r="V115" s="25">
        <v>0.70892384564689981</v>
      </c>
      <c r="W115" s="25">
        <v>0.70892384564689981</v>
      </c>
      <c r="X115" s="25">
        <v>0</v>
      </c>
      <c r="Y115" s="25">
        <v>0</v>
      </c>
    </row>
    <row r="116" spans="3:27" x14ac:dyDescent="0.3">
      <c r="C116" s="88"/>
      <c r="E116" t="s">
        <v>201</v>
      </c>
      <c r="G116" t="s">
        <v>169</v>
      </c>
      <c r="J116" s="25">
        <v>0.93871417232106646</v>
      </c>
      <c r="K116" s="25">
        <v>0.93871417232106646</v>
      </c>
      <c r="L116" s="25">
        <v>0.93871417232106646</v>
      </c>
      <c r="M116" s="25">
        <v>0.93871417232106646</v>
      </c>
      <c r="N116" s="25">
        <v>0.93871417232106646</v>
      </c>
      <c r="O116" s="25">
        <v>0</v>
      </c>
      <c r="P116" s="25">
        <v>0</v>
      </c>
      <c r="Q116" s="25">
        <v>0.93871417232106646</v>
      </c>
      <c r="R116" s="25">
        <v>0.93871417232106646</v>
      </c>
      <c r="S116" s="25">
        <v>0</v>
      </c>
      <c r="T116" s="25">
        <v>0.93871417232106646</v>
      </c>
      <c r="U116" s="25">
        <v>0.93871417232106646</v>
      </c>
      <c r="V116" s="25">
        <v>0</v>
      </c>
      <c r="W116" s="25">
        <v>0</v>
      </c>
      <c r="X116" s="25">
        <v>0</v>
      </c>
      <c r="Y116" s="25">
        <v>0</v>
      </c>
    </row>
    <row r="117" spans="3:27" x14ac:dyDescent="0.3">
      <c r="C117" s="88"/>
      <c r="E117" t="s">
        <v>378</v>
      </c>
      <c r="G117" t="s">
        <v>169</v>
      </c>
      <c r="J117" s="66"/>
      <c r="K117" s="66"/>
      <c r="L117" s="66"/>
      <c r="M117" s="66"/>
      <c r="N117" s="66"/>
      <c r="O117" s="66"/>
      <c r="P117" s="66"/>
      <c r="Q117" s="66"/>
      <c r="R117" s="66"/>
      <c r="S117" s="66"/>
      <c r="T117" s="66"/>
      <c r="U117" s="66"/>
      <c r="V117" s="66"/>
      <c r="W117" s="66"/>
      <c r="X117" s="66"/>
      <c r="Y117" s="66"/>
    </row>
    <row r="118" spans="3:27" x14ac:dyDescent="0.3">
      <c r="C118" s="88"/>
      <c r="E118" s="37" t="s">
        <v>379</v>
      </c>
      <c r="F118" s="37"/>
      <c r="G118" s="37" t="s">
        <v>169</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623</v>
      </c>
      <c r="E122"/>
    </row>
    <row r="123" spans="3:27" x14ac:dyDescent="0.3">
      <c r="E123" s="23" t="s">
        <v>191</v>
      </c>
      <c r="F123" s="23"/>
      <c r="G123" s="23" t="s">
        <v>271</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193</v>
      </c>
      <c r="G124" t="s">
        <v>271</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194</v>
      </c>
      <c r="G125" t="s">
        <v>271</v>
      </c>
      <c r="H125" s="267"/>
      <c r="I125" s="267"/>
      <c r="J125" s="279">
        <f>'Initial unit rates'!J125</f>
        <v>0.13500475740654214</v>
      </c>
      <c r="K125" s="279">
        <f>'Initial unit rates'!K125</f>
        <v>0.13500475740654214</v>
      </c>
      <c r="L125" s="279">
        <f>'Initial unit rates'!L125</f>
        <v>0.10856727840922394</v>
      </c>
      <c r="M125" s="279">
        <f>'Initial unit rates'!M125</f>
        <v>0.10856727840922394</v>
      </c>
      <c r="N125" s="279">
        <f>'Initial unit rates'!N125</f>
        <v>9.051156453779996E-2</v>
      </c>
      <c r="O125" s="279">
        <f>'Initial unit rates'!O125</f>
        <v>8.7204111140669949E-2</v>
      </c>
      <c r="P125" s="279">
        <f>'Initial unit rates'!P125</f>
        <v>6.9826546144522328E-2</v>
      </c>
      <c r="Q125" s="279">
        <f>'Initial unit rates'!Q125</f>
        <v>0.12665947788156301</v>
      </c>
      <c r="R125" s="268"/>
      <c r="S125" s="268"/>
      <c r="T125" s="268"/>
      <c r="U125" s="268"/>
      <c r="V125" s="268"/>
      <c r="W125" s="268"/>
      <c r="X125" s="268"/>
      <c r="Y125" s="268"/>
      <c r="Z125" s="267"/>
      <c r="AA125" s="267"/>
    </row>
    <row r="126" spans="3:27" x14ac:dyDescent="0.3">
      <c r="E126" t="s">
        <v>195</v>
      </c>
      <c r="G126" t="s">
        <v>271</v>
      </c>
      <c r="H126" s="267"/>
      <c r="I126" s="267"/>
      <c r="J126" s="279">
        <f>'Initial unit rates'!J126</f>
        <v>7.0538726019762771E-2</v>
      </c>
      <c r="K126" s="279">
        <f>'Initial unit rates'!K126</f>
        <v>7.0538726019762771E-2</v>
      </c>
      <c r="L126" s="279">
        <f>'Initial unit rates'!L126</f>
        <v>5.6725389930951026E-2</v>
      </c>
      <c r="M126" s="279">
        <f>'Initial unit rates'!M126</f>
        <v>5.6725389930951026E-2</v>
      </c>
      <c r="N126" s="279">
        <f>'Initial unit rates'!N126</f>
        <v>4.7291447910431633E-2</v>
      </c>
      <c r="O126" s="279">
        <f>'Initial unit rates'!O126</f>
        <v>4.5563334372175079E-2</v>
      </c>
      <c r="P126" s="279">
        <f>'Initial unit rates'!P126</f>
        <v>3.6483718811201701E-2</v>
      </c>
      <c r="Q126" s="279">
        <f>'Initial unit rates'!Q126</f>
        <v>6.6178395337502582E-2</v>
      </c>
      <c r="R126" s="268"/>
      <c r="S126" s="268"/>
      <c r="T126" s="268"/>
      <c r="U126" s="268"/>
      <c r="V126" s="268"/>
      <c r="W126" s="268"/>
      <c r="X126" s="268"/>
      <c r="Y126" s="268"/>
      <c r="Z126" s="267"/>
      <c r="AA126" s="267"/>
    </row>
    <row r="127" spans="3:27" x14ac:dyDescent="0.3">
      <c r="E127" t="s">
        <v>196</v>
      </c>
      <c r="G127" t="s">
        <v>271</v>
      </c>
      <c r="H127" s="267"/>
      <c r="I127" s="267"/>
      <c r="J127" s="279">
        <f>'Initial unit rates'!J127</f>
        <v>8.7141045378538493E-2</v>
      </c>
      <c r="K127" s="279">
        <f>'Initial unit rates'!K127</f>
        <v>8.7141045378538493E-2</v>
      </c>
      <c r="L127" s="279">
        <f>'Initial unit rates'!L127</f>
        <v>7.0076538902947988E-2</v>
      </c>
      <c r="M127" s="279">
        <f>'Initial unit rates'!M127</f>
        <v>7.0076538902947988E-2</v>
      </c>
      <c r="N127" s="279">
        <f>'Initial unit rates'!N127</f>
        <v>5.8422180848930111E-2</v>
      </c>
      <c r="O127" s="279">
        <f>'Initial unit rates'!O127</f>
        <v>5.6287330551034298E-2</v>
      </c>
      <c r="P127" s="279">
        <f>'Initial unit rates'!P127</f>
        <v>4.2122167771806045E-2</v>
      </c>
      <c r="Q127" s="279">
        <f>'Initial unit rates'!Q127</f>
        <v>8.1754447189313836E-2</v>
      </c>
      <c r="R127" s="268"/>
      <c r="S127" s="268"/>
      <c r="T127" s="268"/>
      <c r="U127" s="268"/>
      <c r="V127" s="268"/>
      <c r="W127" s="268"/>
      <c r="X127" s="268"/>
      <c r="Y127" s="268"/>
      <c r="Z127" s="267"/>
      <c r="AA127" s="267"/>
    </row>
    <row r="128" spans="3:27" x14ac:dyDescent="0.3">
      <c r="E128" t="s">
        <v>197</v>
      </c>
      <c r="G128" t="s">
        <v>271</v>
      </c>
      <c r="H128" s="267"/>
      <c r="I128" s="267"/>
      <c r="J128" s="279">
        <f>'Initial unit rates'!J128</f>
        <v>0.14018505310908116</v>
      </c>
      <c r="K128" s="279">
        <f>'Initial unit rates'!K128</f>
        <v>0.14018505310908116</v>
      </c>
      <c r="L128" s="279">
        <f>'Initial unit rates'!L128</f>
        <v>0.11273313609145408</v>
      </c>
      <c r="M128" s="279">
        <f>'Initial unit rates'!M128</f>
        <v>0.11273313609145408</v>
      </c>
      <c r="N128" s="279">
        <f>'Initial unit rates'!N128</f>
        <v>9.3984602657436828E-2</v>
      </c>
      <c r="O128" s="279">
        <f>'Initial unit rates'!O128</f>
        <v>9.0550238276215306E-2</v>
      </c>
      <c r="P128" s="279">
        <f>'Initial unit rates'!P128</f>
        <v>4.7010661588314663E-2</v>
      </c>
      <c r="Q128" s="279">
        <f>'Initial unit rates'!Q128</f>
        <v>0.13151955512298846</v>
      </c>
      <c r="R128" s="268"/>
      <c r="S128" s="268"/>
      <c r="T128" s="268"/>
      <c r="U128" s="268"/>
      <c r="V128" s="268"/>
      <c r="W128" s="268"/>
      <c r="X128" s="268"/>
      <c r="Y128" s="268"/>
      <c r="Z128" s="267"/>
      <c r="AA128" s="267"/>
    </row>
    <row r="129" spans="4:27" x14ac:dyDescent="0.3">
      <c r="E129" t="s">
        <v>198</v>
      </c>
      <c r="G129" t="s">
        <v>271</v>
      </c>
      <c r="H129" s="267"/>
      <c r="I129" s="267"/>
      <c r="J129" s="279">
        <f>'Initial unit rates'!J129</f>
        <v>1.1804564015218233E-2</v>
      </c>
      <c r="K129" s="279">
        <f>'Initial unit rates'!K129</f>
        <v>1.1804564015218233E-2</v>
      </c>
      <c r="L129" s="279">
        <f>'Initial unit rates'!L129</f>
        <v>9.4929201945116067E-3</v>
      </c>
      <c r="M129" s="279">
        <f>'Initial unit rates'!M129</f>
        <v>9.4929201945116067E-3</v>
      </c>
      <c r="N129" s="279">
        <f>'Initial unit rates'!N129</f>
        <v>7.9141622727158852E-3</v>
      </c>
      <c r="O129" s="279">
        <f>'Initial unit rates'!O129</f>
        <v>7.6249647206903569E-3</v>
      </c>
      <c r="P129" s="279">
        <f>'Initial unit rates'!P129</f>
        <v>3.9586271989012246E-3</v>
      </c>
      <c r="Q129" s="279">
        <f>'Initial unit rates'!Q129</f>
        <v>1.1074868349154747E-2</v>
      </c>
      <c r="R129" s="268"/>
      <c r="S129" s="268"/>
      <c r="T129" s="268"/>
      <c r="U129" s="268"/>
      <c r="V129" s="268"/>
      <c r="W129" s="268"/>
      <c r="X129" s="268"/>
      <c r="Y129" s="268"/>
      <c r="Z129" s="267"/>
      <c r="AA129" s="267"/>
    </row>
    <row r="130" spans="4:27" x14ac:dyDescent="0.3">
      <c r="E130" t="s">
        <v>199</v>
      </c>
      <c r="G130" t="s">
        <v>271</v>
      </c>
      <c r="H130" s="267"/>
      <c r="I130" s="267"/>
      <c r="J130" s="279">
        <f>'Initial unit rates'!J130</f>
        <v>0.16822026863148162</v>
      </c>
      <c r="K130" s="279">
        <f>'Initial unit rates'!K130</f>
        <v>0.16822026863148162</v>
      </c>
      <c r="L130" s="279">
        <f>'Initial unit rates'!L130</f>
        <v>0.13527831973796425</v>
      </c>
      <c r="M130" s="279">
        <f>'Initial unit rates'!M130</f>
        <v>0.13527831973796425</v>
      </c>
      <c r="N130" s="279">
        <f>'Initial unit rates'!N130</f>
        <v>0.11278031969610111</v>
      </c>
      <c r="O130" s="279">
        <f>'Initial unit rates'!O130</f>
        <v>0.10865912641640151</v>
      </c>
      <c r="P130" s="279">
        <f>'Initial unit rates'!P130</f>
        <v>6.0495747203952809E-2</v>
      </c>
      <c r="Q130" s="279">
        <f>'Initial unit rates'!Q130</f>
        <v>0.15782178201171482</v>
      </c>
      <c r="R130" s="268"/>
      <c r="S130" s="268"/>
      <c r="T130" s="268"/>
      <c r="U130" s="268"/>
      <c r="V130" s="268"/>
      <c r="W130" s="268"/>
      <c r="X130" s="268"/>
      <c r="Y130" s="268"/>
      <c r="Z130" s="267"/>
      <c r="AA130" s="267"/>
    </row>
    <row r="131" spans="4:27" x14ac:dyDescent="0.3">
      <c r="E131" t="s">
        <v>200</v>
      </c>
      <c r="G131" t="s">
        <v>271</v>
      </c>
      <c r="H131" s="267"/>
      <c r="I131" s="267"/>
      <c r="J131" s="279">
        <f>'Initial unit rates'!J131</f>
        <v>4.3031741754219442E-2</v>
      </c>
      <c r="K131" s="279">
        <f>'Initial unit rates'!K131</f>
        <v>4.3031741754219442E-2</v>
      </c>
      <c r="L131" s="279">
        <f>'Initial unit rates'!L131</f>
        <v>3.46049959809622E-2</v>
      </c>
      <c r="M131" s="279">
        <f>'Initial unit rates'!M131</f>
        <v>3.46049959809622E-2</v>
      </c>
      <c r="N131" s="279">
        <f>'Initial unit rates'!N131</f>
        <v>2.8849874225041452E-2</v>
      </c>
      <c r="O131" s="279">
        <f>'Initial unit rates'!O131</f>
        <v>2.7795648557861249E-2</v>
      </c>
      <c r="P131" s="279">
        <f>'Initial unit rates'!P131</f>
        <v>0</v>
      </c>
      <c r="Q131" s="279">
        <f>'Initial unit rates'!Q131</f>
        <v>4.0371747245253532E-2</v>
      </c>
      <c r="R131" s="268"/>
      <c r="S131" s="268"/>
      <c r="T131" s="268"/>
      <c r="U131" s="268"/>
      <c r="V131" s="268"/>
      <c r="W131" s="268"/>
      <c r="X131" s="268"/>
      <c r="Y131" s="268"/>
      <c r="Z131" s="267"/>
      <c r="AA131" s="267"/>
    </row>
    <row r="132" spans="4:27" x14ac:dyDescent="0.3">
      <c r="E132" t="s">
        <v>201</v>
      </c>
      <c r="G132" t="s">
        <v>271</v>
      </c>
      <c r="H132" s="267"/>
      <c r="I132" s="267"/>
      <c r="J132" s="279">
        <f>'Initial unit rates'!J132</f>
        <v>1.8059040288978267E-2</v>
      </c>
      <c r="K132" s="279">
        <f>'Initial unit rates'!K132</f>
        <v>1.8059040288978267E-2</v>
      </c>
      <c r="L132" s="279">
        <f>'Initial unit rates'!L132</f>
        <v>1.4522605666056967E-2</v>
      </c>
      <c r="M132" s="279">
        <f>'Initial unit rates'!M132</f>
        <v>1.4522605666056967E-2</v>
      </c>
      <c r="N132" s="279">
        <f>'Initial unit rates'!N132</f>
        <v>1.2107365858852154E-2</v>
      </c>
      <c r="O132" s="279">
        <f>'Initial unit rates'!O132</f>
        <v>0</v>
      </c>
      <c r="P132" s="279">
        <f>'Initial unit rates'!P132</f>
        <v>0</v>
      </c>
      <c r="Q132" s="279">
        <f>'Initial unit rates'!Q132</f>
        <v>1.6942726004507871E-2</v>
      </c>
      <c r="R132" s="268"/>
      <c r="S132" s="268"/>
      <c r="T132" s="268"/>
      <c r="U132" s="268"/>
      <c r="V132" s="268"/>
      <c r="W132" s="268"/>
      <c r="X132" s="268"/>
      <c r="Y132" s="268"/>
      <c r="Z132" s="267"/>
      <c r="AA132" s="267"/>
    </row>
    <row r="133" spans="4:27" x14ac:dyDescent="0.3">
      <c r="E133" t="s">
        <v>378</v>
      </c>
      <c r="G133" t="s">
        <v>271</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379</v>
      </c>
      <c r="F134" s="37"/>
      <c r="G134" s="37" t="s">
        <v>271</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624</v>
      </c>
      <c r="E136"/>
      <c r="J136" s="89"/>
      <c r="K136" s="89"/>
      <c r="L136" s="89"/>
      <c r="M136" s="89"/>
      <c r="N136" s="89"/>
      <c r="O136" s="89"/>
      <c r="P136" s="89"/>
      <c r="Q136" s="89"/>
      <c r="R136" s="89"/>
      <c r="S136" s="89"/>
      <c r="T136" s="89"/>
      <c r="U136" s="89"/>
      <c r="V136" s="89"/>
      <c r="W136" s="89"/>
      <c r="X136" s="89"/>
      <c r="Y136" s="89"/>
    </row>
    <row r="137" spans="4:27" x14ac:dyDescent="0.3">
      <c r="E137" s="23" t="s">
        <v>191</v>
      </c>
      <c r="F137" s="23"/>
      <c r="G137" s="23" t="s">
        <v>271</v>
      </c>
      <c r="H137" s="266"/>
      <c r="I137" s="266"/>
      <c r="J137" s="278">
        <f>'Initial unit rates'!J135</f>
        <v>6.8602111154455081E-2</v>
      </c>
      <c r="K137" s="278">
        <f>'Initial unit rates'!K135</f>
        <v>6.8602111154455081E-2</v>
      </c>
      <c r="L137" s="278">
        <f>'Initial unit rates'!L135</f>
        <v>5.5168015144371009E-2</v>
      </c>
      <c r="M137" s="278">
        <f>'Initial unit rates'!M135</f>
        <v>5.5168015144371009E-2</v>
      </c>
      <c r="N137" s="278">
        <f>'Initial unit rates'!N135</f>
        <v>4.5993078543800227E-2</v>
      </c>
      <c r="O137" s="278">
        <f>'Initial unit rates'!O135</f>
        <v>4.4312409729257422E-2</v>
      </c>
      <c r="P137" s="278">
        <f>'Initial unit rates'!P135</f>
        <v>3.548207168517218E-2</v>
      </c>
      <c r="Q137" s="278">
        <f>'Initial unit rates'!Q135</f>
        <v>6.4361491752698549E-2</v>
      </c>
      <c r="R137" s="280"/>
      <c r="S137" s="280"/>
      <c r="T137" s="280"/>
      <c r="U137" s="280"/>
      <c r="V137" s="280"/>
      <c r="W137" s="280"/>
      <c r="X137" s="280"/>
      <c r="Y137" s="280"/>
      <c r="Z137" s="267"/>
      <c r="AA137" s="267"/>
    </row>
    <row r="138" spans="4:27" x14ac:dyDescent="0.3">
      <c r="E138" t="s">
        <v>193</v>
      </c>
      <c r="G138" t="s">
        <v>271</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194</v>
      </c>
      <c r="G139" t="s">
        <v>271</v>
      </c>
      <c r="H139" s="267"/>
      <c r="I139" s="267"/>
      <c r="J139" s="279">
        <f>'Initial unit rates'!J137</f>
        <v>8.6541756221709787E-2</v>
      </c>
      <c r="K139" s="279">
        <f>'Initial unit rates'!K137</f>
        <v>8.6541756221709787E-2</v>
      </c>
      <c r="L139" s="279">
        <f>'Initial unit rates'!L137</f>
        <v>6.9594606310445881E-2</v>
      </c>
      <c r="M139" s="279">
        <f>'Initial unit rates'!M137</f>
        <v>6.9594606310445881E-2</v>
      </c>
      <c r="N139" s="279">
        <f>'Initial unit rates'!N137</f>
        <v>5.8020397976703143E-2</v>
      </c>
      <c r="O139" s="279">
        <f>'Initial unit rates'!O137</f>
        <v>5.5900229538881692E-2</v>
      </c>
      <c r="P139" s="279">
        <f>'Initial unit rates'!P137</f>
        <v>4.4760733253614883E-2</v>
      </c>
      <c r="Q139" s="279">
        <f>'Initial unit rates'!Q137</f>
        <v>8.1192202916132925E-2</v>
      </c>
      <c r="R139" s="268"/>
      <c r="S139" s="268"/>
      <c r="T139" s="268"/>
      <c r="U139" s="268"/>
      <c r="V139" s="268"/>
      <c r="W139" s="268"/>
      <c r="X139" s="268"/>
      <c r="Y139" s="268"/>
      <c r="Z139" s="267"/>
      <c r="AA139" s="267"/>
    </row>
    <row r="140" spans="4:27" x14ac:dyDescent="0.3">
      <c r="E140" t="s">
        <v>195</v>
      </c>
      <c r="G140" t="s">
        <v>271</v>
      </c>
      <c r="H140" s="267"/>
      <c r="I140" s="267"/>
      <c r="J140" s="279">
        <f>'Initial unit rates'!J138</f>
        <v>4.5217260107431358E-2</v>
      </c>
      <c r="K140" s="279">
        <f>'Initial unit rates'!K138</f>
        <v>4.5217260107431358E-2</v>
      </c>
      <c r="L140" s="279">
        <f>'Initial unit rates'!L138</f>
        <v>3.6362532412120063E-2</v>
      </c>
      <c r="M140" s="279">
        <f>'Initial unit rates'!M138</f>
        <v>3.6362532412120063E-2</v>
      </c>
      <c r="N140" s="279">
        <f>'Initial unit rates'!N138</f>
        <v>3.03151165563143E-2</v>
      </c>
      <c r="O140" s="279">
        <f>'Initial unit rates'!O138</f>
        <v>2.9207348330777767E-2</v>
      </c>
      <c r="P140" s="279">
        <f>'Initial unit rates'!P138</f>
        <v>2.3387065464016185E-2</v>
      </c>
      <c r="Q140" s="279">
        <f>'Initial unit rates'!Q138</f>
        <v>4.2422168421781495E-2</v>
      </c>
      <c r="R140" s="268"/>
      <c r="S140" s="268"/>
      <c r="T140" s="268"/>
      <c r="U140" s="268"/>
      <c r="V140" s="268"/>
      <c r="W140" s="268"/>
      <c r="X140" s="268"/>
      <c r="Y140" s="268"/>
      <c r="Z140" s="267"/>
      <c r="AA140" s="267"/>
    </row>
    <row r="141" spans="4:27" x14ac:dyDescent="0.3">
      <c r="E141" t="s">
        <v>196</v>
      </c>
      <c r="G141" t="s">
        <v>271</v>
      </c>
      <c r="H141" s="267"/>
      <c r="I141" s="267"/>
      <c r="J141" s="279">
        <f>'Initial unit rates'!J139</f>
        <v>5.5859802653806225E-2</v>
      </c>
      <c r="K141" s="279">
        <f>'Initial unit rates'!K139</f>
        <v>5.5859802653806225E-2</v>
      </c>
      <c r="L141" s="279">
        <f>'Initial unit rates'!L139</f>
        <v>4.4920985475628922E-2</v>
      </c>
      <c r="M141" s="279">
        <f>'Initial unit rates'!M139</f>
        <v>4.4920985475628922E-2</v>
      </c>
      <c r="N141" s="279">
        <f>'Initial unit rates'!N139</f>
        <v>3.7450221978057106E-2</v>
      </c>
      <c r="O141" s="279">
        <f>'Initial unit rates'!O139</f>
        <v>3.6081724322126418E-2</v>
      </c>
      <c r="P141" s="279">
        <f>'Initial unit rates'!P139</f>
        <v>2.8891552879757254E-2</v>
      </c>
      <c r="Q141" s="279">
        <f>'Initial unit rates'!Q139</f>
        <v>5.2406845318736829E-2</v>
      </c>
      <c r="R141" s="268"/>
      <c r="S141" s="268"/>
      <c r="T141" s="268"/>
      <c r="U141" s="268"/>
      <c r="V141" s="268"/>
      <c r="W141" s="268"/>
      <c r="X141" s="268"/>
      <c r="Y141" s="268"/>
      <c r="Z141" s="267"/>
      <c r="AA141" s="267"/>
    </row>
    <row r="142" spans="4:27" x14ac:dyDescent="0.3">
      <c r="E142" t="s">
        <v>197</v>
      </c>
      <c r="G142" t="s">
        <v>271</v>
      </c>
      <c r="H142" s="267"/>
      <c r="I142" s="267"/>
      <c r="J142" s="279">
        <f>'Initial unit rates'!J140</f>
        <v>8.986246799852142E-2</v>
      </c>
      <c r="K142" s="279">
        <f>'Initial unit rates'!K140</f>
        <v>8.986246799852142E-2</v>
      </c>
      <c r="L142" s="279">
        <f>'Initial unit rates'!L140</f>
        <v>7.2265035463577529E-2</v>
      </c>
      <c r="M142" s="279">
        <f>'Initial unit rates'!M140</f>
        <v>7.2265035463577529E-2</v>
      </c>
      <c r="N142" s="279">
        <f>'Initial unit rates'!N140</f>
        <v>6.0246710767986697E-2</v>
      </c>
      <c r="O142" s="279">
        <f>'Initial unit rates'!O140</f>
        <v>5.8045188904863126E-2</v>
      </c>
      <c r="P142" s="279">
        <f>'Initial unit rates'!P140</f>
        <v>4.6478256684422223E-2</v>
      </c>
      <c r="Q142" s="279">
        <f>'Initial unit rates'!Q140</f>
        <v>8.4307645867373215E-2</v>
      </c>
      <c r="R142" s="268"/>
      <c r="S142" s="268"/>
      <c r="T142" s="268"/>
      <c r="U142" s="268"/>
      <c r="V142" s="268"/>
      <c r="W142" s="268"/>
      <c r="X142" s="268"/>
      <c r="Y142" s="268"/>
      <c r="Z142" s="267"/>
      <c r="AA142" s="267"/>
    </row>
    <row r="143" spans="4:27" x14ac:dyDescent="0.3">
      <c r="E143" t="s">
        <v>198</v>
      </c>
      <c r="G143" t="s">
        <v>271</v>
      </c>
      <c r="H143" s="267"/>
      <c r="I143" s="267"/>
      <c r="J143" s="279">
        <f>'Initial unit rates'!J141</f>
        <v>7.5670496427933977E-3</v>
      </c>
      <c r="K143" s="279">
        <f>'Initial unit rates'!K141</f>
        <v>7.5670496427933977E-3</v>
      </c>
      <c r="L143" s="279">
        <f>'Initial unit rates'!L141</f>
        <v>6.0852224846541505E-3</v>
      </c>
      <c r="M143" s="279">
        <f>'Initial unit rates'!M141</f>
        <v>6.0852224846541505E-3</v>
      </c>
      <c r="N143" s="279">
        <f>'Initial unit rates'!N141</f>
        <v>5.0731953100138765E-3</v>
      </c>
      <c r="O143" s="279">
        <f>'Initial unit rates'!O141</f>
        <v>4.8878117388857691E-3</v>
      </c>
      <c r="P143" s="279">
        <f>'Initial unit rates'!P141</f>
        <v>3.9137949744191738E-3</v>
      </c>
      <c r="Q143" s="279">
        <f>'Initial unit rates'!Q141</f>
        <v>7.0992946861414457E-3</v>
      </c>
      <c r="R143" s="268"/>
      <c r="S143" s="268"/>
      <c r="T143" s="268"/>
      <c r="U143" s="268"/>
      <c r="V143" s="268"/>
      <c r="W143" s="268"/>
      <c r="X143" s="268"/>
      <c r="Y143" s="268"/>
      <c r="Z143" s="267"/>
      <c r="AA143" s="267"/>
    </row>
    <row r="144" spans="4:27" x14ac:dyDescent="0.3">
      <c r="E144" t="s">
        <v>199</v>
      </c>
      <c r="G144" t="s">
        <v>271</v>
      </c>
      <c r="H144" s="267"/>
      <c r="I144" s="267"/>
      <c r="J144" s="279">
        <f>'Initial unit rates'!J142</f>
        <v>0.20702774092420145</v>
      </c>
      <c r="K144" s="279">
        <f>'Initial unit rates'!K142</f>
        <v>0.20702774092420145</v>
      </c>
      <c r="L144" s="279">
        <f>'Initial unit rates'!L142</f>
        <v>0.16648626921840076</v>
      </c>
      <c r="M144" s="279">
        <f>'Initial unit rates'!M142</f>
        <v>0.16648626921840076</v>
      </c>
      <c r="N144" s="279">
        <f>'Initial unit rates'!N142</f>
        <v>0.13879810677595983</v>
      </c>
      <c r="O144" s="279">
        <f>'Initial unit rates'!O142</f>
        <v>0.13372617732566686</v>
      </c>
      <c r="P144" s="279">
        <f>'Initial unit rates'!P142</f>
        <v>0.10707794586310963</v>
      </c>
      <c r="Q144" s="279">
        <f>'Initial unit rates'!Q142</f>
        <v>0.19423038177459195</v>
      </c>
      <c r="R144" s="268"/>
      <c r="S144" s="268"/>
      <c r="T144" s="268"/>
      <c r="U144" s="268"/>
      <c r="V144" s="268"/>
      <c r="W144" s="268"/>
      <c r="X144" s="268"/>
      <c r="Y144" s="268"/>
      <c r="Z144" s="267"/>
      <c r="AA144" s="267"/>
    </row>
    <row r="145" spans="2:27" x14ac:dyDescent="0.3">
      <c r="E145" t="s">
        <v>200</v>
      </c>
      <c r="G145" t="s">
        <v>271</v>
      </c>
      <c r="H145" s="267"/>
      <c r="I145" s="267"/>
      <c r="J145" s="279">
        <f>'Initial unit rates'!J143</f>
        <v>9.4767391770508205E-2</v>
      </c>
      <c r="K145" s="279">
        <f>'Initial unit rates'!K143</f>
        <v>9.4767391770508205E-2</v>
      </c>
      <c r="L145" s="279">
        <f>'Initial unit rates'!L143</f>
        <v>7.6209446275159104E-2</v>
      </c>
      <c r="M145" s="279">
        <f>'Initial unit rates'!M143</f>
        <v>7.6209446275159104E-2</v>
      </c>
      <c r="N145" s="279">
        <f>'Initial unit rates'!N143</f>
        <v>6.3535130621253738E-2</v>
      </c>
      <c r="O145" s="279">
        <f>'Initial unit rates'!O143</f>
        <v>6.1213444053537798E-2</v>
      </c>
      <c r="P145" s="279">
        <f>'Initial unit rates'!P143</f>
        <v>0</v>
      </c>
      <c r="Q145" s="279">
        <f>'Initial unit rates'!Q143</f>
        <v>8.8909373213454199E-2</v>
      </c>
      <c r="R145" s="268"/>
      <c r="S145" s="268"/>
      <c r="T145" s="268"/>
      <c r="U145" s="268"/>
      <c r="V145" s="268"/>
      <c r="W145" s="268"/>
      <c r="X145" s="268"/>
      <c r="Y145" s="268"/>
      <c r="Z145" s="267"/>
      <c r="AA145" s="267"/>
    </row>
    <row r="146" spans="2:27" x14ac:dyDescent="0.3">
      <c r="E146" t="s">
        <v>201</v>
      </c>
      <c r="G146" t="s">
        <v>271</v>
      </c>
      <c r="H146" s="267"/>
      <c r="I146" s="267"/>
      <c r="J146" s="279">
        <f>'Initial unit rates'!J144</f>
        <v>0.18889098992629347</v>
      </c>
      <c r="K146" s="279">
        <f>'Initial unit rates'!K144</f>
        <v>0.18889098992629347</v>
      </c>
      <c r="L146" s="279">
        <f>'Initial unit rates'!L144</f>
        <v>0.15190117064221365</v>
      </c>
      <c r="M146" s="279">
        <f>'Initial unit rates'!M144</f>
        <v>0.15190117064221365</v>
      </c>
      <c r="N146" s="279">
        <f>'Initial unit rates'!N144</f>
        <v>0.12663864113942808</v>
      </c>
      <c r="O146" s="279">
        <f>'Initial unit rates'!O144</f>
        <v>0</v>
      </c>
      <c r="P146" s="279">
        <f>'Initial unit rates'!P144</f>
        <v>0</v>
      </c>
      <c r="Q146" s="279">
        <f>'Initial unit rates'!Q144</f>
        <v>0.17721474872585893</v>
      </c>
      <c r="R146" s="268"/>
      <c r="S146" s="268"/>
      <c r="T146" s="268"/>
      <c r="U146" s="268"/>
      <c r="V146" s="268"/>
      <c r="W146" s="268"/>
      <c r="X146" s="268"/>
      <c r="Y146" s="268"/>
      <c r="Z146" s="267"/>
      <c r="AA146" s="267"/>
    </row>
    <row r="147" spans="2:27" x14ac:dyDescent="0.3">
      <c r="E147" t="s">
        <v>378</v>
      </c>
      <c r="G147" t="s">
        <v>271</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379</v>
      </c>
      <c r="F148" s="37"/>
      <c r="G148" s="37" t="s">
        <v>271</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677</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678</v>
      </c>
      <c r="D152"/>
      <c r="E152"/>
      <c r="J152" s="89"/>
      <c r="K152" s="89"/>
      <c r="L152" s="89"/>
      <c r="M152" s="89"/>
      <c r="N152" s="89"/>
      <c r="O152" s="89"/>
      <c r="P152" s="89"/>
      <c r="Q152" s="89"/>
      <c r="R152" s="89"/>
      <c r="S152" s="89"/>
      <c r="T152" s="89"/>
      <c r="U152" s="89"/>
      <c r="V152" s="89"/>
      <c r="W152" s="89"/>
      <c r="X152" s="89"/>
      <c r="Y152" s="89"/>
    </row>
    <row r="153" spans="2:27" x14ac:dyDescent="0.3">
      <c r="C153" s="29" t="s">
        <v>679</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156</v>
      </c>
      <c r="J156" s="89"/>
      <c r="K156" s="89"/>
      <c r="L156" s="89"/>
      <c r="M156" s="89"/>
      <c r="N156" s="89"/>
      <c r="O156" s="89"/>
      <c r="P156" s="89"/>
      <c r="Q156" s="89"/>
      <c r="R156" s="89"/>
      <c r="S156" s="89"/>
      <c r="T156" s="89"/>
      <c r="U156" s="89"/>
      <c r="V156" s="89"/>
      <c r="W156" s="89"/>
      <c r="X156" s="89"/>
      <c r="Y156" s="89"/>
      <c r="AA156" t="s">
        <v>680</v>
      </c>
    </row>
    <row r="157" spans="2:27" x14ac:dyDescent="0.3">
      <c r="D157"/>
      <c r="E157" s="32" t="s">
        <v>623</v>
      </c>
      <c r="J157" s="89"/>
      <c r="K157" s="89"/>
      <c r="L157" s="89"/>
      <c r="M157" s="89"/>
      <c r="N157" s="89"/>
      <c r="O157" s="89"/>
      <c r="P157" s="89"/>
      <c r="Q157" s="89"/>
      <c r="R157" s="89"/>
      <c r="S157" s="89"/>
      <c r="T157" s="89"/>
      <c r="U157" s="89"/>
      <c r="V157" s="89"/>
      <c r="W157" s="89"/>
      <c r="X157" s="89"/>
      <c r="Y157" s="89"/>
    </row>
    <row r="158" spans="2:27" x14ac:dyDescent="0.3">
      <c r="D158"/>
      <c r="F158" s="23" t="s">
        <v>191</v>
      </c>
      <c r="G158" s="23" t="s">
        <v>271</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193</v>
      </c>
      <c r="G159" t="s">
        <v>271</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194</v>
      </c>
      <c r="G160" t="s">
        <v>271</v>
      </c>
      <c r="H160" s="267"/>
      <c r="I160" s="267"/>
      <c r="J160" s="268"/>
      <c r="K160" s="268"/>
      <c r="L160" s="268"/>
      <c r="M160" s="268"/>
      <c r="N160" s="268"/>
      <c r="O160" s="268"/>
      <c r="P160" s="268"/>
      <c r="Q160" s="268"/>
      <c r="R160" s="282">
        <f t="shared" ref="R160:S160" si="0">hundred * $H51 * R95 / $H37 * (1 - R109) / hours_in_year</f>
        <v>-6.5346644407084029E-2</v>
      </c>
      <c r="S160" s="282">
        <f t="shared" si="0"/>
        <v>-6.3583804697497567E-2</v>
      </c>
      <c r="T160" s="282">
        <f t="shared" ref="T160:U160" si="1">hundred * $H51 * T95 / $H37 * (1 - T109) / hours_in_year</f>
        <v>-6.5346644407084029E-2</v>
      </c>
      <c r="U160" s="282">
        <f t="shared" si="1"/>
        <v>-6.5346644407084029E-2</v>
      </c>
      <c r="V160" s="282">
        <f t="shared" ref="V160:W160" si="2">hundred * $H51 * V95 / $H37 * (1 - V109) / hours_in_year</f>
        <v>-6.3583804697497567E-2</v>
      </c>
      <c r="W160" s="282">
        <f t="shared" si="2"/>
        <v>-6.3583804697497567E-2</v>
      </c>
      <c r="X160" s="282">
        <f t="shared" ref="X160:Y160" si="3">hundred * $H51 * X95 / $H37 * (1 - X109) / hours_in_year</f>
        <v>-6.2854353783185934E-2</v>
      </c>
      <c r="Y160" s="282">
        <f t="shared" si="3"/>
        <v>-6.2854353783185934E-2</v>
      </c>
      <c r="Z160" s="267"/>
      <c r="AA160" s="267"/>
    </row>
    <row r="161" spans="5:27" customFormat="1" x14ac:dyDescent="0.3">
      <c r="E161" s="2"/>
      <c r="F161" t="s">
        <v>195</v>
      </c>
      <c r="G161" t="s">
        <v>271</v>
      </c>
      <c r="H161" s="267"/>
      <c r="I161" s="267"/>
      <c r="J161" s="268"/>
      <c r="K161" s="268"/>
      <c r="L161" s="268"/>
      <c r="M161" s="268"/>
      <c r="N161" s="268"/>
      <c r="O161" s="268"/>
      <c r="P161" s="268"/>
      <c r="Q161" s="268"/>
      <c r="R161" s="282">
        <f t="shared" ref="R161:S161" si="4">hundred * $H52 * R96 / $H38 * (1 - R110) / hours_in_year</f>
        <v>-3.4143011955212729E-2</v>
      </c>
      <c r="S161" s="282">
        <f t="shared" si="4"/>
        <v>-3.3221944655955835E-2</v>
      </c>
      <c r="T161" s="282">
        <f t="shared" ref="T161:U161" si="5">hundred * $H52 * T96 / $H38 * (1 - T110) / hours_in_year</f>
        <v>-3.4143011955212729E-2</v>
      </c>
      <c r="U161" s="282">
        <f t="shared" si="5"/>
        <v>-3.4143011955212729E-2</v>
      </c>
      <c r="V161" s="282">
        <f t="shared" ref="V161:W161" si="6">hundred * $H52 * V96 / $H38 * (1 - V110) / hours_in_year</f>
        <v>-3.3221944655955835E-2</v>
      </c>
      <c r="W161" s="282">
        <f t="shared" si="6"/>
        <v>-3.3221944655955835E-2</v>
      </c>
      <c r="X161" s="282">
        <f t="shared" ref="X161:Y161" si="7">hundred * $H52 * X96 / $H38 * (1 - X110) / hours_in_year</f>
        <v>-3.2840813359711597E-2</v>
      </c>
      <c r="Y161" s="282">
        <f t="shared" si="7"/>
        <v>-3.2840813359711597E-2</v>
      </c>
      <c r="Z161" s="267"/>
      <c r="AA161" s="267"/>
    </row>
    <row r="162" spans="5:27" customFormat="1" x14ac:dyDescent="0.3">
      <c r="E162" s="2"/>
      <c r="F162" t="s">
        <v>196</v>
      </c>
      <c r="G162" t="s">
        <v>271</v>
      </c>
      <c r="H162" s="267"/>
      <c r="I162" s="267"/>
      <c r="J162" s="268"/>
      <c r="K162" s="268"/>
      <c r="L162" s="268"/>
      <c r="M162" s="268"/>
      <c r="N162" s="268"/>
      <c r="O162" s="268"/>
      <c r="P162" s="268"/>
      <c r="Q162" s="268"/>
      <c r="R162" s="282">
        <f t="shared" ref="R162:S162" si="8">hundred * $H53 * R97 / $H39 * (1 - R111) / hours_in_year</f>
        <v>-4.2179068463975379E-2</v>
      </c>
      <c r="S162" s="282">
        <f t="shared" si="8"/>
        <v>-4.1041214524016968E-2</v>
      </c>
      <c r="T162" s="282">
        <f t="shared" ref="T162:U162" si="9">hundred * $H53 * T97 / $H39 * (1 - T111) / hours_in_year</f>
        <v>-4.2179068463975379E-2</v>
      </c>
      <c r="U162" s="282">
        <f t="shared" si="9"/>
        <v>-4.2179068463975379E-2</v>
      </c>
      <c r="V162" s="282">
        <f t="shared" ref="V162:W162" si="10">hundred * $H53 * V97 / $H39 * (1 - V111) / hours_in_year</f>
        <v>-4.1041214524016968E-2</v>
      </c>
      <c r="W162" s="282">
        <f t="shared" si="10"/>
        <v>-4.1041214524016968E-2</v>
      </c>
      <c r="X162" s="282">
        <f t="shared" ref="X162:Y162" si="11">hundred * $H53 * X97 / $H39 * (1 - X111) / hours_in_year</f>
        <v>-3.7916262244506019E-2</v>
      </c>
      <c r="Y162" s="282">
        <f t="shared" si="11"/>
        <v>-3.7916262244506019E-2</v>
      </c>
      <c r="Z162" s="267"/>
      <c r="AA162" s="267"/>
    </row>
    <row r="163" spans="5:27" customFormat="1" x14ac:dyDescent="0.3">
      <c r="E163" s="2"/>
      <c r="F163" t="s">
        <v>197</v>
      </c>
      <c r="G163" t="s">
        <v>271</v>
      </c>
      <c r="H163" s="267"/>
      <c r="I163" s="267"/>
      <c r="J163" s="268"/>
      <c r="K163" s="268"/>
      <c r="L163" s="268"/>
      <c r="M163" s="268"/>
      <c r="N163" s="268"/>
      <c r="O163" s="268"/>
      <c r="P163" s="268"/>
      <c r="Q163" s="268"/>
      <c r="R163" s="282">
        <f t="shared" ref="R163:S163" si="12">hundred * $H54 * R98 / $H40 * (1 - R112) / hours_in_year</f>
        <v>-6.7854074128082573E-2</v>
      </c>
      <c r="S163" s="282">
        <f t="shared" si="12"/>
        <v>-6.6023592128348255E-2</v>
      </c>
      <c r="T163" s="282">
        <f t="shared" ref="T163:U163" si="13">hundred * $H54 * T98 / $H40 * (1 - T112) / hours_in_year</f>
        <v>-6.7854074128082573E-2</v>
      </c>
      <c r="U163" s="282">
        <f t="shared" si="13"/>
        <v>-6.7854074128082573E-2</v>
      </c>
      <c r="V163" s="282">
        <f t="shared" ref="V163:W163" si="14">hundred * $H54 * V98 / $H40 * (1 - V112) / hours_in_year</f>
        <v>-6.6023592128348255E-2</v>
      </c>
      <c r="W163" s="282">
        <f t="shared" si="14"/>
        <v>-6.6023592128348255E-2</v>
      </c>
      <c r="X163" s="282">
        <f t="shared" ref="X163:Y163" si="15">hundred * $H54 * X98 / $H40 * (1 - X112) / hours_in_year</f>
        <v>-4.2316639132313094E-2</v>
      </c>
      <c r="Y163" s="282">
        <f t="shared" si="15"/>
        <v>-4.2316639132313094E-2</v>
      </c>
      <c r="Z163" s="267"/>
      <c r="AA163" s="267"/>
    </row>
    <row r="164" spans="5:27" customFormat="1" x14ac:dyDescent="0.3">
      <c r="E164" s="2"/>
      <c r="F164" t="s">
        <v>198</v>
      </c>
      <c r="G164" t="s">
        <v>271</v>
      </c>
      <c r="H164" s="267"/>
      <c r="I164" s="267"/>
      <c r="J164" s="268"/>
      <c r="K164" s="268"/>
      <c r="L164" s="268"/>
      <c r="M164" s="268"/>
      <c r="N164" s="268"/>
      <c r="O164" s="268"/>
      <c r="P164" s="268"/>
      <c r="Q164" s="268"/>
      <c r="R164" s="282">
        <f t="shared" ref="R164:S164" si="16">hundred * $H55 * R99 / $H41 * (1 - R113) / hours_in_year</f>
        <v>-5.7137886242055163E-3</v>
      </c>
      <c r="S164" s="282">
        <f t="shared" si="16"/>
        <v>-5.5596492101571823E-3</v>
      </c>
      <c r="T164" s="282">
        <f t="shared" ref="T164:U164" si="17">hundred * $H55 * T99 / $H41 * (1 - T113) / hours_in_year</f>
        <v>-5.7137886242055163E-3</v>
      </c>
      <c r="U164" s="282">
        <f t="shared" si="17"/>
        <v>-5.7137886242055163E-3</v>
      </c>
      <c r="V164" s="282">
        <f t="shared" ref="V164:W164" si="18">hundred * $H55 * V99 / $H41 * (1 - V113) / hours_in_year</f>
        <v>-5.5596492101571823E-3</v>
      </c>
      <c r="W164" s="282">
        <f t="shared" si="18"/>
        <v>-5.5596492101571823E-3</v>
      </c>
      <c r="X164" s="282">
        <f t="shared" ref="X164:Y164" si="19">hundred * $H55 * X99 / $H41 * (1 - X113) / hours_in_year</f>
        <v>-3.5633576081580093E-3</v>
      </c>
      <c r="Y164" s="282">
        <f t="shared" si="19"/>
        <v>-3.5633576081580093E-3</v>
      </c>
      <c r="Z164" s="267"/>
      <c r="AA164" s="267"/>
    </row>
    <row r="165" spans="5:27" customFormat="1" x14ac:dyDescent="0.3">
      <c r="E165" s="2"/>
      <c r="F165" t="s">
        <v>199</v>
      </c>
      <c r="G165" t="s">
        <v>271</v>
      </c>
      <c r="H165" s="267"/>
      <c r="I165" s="267"/>
      <c r="J165" s="268"/>
      <c r="K165" s="268"/>
      <c r="L165" s="268"/>
      <c r="M165" s="268"/>
      <c r="N165" s="268"/>
      <c r="O165" s="268"/>
      <c r="P165" s="268"/>
      <c r="Q165" s="268"/>
      <c r="R165" s="282">
        <f t="shared" ref="R165:S165" si="20">hundred * $H56 * R100 / $H42 * (1 - R114) / hours_in_year</f>
        <v>-8.1424020067850544E-2</v>
      </c>
      <c r="S165" s="282">
        <f t="shared" si="20"/>
        <v>-7.9227465107880618E-2</v>
      </c>
      <c r="T165" s="282">
        <f t="shared" ref="T165:U165" si="21">hundred * $H56 * T100 / $H42 * (1 - T114) / hours_in_year</f>
        <v>-8.1424020067850544E-2</v>
      </c>
      <c r="U165" s="282">
        <f t="shared" si="21"/>
        <v>-8.1424020067850544E-2</v>
      </c>
      <c r="V165" s="282">
        <f t="shared" ref="V165:W165" si="22">hundred * $H56 * V100 / $H42 * (1 - V114) / hours_in_year</f>
        <v>-7.9227465107880618E-2</v>
      </c>
      <c r="W165" s="282">
        <f t="shared" si="22"/>
        <v>-7.9227465107880618E-2</v>
      </c>
      <c r="X165" s="282">
        <f t="shared" ref="X165:Y165" si="23">hundred * $H56 * X100 / $H42 * (1 - X114) / hours_in_year</f>
        <v>-5.445523668413204E-2</v>
      </c>
      <c r="Y165" s="282">
        <f t="shared" si="23"/>
        <v>-5.445523668413204E-2</v>
      </c>
      <c r="Z165" s="267"/>
      <c r="AA165" s="267"/>
    </row>
    <row r="166" spans="5:27" customFormat="1" x14ac:dyDescent="0.3">
      <c r="E166" s="2"/>
      <c r="F166" t="s">
        <v>200</v>
      </c>
      <c r="G166" t="s">
        <v>271</v>
      </c>
      <c r="H166" s="267"/>
      <c r="I166" s="267"/>
      <c r="J166" s="268"/>
      <c r="K166" s="268"/>
      <c r="L166" s="268"/>
      <c r="M166" s="268"/>
      <c r="N166" s="268"/>
      <c r="O166" s="268"/>
      <c r="P166" s="268"/>
      <c r="Q166" s="268"/>
      <c r="R166" s="282">
        <f t="shared" ref="R166:S166" si="24">hundred * $H57 * R101 / $H43 * (1 - R115) / hours_in_year</f>
        <v>-2.082874693195207E-2</v>
      </c>
      <c r="S166" s="282">
        <f t="shared" si="24"/>
        <v>-2.0266855154252899E-2</v>
      </c>
      <c r="T166" s="282">
        <f t="shared" ref="T166:U166" si="25">hundred * $H57 * T101 / $H43 * (1 - T115) / hours_in_year</f>
        <v>-2.082874693195207E-2</v>
      </c>
      <c r="U166" s="282">
        <f t="shared" si="25"/>
        <v>-2.082874693195207E-2</v>
      </c>
      <c r="V166" s="282">
        <f t="shared" ref="V166:W166" si="26">hundred * $H57 * V101 / $H43 * (1 - V115) / hours_in_year</f>
        <v>-2.0266855154252899E-2</v>
      </c>
      <c r="W166" s="282">
        <f t="shared" si="26"/>
        <v>-2.0266855154252899E-2</v>
      </c>
      <c r="X166" s="282">
        <f t="shared" ref="X166:Y166" si="27">hundred * $H57 * X101 / $H43 * (1 - X115) / hours_in_year</f>
        <v>0</v>
      </c>
      <c r="Y166" s="282">
        <f t="shared" si="27"/>
        <v>0</v>
      </c>
      <c r="Z166" s="267"/>
      <c r="AA166" s="267"/>
    </row>
    <row r="167" spans="5:27" customFormat="1" x14ac:dyDescent="0.3">
      <c r="E167" s="2"/>
      <c r="F167" t="s">
        <v>201</v>
      </c>
      <c r="G167" t="s">
        <v>271</v>
      </c>
      <c r="H167" s="267"/>
      <c r="I167" s="267"/>
      <c r="J167" s="268"/>
      <c r="K167" s="268"/>
      <c r="L167" s="268"/>
      <c r="M167" s="268"/>
      <c r="N167" s="268"/>
      <c r="O167" s="268"/>
      <c r="P167" s="268"/>
      <c r="Q167" s="268"/>
      <c r="R167" s="282">
        <f t="shared" ref="R167:S167" si="28">hundred * $H58 * R102 / $H44 * (1 - R116) / hours_in_year</f>
        <v>-8.7411562878737543E-3</v>
      </c>
      <c r="S167" s="282">
        <f t="shared" si="28"/>
        <v>0</v>
      </c>
      <c r="T167" s="282">
        <f t="shared" ref="T167:U167" si="29">hundred * $H58 * T102 / $H44 * (1 - T116) / hours_in_year</f>
        <v>-8.7411562878737543E-3</v>
      </c>
      <c r="U167" s="282">
        <f t="shared" si="29"/>
        <v>-8.7411562878737543E-3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378</v>
      </c>
      <c r="G168" t="s">
        <v>271</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379</v>
      </c>
      <c r="G169" s="37" t="s">
        <v>271</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624</v>
      </c>
      <c r="J171" s="89"/>
      <c r="K171" s="89"/>
      <c r="L171" s="89"/>
      <c r="M171" s="89"/>
      <c r="N171" s="89"/>
      <c r="O171" s="89"/>
      <c r="P171" s="89"/>
      <c r="Q171" s="89"/>
      <c r="R171" s="89"/>
      <c r="S171" s="89"/>
      <c r="T171" s="89"/>
      <c r="U171" s="89"/>
      <c r="V171" s="89"/>
      <c r="W171" s="89"/>
      <c r="X171" s="89"/>
      <c r="Y171" s="89"/>
    </row>
    <row r="172" spans="5:27" customFormat="1" x14ac:dyDescent="0.3">
      <c r="E172" s="2"/>
      <c r="F172" s="23" t="s">
        <v>191</v>
      </c>
      <c r="G172" s="23" t="s">
        <v>271</v>
      </c>
      <c r="H172" s="266"/>
      <c r="I172" s="266"/>
      <c r="J172" s="280"/>
      <c r="K172" s="280"/>
      <c r="L172" s="280"/>
      <c r="M172" s="280"/>
      <c r="N172" s="280"/>
      <c r="O172" s="280"/>
      <c r="P172" s="280"/>
      <c r="Q172" s="280"/>
      <c r="R172" s="281">
        <f t="shared" ref="R172:S172" si="32">hundred * $H63 * R93 / $H35 / hours_in_year</f>
        <v>-3.3205628077875374E-2</v>
      </c>
      <c r="S172" s="281">
        <f t="shared" si="32"/>
        <v>-3.230984834368153E-2</v>
      </c>
      <c r="T172" s="281">
        <f t="shared" ref="T172:U172" si="33">hundred * $H63 * T93 / $H35 / hours_in_year</f>
        <v>-3.3205628077875374E-2</v>
      </c>
      <c r="U172" s="281">
        <f t="shared" si="33"/>
        <v>-3.3205628077875374E-2</v>
      </c>
      <c r="V172" s="281">
        <f t="shared" ref="V172:W172" si="34">hundred * $H63 * V93 / $H35 / hours_in_year</f>
        <v>-3.230984834368153E-2</v>
      </c>
      <c r="W172" s="281">
        <f t="shared" si="34"/>
        <v>-3.230984834368153E-2</v>
      </c>
      <c r="X172" s="281">
        <f t="shared" ref="X172:Y172" si="35">hundred * $H63 * X93 / $H35 / hours_in_year</f>
        <v>-3.1939180867463383E-2</v>
      </c>
      <c r="Y172" s="281">
        <f t="shared" si="35"/>
        <v>-3.1939180867463383E-2</v>
      </c>
      <c r="Z172" s="267"/>
      <c r="AA172" s="267"/>
    </row>
    <row r="173" spans="5:27" customFormat="1" x14ac:dyDescent="0.3">
      <c r="E173" s="2"/>
      <c r="F173" t="s">
        <v>193</v>
      </c>
      <c r="G173" t="s">
        <v>271</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194</v>
      </c>
      <c r="G174" t="s">
        <v>271</v>
      </c>
      <c r="H174" s="267"/>
      <c r="I174" s="267"/>
      <c r="J174" s="268"/>
      <c r="K174" s="268"/>
      <c r="L174" s="268"/>
      <c r="M174" s="268"/>
      <c r="N174" s="268"/>
      <c r="O174" s="268"/>
      <c r="P174" s="268"/>
      <c r="Q174" s="268"/>
      <c r="R174" s="282">
        <f t="shared" ref="R174:S174" si="40">hundred * $H65 * R95 / $H37 / hours_in_year</f>
        <v>-4.1888993238623287E-2</v>
      </c>
      <c r="S174" s="282">
        <f t="shared" si="40"/>
        <v>-4.0758964583813909E-2</v>
      </c>
      <c r="T174" s="282">
        <f t="shared" ref="T174:U174" si="41">hundred * $H65 * T95 / $H37 / hours_in_year</f>
        <v>-4.1888993238623287E-2</v>
      </c>
      <c r="U174" s="282">
        <f t="shared" si="41"/>
        <v>-4.1888993238623287E-2</v>
      </c>
      <c r="V174" s="282">
        <f t="shared" ref="V174:W174" si="42">hundred * $H65 * V95 / $H37 / hours_in_year</f>
        <v>-4.0758964583813909E-2</v>
      </c>
      <c r="W174" s="282">
        <f t="shared" si="42"/>
        <v>-4.0758964583813909E-2</v>
      </c>
      <c r="X174" s="282">
        <f t="shared" ref="X174:Y174" si="43">hundred * $H65 * X95 / $H37 / hours_in_year</f>
        <v>-4.0291366519754859E-2</v>
      </c>
      <c r="Y174" s="282">
        <f t="shared" si="43"/>
        <v>-4.0291366519754859E-2</v>
      </c>
      <c r="Z174" s="267"/>
      <c r="AA174" s="267"/>
    </row>
    <row r="175" spans="5:27" customFormat="1" x14ac:dyDescent="0.3">
      <c r="E175" s="2"/>
      <c r="F175" t="s">
        <v>195</v>
      </c>
      <c r="G175" t="s">
        <v>271</v>
      </c>
      <c r="H175" s="267"/>
      <c r="I175" s="267"/>
      <c r="J175" s="268"/>
      <c r="K175" s="268"/>
      <c r="L175" s="268"/>
      <c r="M175" s="268"/>
      <c r="N175" s="268"/>
      <c r="O175" s="268"/>
      <c r="P175" s="268"/>
      <c r="Q175" s="268"/>
      <c r="R175" s="282">
        <f t="shared" ref="R175:S175" si="44">hundred * $H66 * R96 / $H38 / hours_in_year</f>
        <v>-2.188660810229905E-2</v>
      </c>
      <c r="S175" s="282">
        <f t="shared" si="44"/>
        <v>-2.1296178674423075E-2</v>
      </c>
      <c r="T175" s="282">
        <f t="shared" ref="T175:U175" si="45">hundred * $H66 * T96 / $H38 / hours_in_year</f>
        <v>-2.188660810229905E-2</v>
      </c>
      <c r="U175" s="282">
        <f t="shared" si="45"/>
        <v>-2.188660810229905E-2</v>
      </c>
      <c r="V175" s="282">
        <f t="shared" ref="V175:W175" si="46">hundred * $H66 * V96 / $H38 / hours_in_year</f>
        <v>-2.1296178674423075E-2</v>
      </c>
      <c r="W175" s="282">
        <f t="shared" si="46"/>
        <v>-2.1296178674423075E-2</v>
      </c>
      <c r="X175" s="282">
        <f t="shared" ref="X175:Y175" si="47">hundred * $H66 * X96 / $H38 / hours_in_year</f>
        <v>-2.105186304909509E-2</v>
      </c>
      <c r="Y175" s="282">
        <f t="shared" si="47"/>
        <v>-2.105186304909509E-2</v>
      </c>
      <c r="Z175" s="267"/>
      <c r="AA175" s="267"/>
    </row>
    <row r="176" spans="5:27" customFormat="1" x14ac:dyDescent="0.3">
      <c r="E176" s="2"/>
      <c r="F176" t="s">
        <v>196</v>
      </c>
      <c r="G176" t="s">
        <v>271</v>
      </c>
      <c r="H176" s="267"/>
      <c r="I176" s="267"/>
      <c r="J176" s="268"/>
      <c r="K176" s="268"/>
      <c r="L176" s="268"/>
      <c r="M176" s="268"/>
      <c r="N176" s="268"/>
      <c r="O176" s="268"/>
      <c r="P176" s="268"/>
      <c r="Q176" s="268"/>
      <c r="R176" s="282">
        <f t="shared" ref="R176:S176" si="48">hundred * $H67 * R97 / $H39 / hours_in_year</f>
        <v>-2.703794096437729E-2</v>
      </c>
      <c r="S176" s="282">
        <f t="shared" si="48"/>
        <v>-2.6308545347663855E-2</v>
      </c>
      <c r="T176" s="282">
        <f t="shared" ref="T176:U176" si="49">hundred * $H67 * T97 / $H39 / hours_in_year</f>
        <v>-2.703794096437729E-2</v>
      </c>
      <c r="U176" s="282">
        <f t="shared" si="49"/>
        <v>-2.703794096437729E-2</v>
      </c>
      <c r="V176" s="282">
        <f t="shared" ref="V176:W176" si="50">hundred * $H67 * V97 / $H39 / hours_in_year</f>
        <v>-2.6308545347663855E-2</v>
      </c>
      <c r="W176" s="282">
        <f t="shared" si="50"/>
        <v>-2.6308545347663855E-2</v>
      </c>
      <c r="X176" s="282">
        <f t="shared" ref="X176:Y176" si="51">hundred * $H67 * X97 / $H39 / hours_in_year</f>
        <v>-2.6006726471782437E-2</v>
      </c>
      <c r="Y176" s="282">
        <f t="shared" si="51"/>
        <v>-2.6006726471782437E-2</v>
      </c>
      <c r="Z176" s="267"/>
      <c r="AA176" s="267"/>
    </row>
    <row r="177" spans="2:27" x14ac:dyDescent="0.3">
      <c r="D177"/>
      <c r="F177" t="s">
        <v>197</v>
      </c>
      <c r="G177" t="s">
        <v>271</v>
      </c>
      <c r="H177" s="267"/>
      <c r="I177" s="267"/>
      <c r="J177" s="268"/>
      <c r="K177" s="268"/>
      <c r="L177" s="268"/>
      <c r="M177" s="268"/>
      <c r="N177" s="268"/>
      <c r="O177" s="268"/>
      <c r="P177" s="268"/>
      <c r="Q177" s="268"/>
      <c r="R177" s="282">
        <f t="shared" ref="R177:S177" si="52">hundred * $H68 * R98 / $H40 / hours_in_year</f>
        <v>-4.3496324534395905E-2</v>
      </c>
      <c r="S177" s="282">
        <f t="shared" si="52"/>
        <v>-4.232293531439825E-2</v>
      </c>
      <c r="T177" s="282">
        <f t="shared" ref="T177:U177" si="53">hundred * $H68 * T98 / $H40 / hours_in_year</f>
        <v>-4.3496324534395905E-2</v>
      </c>
      <c r="U177" s="282">
        <f t="shared" si="53"/>
        <v>-4.3496324534395905E-2</v>
      </c>
      <c r="V177" s="282">
        <f t="shared" ref="V177:W177" si="54">hundred * $H68 * V98 / $H40 / hours_in_year</f>
        <v>-4.232293531439825E-2</v>
      </c>
      <c r="W177" s="282">
        <f t="shared" si="54"/>
        <v>-4.232293531439825E-2</v>
      </c>
      <c r="X177" s="282">
        <f t="shared" ref="X177:Y177" si="55">hundred * $H68 * X98 / $H40 / hours_in_year</f>
        <v>-4.1837394947502667E-2</v>
      </c>
      <c r="Y177" s="282">
        <f t="shared" si="55"/>
        <v>-4.1837394947502667E-2</v>
      </c>
      <c r="Z177" s="267"/>
      <c r="AA177" s="267"/>
    </row>
    <row r="178" spans="2:27" x14ac:dyDescent="0.3">
      <c r="D178"/>
      <c r="F178" t="s">
        <v>198</v>
      </c>
      <c r="G178" t="s">
        <v>271</v>
      </c>
      <c r="H178" s="267"/>
      <c r="I178" s="267"/>
      <c r="J178" s="268"/>
      <c r="K178" s="268"/>
      <c r="L178" s="268"/>
      <c r="M178" s="268"/>
      <c r="N178" s="268"/>
      <c r="O178" s="268"/>
      <c r="P178" s="268"/>
      <c r="Q178" s="268"/>
      <c r="R178" s="282">
        <f t="shared" ref="R178:S178" si="56">hundred * $H69 * R99 / $H41 / hours_in_year</f>
        <v>-3.6626953873138877E-3</v>
      </c>
      <c r="S178" s="282">
        <f t="shared" si="56"/>
        <v>-3.5638877908189081E-3</v>
      </c>
      <c r="T178" s="282">
        <f t="shared" ref="T178:U178" si="57">hundred * $H69 * T99 / $H41 / hours_in_year</f>
        <v>-3.6626953873138877E-3</v>
      </c>
      <c r="U178" s="282">
        <f t="shared" si="57"/>
        <v>-3.6626953873138877E-3</v>
      </c>
      <c r="V178" s="282">
        <f t="shared" ref="V178:W178" si="58">hundred * $H69 * V99 / $H41 / hours_in_year</f>
        <v>-3.5638877908189081E-3</v>
      </c>
      <c r="W178" s="282">
        <f t="shared" si="58"/>
        <v>-3.5638877908189081E-3</v>
      </c>
      <c r="X178" s="282">
        <f t="shared" ref="X178:Y178" si="59">hundred * $H69 * X99 / $H41 / hours_in_year</f>
        <v>-3.5230018888209856E-3</v>
      </c>
      <c r="Y178" s="282">
        <f t="shared" si="59"/>
        <v>-3.5230018888209856E-3</v>
      </c>
      <c r="Z178" s="267"/>
      <c r="AA178" s="267"/>
    </row>
    <row r="179" spans="2:27" x14ac:dyDescent="0.3">
      <c r="D179"/>
      <c r="F179" t="s">
        <v>199</v>
      </c>
      <c r="G179" t="s">
        <v>271</v>
      </c>
      <c r="H179" s="267"/>
      <c r="I179" s="267"/>
      <c r="J179" s="268"/>
      <c r="K179" s="268"/>
      <c r="L179" s="268"/>
      <c r="M179" s="268"/>
      <c r="N179" s="268"/>
      <c r="O179" s="268"/>
      <c r="P179" s="268"/>
      <c r="Q179" s="268"/>
      <c r="R179" s="282">
        <f t="shared" ref="R179:S179" si="60">hundred * $H70 * R100 / $H42 / hours_in_year</f>
        <v>-0.10020808472576193</v>
      </c>
      <c r="S179" s="282">
        <f t="shared" si="60"/>
        <v>-9.7504796858741374E-2</v>
      </c>
      <c r="T179" s="282">
        <f t="shared" ref="T179:U179" si="61">hundred * $H70 * T100 / $H42 / hours_in_year</f>
        <v>-0.10020808472576193</v>
      </c>
      <c r="U179" s="282">
        <f t="shared" si="61"/>
        <v>-0.10020808472576193</v>
      </c>
      <c r="V179" s="282">
        <f t="shared" ref="V179:W179" si="62">hundred * $H70 * V100 / $H42 / hours_in_year</f>
        <v>-9.7504796858741374E-2</v>
      </c>
      <c r="W179" s="282">
        <f t="shared" si="62"/>
        <v>-9.7504796858741374E-2</v>
      </c>
      <c r="X179" s="282">
        <f t="shared" ref="X179:Y179" si="63">hundred * $H70 * X100 / $H42 / hours_in_year</f>
        <v>-9.6386194982732876E-2</v>
      </c>
      <c r="Y179" s="282">
        <f t="shared" si="63"/>
        <v>-9.6386194982732876E-2</v>
      </c>
      <c r="Z179" s="267"/>
      <c r="AA179" s="267"/>
    </row>
    <row r="180" spans="2:27" x14ac:dyDescent="0.3">
      <c r="D180"/>
      <c r="F180" t="s">
        <v>200</v>
      </c>
      <c r="G180" t="s">
        <v>271</v>
      </c>
      <c r="H180" s="267"/>
      <c r="I180" s="267"/>
      <c r="J180" s="268"/>
      <c r="K180" s="268"/>
      <c r="L180" s="268"/>
      <c r="M180" s="268"/>
      <c r="N180" s="268"/>
      <c r="O180" s="268"/>
      <c r="P180" s="268"/>
      <c r="Q180" s="268"/>
      <c r="R180" s="282">
        <f t="shared" ref="R180:S180" si="64">hundred * $H71 * R101 / $H43 / hours_in_year</f>
        <v>-4.5870465384904496E-2</v>
      </c>
      <c r="S180" s="282">
        <f t="shared" si="64"/>
        <v>-4.4633029574521033E-2</v>
      </c>
      <c r="T180" s="282">
        <f t="shared" ref="T180:U180" si="65">hundred * $H71 * T101 / $H43 / hours_in_year</f>
        <v>-4.5870465384904496E-2</v>
      </c>
      <c r="U180" s="282">
        <f t="shared" si="65"/>
        <v>-4.5870465384904496E-2</v>
      </c>
      <c r="V180" s="282">
        <f t="shared" ref="V180:W180" si="66">hundred * $H71 * V101 / $H43 / hours_in_year</f>
        <v>-4.4633029574521033E-2</v>
      </c>
      <c r="W180" s="282">
        <f t="shared" si="66"/>
        <v>-4.4633029574521033E-2</v>
      </c>
      <c r="X180" s="282">
        <f t="shared" ref="X180:Y180" si="67">hundred * $H71 * X101 / $H43 / hours_in_year</f>
        <v>0</v>
      </c>
      <c r="Y180" s="282">
        <f t="shared" si="67"/>
        <v>0</v>
      </c>
      <c r="Z180" s="267"/>
      <c r="AA180" s="267"/>
    </row>
    <row r="181" spans="2:27" x14ac:dyDescent="0.3">
      <c r="D181"/>
      <c r="F181" t="s">
        <v>201</v>
      </c>
      <c r="G181" t="s">
        <v>271</v>
      </c>
      <c r="H181" s="267"/>
      <c r="I181" s="267"/>
      <c r="J181" s="268"/>
      <c r="K181" s="268"/>
      <c r="L181" s="268"/>
      <c r="M181" s="268"/>
      <c r="N181" s="268"/>
      <c r="O181" s="268"/>
      <c r="P181" s="268"/>
      <c r="Q181" s="268"/>
      <c r="R181" s="282">
        <f t="shared" ref="R181:S181" si="68">hundred * $H72 * R102 / $H44 / hours_in_year</f>
        <v>-9.1429313955549887E-2</v>
      </c>
      <c r="S181" s="282">
        <f t="shared" si="68"/>
        <v>0</v>
      </c>
      <c r="T181" s="282">
        <f t="shared" ref="T181:U181" si="69">hundred * $H72 * T102 / $H44 / hours_in_year</f>
        <v>-9.1429313955549887E-2</v>
      </c>
      <c r="U181" s="282">
        <f t="shared" si="69"/>
        <v>-9.1429313955549887E-2</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378</v>
      </c>
      <c r="G182" t="s">
        <v>271</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379</v>
      </c>
      <c r="G183" s="37" t="s">
        <v>271</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681</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682</v>
      </c>
      <c r="J187" s="89"/>
      <c r="K187" s="89"/>
      <c r="L187" s="89"/>
      <c r="M187" s="89"/>
      <c r="N187" s="89"/>
      <c r="O187" s="89"/>
      <c r="P187" s="89"/>
      <c r="Q187" s="89"/>
      <c r="R187" s="89"/>
      <c r="S187" s="89"/>
      <c r="T187" s="89"/>
      <c r="U187" s="89"/>
      <c r="V187" s="89"/>
      <c r="W187" s="89"/>
      <c r="X187" s="89"/>
      <c r="Y187" s="89"/>
    </row>
    <row r="188" spans="2:27" x14ac:dyDescent="0.3">
      <c r="B188" s="206"/>
      <c r="C188" s="29" t="s">
        <v>683</v>
      </c>
      <c r="I188" t="s">
        <v>156</v>
      </c>
      <c r="J188" s="89"/>
      <c r="K188" s="89"/>
      <c r="L188" s="89"/>
      <c r="M188" s="89"/>
      <c r="N188" s="89"/>
      <c r="O188" s="89"/>
      <c r="P188" s="89"/>
      <c r="Q188" s="89"/>
      <c r="R188" s="89"/>
      <c r="S188" s="89"/>
      <c r="T188" s="89"/>
      <c r="U188" s="89"/>
      <c r="V188" s="89"/>
      <c r="W188" s="89"/>
      <c r="X188" s="89"/>
      <c r="Y188" s="89"/>
      <c r="AA188" t="s">
        <v>684</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156</v>
      </c>
      <c r="J191" s="89"/>
      <c r="K191" s="89"/>
      <c r="L191" s="89"/>
      <c r="M191" s="89"/>
      <c r="N191" s="89"/>
      <c r="O191" s="89"/>
      <c r="P191" s="89"/>
      <c r="Q191" s="89"/>
      <c r="R191" s="89"/>
      <c r="S191" s="89"/>
      <c r="T191" s="89"/>
      <c r="U191" s="89"/>
      <c r="V191" s="89"/>
      <c r="W191" s="89"/>
      <c r="X191" s="89"/>
      <c r="Y191" s="89"/>
      <c r="AA191" t="s">
        <v>685</v>
      </c>
    </row>
    <row r="192" spans="2:27" x14ac:dyDescent="0.3">
      <c r="E192" s="32" t="s">
        <v>623</v>
      </c>
      <c r="J192" s="89"/>
      <c r="K192" s="89"/>
      <c r="L192" s="89"/>
      <c r="M192" s="89"/>
      <c r="N192" s="89"/>
      <c r="O192" s="89"/>
      <c r="P192" s="89"/>
      <c r="Q192" s="89"/>
      <c r="R192" s="89"/>
      <c r="S192" s="89"/>
      <c r="T192" s="89"/>
      <c r="U192" s="89"/>
      <c r="V192" s="89"/>
      <c r="W192" s="89"/>
      <c r="X192" s="89"/>
      <c r="Y192" s="89"/>
    </row>
    <row r="193" spans="4:27" x14ac:dyDescent="0.3">
      <c r="F193" s="23" t="s">
        <v>191</v>
      </c>
      <c r="G193" s="23" t="s">
        <v>274</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193</v>
      </c>
      <c r="G194" t="s">
        <v>274</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194</v>
      </c>
      <c r="G195" t="s">
        <v>274</v>
      </c>
      <c r="H195" s="267"/>
      <c r="I195" s="267"/>
      <c r="J195" s="282">
        <f t="shared" ref="J195:K195" si="72">ABS(J125 + J160)*(1-J82)*PowerFactor*$H23</f>
        <v>2.8538916393976602E-2</v>
      </c>
      <c r="K195" s="282">
        <f t="shared" si="72"/>
        <v>2.8538916393976602E-2</v>
      </c>
      <c r="L195" s="282">
        <f t="shared" ref="L195:M195" si="73">ABS(L125 + L160)*(1-L82)*PowerFactor*$H23</f>
        <v>2.2950246651769323E-2</v>
      </c>
      <c r="M195" s="282">
        <f t="shared" si="73"/>
        <v>2.2950246651769323E-2</v>
      </c>
      <c r="N195" s="282">
        <f t="shared" ref="N195:P195" si="74">ABS(N125 + N160)*(1-N82)*PowerFactor*$H23</f>
        <v>1.9133414426676473E-2</v>
      </c>
      <c r="O195" s="282">
        <f t="shared" si="74"/>
        <v>1.8434245465589971E-2</v>
      </c>
      <c r="P195" s="282">
        <f t="shared" si="74"/>
        <v>1.4539226007793747E-2</v>
      </c>
      <c r="Q195" s="282">
        <f t="shared" ref="Q195:S195" si="75">ABS(Q125 + Q160)*(1-Q82)*PowerFactor*$H23</f>
        <v>2.6774791638501855E-2</v>
      </c>
      <c r="R195" s="282">
        <f t="shared" si="75"/>
        <v>1.3813753360889476E-2</v>
      </c>
      <c r="S195" s="282">
        <f t="shared" si="75"/>
        <v>1.3441103270223619E-2</v>
      </c>
      <c r="T195" s="282">
        <f t="shared" ref="T195:U195" si="76">ABS(T125 + T160)*(1-T82)*PowerFactor*$H23</f>
        <v>1.3813753360889476E-2</v>
      </c>
      <c r="U195" s="282">
        <f t="shared" si="76"/>
        <v>1.3813753360889476E-2</v>
      </c>
      <c r="V195" s="282">
        <f t="shared" ref="V195:W195" si="77">ABS(V125 + V160)*(1-V82)*PowerFactor*$H23</f>
        <v>1.3441103270223619E-2</v>
      </c>
      <c r="W195" s="282">
        <f t="shared" si="77"/>
        <v>1.3441103270223619E-2</v>
      </c>
      <c r="X195" s="282">
        <f t="shared" ref="X195:Y195" si="78">ABS(X125 + X160)*(1-X82)*PowerFactor*$H23</f>
        <v>1.3286903232706712E-2</v>
      </c>
      <c r="Y195" s="282">
        <f t="shared" si="78"/>
        <v>1.3286903232706712E-2</v>
      </c>
      <c r="Z195" s="267"/>
      <c r="AA195" s="267"/>
    </row>
    <row r="196" spans="4:27" x14ac:dyDescent="0.3">
      <c r="F196" t="s">
        <v>195</v>
      </c>
      <c r="G196" t="s">
        <v>274</v>
      </c>
      <c r="H196" s="267"/>
      <c r="I196" s="267"/>
      <c r="J196" s="282">
        <f t="shared" ref="J196:K196" si="79">ABS(J126 + J161)*(1-J83)*PowerFactor*$H24</f>
        <v>1.491131752011933E-2</v>
      </c>
      <c r="K196" s="282">
        <f t="shared" si="79"/>
        <v>1.491131752011933E-2</v>
      </c>
      <c r="L196" s="282">
        <f t="shared" ref="L196:M196" si="80">ABS(L126 + L161)*(1-L83)*PowerFactor*$H24</f>
        <v>1.1991289727518038E-2</v>
      </c>
      <c r="M196" s="282">
        <f t="shared" si="80"/>
        <v>1.1991289727518038E-2</v>
      </c>
      <c r="N196" s="282">
        <f t="shared" ref="N196:P196" si="81">ABS(N126 + N161)*(1-N83)*PowerFactor*$H24</f>
        <v>9.9970305046487642E-3</v>
      </c>
      <c r="O196" s="282">
        <f t="shared" si="81"/>
        <v>9.6317212464047067E-3</v>
      </c>
      <c r="P196" s="282">
        <f t="shared" si="81"/>
        <v>7.7123637781062486E-3</v>
      </c>
      <c r="Q196" s="282">
        <f t="shared" ref="Q196:S196" si="82">ABS(Q126 + Q161)*(1-Q83)*PowerFactor*$H24</f>
        <v>1.3989578796376518E-2</v>
      </c>
      <c r="R196" s="282">
        <f t="shared" si="82"/>
        <v>7.2175572353655555E-3</v>
      </c>
      <c r="S196" s="282">
        <f t="shared" si="82"/>
        <v>7.0228510401789505E-3</v>
      </c>
      <c r="T196" s="282">
        <f t="shared" ref="T196:U196" si="83">ABS(T126 + T161)*(1-T83)*PowerFactor*$H24</f>
        <v>7.2175572353655555E-3</v>
      </c>
      <c r="U196" s="282">
        <f t="shared" si="83"/>
        <v>7.2175572353655555E-3</v>
      </c>
      <c r="V196" s="282">
        <f t="shared" ref="V196:W196" si="84">ABS(V126 + V161)*(1-V83)*PowerFactor*$H24</f>
        <v>7.0228510401789505E-3</v>
      </c>
      <c r="W196" s="282">
        <f t="shared" si="84"/>
        <v>7.0228510401789505E-3</v>
      </c>
      <c r="X196" s="282">
        <f t="shared" ref="X196:Y196" si="85">ABS(X126 + X161)*(1-X83)*PowerFactor*$H24</f>
        <v>6.9422829594120794E-3</v>
      </c>
      <c r="Y196" s="282">
        <f t="shared" si="85"/>
        <v>6.9422829594120794E-3</v>
      </c>
      <c r="Z196" s="267"/>
      <c r="AA196" s="267"/>
    </row>
    <row r="197" spans="4:27" x14ac:dyDescent="0.3">
      <c r="F197" t="s">
        <v>196</v>
      </c>
      <c r="G197" t="s">
        <v>274</v>
      </c>
      <c r="H197" s="267"/>
      <c r="I197" s="267"/>
      <c r="J197" s="282">
        <f t="shared" ref="J197:K197" si="86">ABS(J127 + J162)*(1-J84)*PowerFactor*$H25</f>
        <v>1.8420913872338244E-2</v>
      </c>
      <c r="K197" s="282">
        <f t="shared" si="86"/>
        <v>1.8420913872338244E-2</v>
      </c>
      <c r="L197" s="282">
        <f t="shared" ref="L197:M197" si="87">ABS(L127 + L162)*(1-L84)*PowerFactor*$H25</f>
        <v>1.4813614892904276E-2</v>
      </c>
      <c r="M197" s="282">
        <f t="shared" si="87"/>
        <v>1.4813614892904276E-2</v>
      </c>
      <c r="N197" s="282">
        <f t="shared" ref="N197:P197" si="88">ABS(N127 + N162)*(1-N84)*PowerFactor*$H25</f>
        <v>1.2349977636570326E-2</v>
      </c>
      <c r="O197" s="282">
        <f t="shared" si="88"/>
        <v>1.1898687509202177E-2</v>
      </c>
      <c r="P197" s="282">
        <f t="shared" si="88"/>
        <v>7.1234291144431951E-3</v>
      </c>
      <c r="Q197" s="282">
        <f t="shared" ref="Q197:S197" si="89">ABS(Q127 + Q162)*(1-Q84)*PowerFactor*$H25</f>
        <v>1.728223047833528E-2</v>
      </c>
      <c r="R197" s="282">
        <f t="shared" si="89"/>
        <v>8.9163147402602332E-3</v>
      </c>
      <c r="S197" s="282">
        <f t="shared" si="89"/>
        <v>8.6757815984299554E-3</v>
      </c>
      <c r="T197" s="282">
        <f t="shared" ref="T197:U197" si="90">ABS(T127 + T162)*(1-T84)*PowerFactor*$H25</f>
        <v>8.9163147402602332E-3</v>
      </c>
      <c r="U197" s="282">
        <f t="shared" si="90"/>
        <v>8.9163147402602332E-3</v>
      </c>
      <c r="V197" s="282">
        <f t="shared" ref="V197:W197" si="91">ABS(V127 + V162)*(1-V84)*PowerFactor*$H25</f>
        <v>8.6757815984299554E-3</v>
      </c>
      <c r="W197" s="282">
        <f t="shared" si="91"/>
        <v>8.6757815984299554E-3</v>
      </c>
      <c r="X197" s="282">
        <f t="shared" ref="X197:Y197" si="92">ABS(X127 + X162)*(1-X84)*PowerFactor*$H25</f>
        <v>8.0151919010493511E-3</v>
      </c>
      <c r="Y197" s="282">
        <f t="shared" si="92"/>
        <v>8.0151919010493511E-3</v>
      </c>
      <c r="Z197" s="267"/>
      <c r="AA197" s="267"/>
    </row>
    <row r="198" spans="4:27" x14ac:dyDescent="0.3">
      <c r="F198" t="s">
        <v>197</v>
      </c>
      <c r="G198" t="s">
        <v>274</v>
      </c>
      <c r="H198" s="267"/>
      <c r="I198" s="267"/>
      <c r="J198" s="282">
        <f t="shared" ref="J198:K198" si="93">ABS(J128 + J163)*(1-J85)*PowerFactor*$H26</f>
        <v>2.9633989106900668E-2</v>
      </c>
      <c r="K198" s="282">
        <f t="shared" si="93"/>
        <v>2.9633989106900668E-2</v>
      </c>
      <c r="L198" s="282">
        <f t="shared" ref="L198:M198" si="94">ABS(L128 + L163)*(1-L85)*PowerFactor*$H26</f>
        <v>2.3830875352462873E-2</v>
      </c>
      <c r="M198" s="282">
        <f t="shared" si="94"/>
        <v>2.3830875352462873E-2</v>
      </c>
      <c r="N198" s="282">
        <f t="shared" ref="N198:P198" si="95">ABS(N128 + N163)*(1-N85)*PowerFactor*$H26</f>
        <v>1.9867586662036581E-2</v>
      </c>
      <c r="O198" s="282">
        <f t="shared" si="95"/>
        <v>1.9141589742928136E-2</v>
      </c>
      <c r="P198" s="282">
        <f t="shared" si="95"/>
        <v>0</v>
      </c>
      <c r="Q198" s="282">
        <f t="shared" ref="Q198:S198" si="96">ABS(Q128 + Q163)*(1-Q85)*PowerFactor*$H26</f>
        <v>2.780217275251427E-2</v>
      </c>
      <c r="R198" s="282">
        <f t="shared" si="96"/>
        <v>1.4343803772045447E-2</v>
      </c>
      <c r="S198" s="282">
        <f t="shared" si="96"/>
        <v>1.3956854647032127E-2</v>
      </c>
      <c r="T198" s="282">
        <f t="shared" ref="T198:U198" si="97">ABS(T128 + T163)*(1-T85)*PowerFactor*$H26</f>
        <v>1.4343803772045447E-2</v>
      </c>
      <c r="U198" s="282">
        <f t="shared" si="97"/>
        <v>1.4343803772045447E-2</v>
      </c>
      <c r="V198" s="282">
        <f t="shared" ref="V198:W198" si="98">ABS(V128 + V163)*(1-V85)*PowerFactor*$H26</f>
        <v>1.3956854647032127E-2</v>
      </c>
      <c r="W198" s="282">
        <f t="shared" si="98"/>
        <v>1.3956854647032127E-2</v>
      </c>
      <c r="X198" s="282">
        <f t="shared" ref="X198:Y198" si="99">ABS(X128 + X163)*(1-X85)*PowerFactor*$H26</f>
        <v>8.9453960695213258E-3</v>
      </c>
      <c r="Y198" s="282">
        <f t="shared" si="99"/>
        <v>8.9453960695213258E-3</v>
      </c>
      <c r="Z198" s="267"/>
      <c r="AA198" s="267"/>
    </row>
    <row r="199" spans="4:27" x14ac:dyDescent="0.3">
      <c r="F199" t="s">
        <v>198</v>
      </c>
      <c r="G199" t="s">
        <v>274</v>
      </c>
      <c r="H199" s="267"/>
      <c r="I199" s="267"/>
      <c r="J199" s="282">
        <f t="shared" ref="J199:K199" si="100">ABS(J129 + J164)*(1-J86)*PowerFactor*$H27</f>
        <v>2.4953895845549862E-3</v>
      </c>
      <c r="K199" s="282">
        <f t="shared" si="100"/>
        <v>2.4953895845549862E-3</v>
      </c>
      <c r="L199" s="282">
        <f t="shared" ref="L199:M199" si="101">ABS(L129 + L164)*(1-L86)*PowerFactor*$H27</f>
        <v>2.0067267329701567E-3</v>
      </c>
      <c r="M199" s="282">
        <f t="shared" si="101"/>
        <v>2.0067267329701567E-3</v>
      </c>
      <c r="N199" s="282">
        <f t="shared" ref="N199:P199" si="102">ABS(N129 + N164)*(1-N86)*PowerFactor*$H27</f>
        <v>1.6729900469304318E-3</v>
      </c>
      <c r="O199" s="282">
        <f t="shared" si="102"/>
        <v>1.611856017899546E-3</v>
      </c>
      <c r="P199" s="282">
        <f t="shared" si="102"/>
        <v>0</v>
      </c>
      <c r="Q199" s="282">
        <f t="shared" ref="Q199:S199" si="103">ABS(Q129 + Q164)*(1-Q86)*PowerFactor*$H27</f>
        <v>2.3411378084925842E-3</v>
      </c>
      <c r="R199" s="282">
        <f t="shared" si="103"/>
        <v>1.2078488119349334E-3</v>
      </c>
      <c r="S199" s="282">
        <f t="shared" si="103"/>
        <v>1.1752649835199446E-3</v>
      </c>
      <c r="T199" s="282">
        <f t="shared" ref="T199:U199" si="104">ABS(T129 + T164)*(1-T86)*PowerFactor*$H27</f>
        <v>1.2078488119349334E-3</v>
      </c>
      <c r="U199" s="282">
        <f t="shared" si="104"/>
        <v>1.2078488119349334E-3</v>
      </c>
      <c r="V199" s="282">
        <f t="shared" ref="V199:W199" si="105">ABS(V129 + V164)*(1-V86)*PowerFactor*$H27</f>
        <v>1.1752649835199446E-3</v>
      </c>
      <c r="W199" s="282">
        <f t="shared" si="105"/>
        <v>1.1752649835199446E-3</v>
      </c>
      <c r="X199" s="282">
        <f t="shared" ref="X199:Y199" si="106">ABS(X129 + X164)*(1-X86)*PowerFactor*$H27</f>
        <v>7.5326504646668036E-4</v>
      </c>
      <c r="Y199" s="282">
        <f t="shared" si="106"/>
        <v>7.5326504646668036E-4</v>
      </c>
      <c r="Z199" s="267"/>
      <c r="AA199" s="267"/>
    </row>
    <row r="200" spans="4:27" x14ac:dyDescent="0.3">
      <c r="F200" t="s">
        <v>199</v>
      </c>
      <c r="G200" t="s">
        <v>274</v>
      </c>
      <c r="H200" s="267"/>
      <c r="I200" s="267"/>
      <c r="J200" s="282">
        <f t="shared" ref="J200:K200" si="107">ABS(J130 + J165)*(1-J87)*PowerFactor*$H28</f>
        <v>3.5560407458748548E-2</v>
      </c>
      <c r="K200" s="282">
        <f t="shared" si="107"/>
        <v>3.5560407458748548E-2</v>
      </c>
      <c r="L200" s="282">
        <f t="shared" ref="L200:M200" si="108">ABS(L130 + L165)*(1-L87)*PowerFactor*$H28</f>
        <v>2.8596745263528862E-2</v>
      </c>
      <c r="M200" s="282">
        <f t="shared" si="108"/>
        <v>2.8596745263528862E-2</v>
      </c>
      <c r="N200" s="282">
        <f t="shared" ref="N200:P200" si="109">ABS(N130 + N165)*(1-N87)*PowerFactor*$H28</f>
        <v>1.9072679668617438E-2</v>
      </c>
      <c r="O200" s="282">
        <f t="shared" si="109"/>
        <v>0</v>
      </c>
      <c r="P200" s="282">
        <f t="shared" si="109"/>
        <v>0</v>
      </c>
      <c r="Q200" s="282">
        <f t="shared" ref="Q200:S200" si="110">ABS(Q130 + Q165)*(1-Q87)*PowerFactor*$H28</f>
        <v>3.3362251290282821E-2</v>
      </c>
      <c r="R200" s="282">
        <f t="shared" si="110"/>
        <v>1.7212380850996988E-2</v>
      </c>
      <c r="S200" s="282">
        <f t="shared" si="110"/>
        <v>1.6748046855946837E-2</v>
      </c>
      <c r="T200" s="282">
        <f t="shared" ref="T200:U200" si="111">ABS(T130 + T165)*(1-T87)*PowerFactor*$H28</f>
        <v>1.7212380850996988E-2</v>
      </c>
      <c r="U200" s="282">
        <f t="shared" si="111"/>
        <v>1.7212380850996988E-2</v>
      </c>
      <c r="V200" s="282">
        <f t="shared" ref="V200:W200" si="112">ABS(V130 + V165)*(1-V87)*PowerFactor*$H28</f>
        <v>1.6748046855946837E-2</v>
      </c>
      <c r="W200" s="282">
        <f t="shared" si="112"/>
        <v>1.6748046855946837E-2</v>
      </c>
      <c r="X200" s="282">
        <f t="shared" ref="X200:Y200" si="113">ABS(X130 + X165)*(1-X87)*PowerFactor*$H28</f>
        <v>1.1511397648475334E-2</v>
      </c>
      <c r="Y200" s="282">
        <f t="shared" si="113"/>
        <v>1.1511397648475334E-2</v>
      </c>
      <c r="Z200" s="267"/>
      <c r="AA200" s="267"/>
    </row>
    <row r="201" spans="4:27" x14ac:dyDescent="0.3">
      <c r="F201" t="s">
        <v>200</v>
      </c>
      <c r="G201" t="s">
        <v>274</v>
      </c>
      <c r="H201" s="267"/>
      <c r="I201" s="267"/>
      <c r="J201" s="282">
        <f t="shared" ref="J201:K201" si="114">ABS(J131 + J166)*(1-J88)*PowerFactor*$H29</f>
        <v>9.0965629937967644E-3</v>
      </c>
      <c r="K201" s="282">
        <f t="shared" si="114"/>
        <v>9.0965629937967644E-3</v>
      </c>
      <c r="L201" s="282">
        <f t="shared" ref="L201:M201" si="115">ABS(L131 + L166)*(1-L88)*PowerFactor*$H29</f>
        <v>7.3152169307680965E-3</v>
      </c>
      <c r="M201" s="282">
        <f t="shared" si="115"/>
        <v>7.3152169307680965E-3</v>
      </c>
      <c r="N201" s="282">
        <f t="shared" ref="N201:P201" si="116">ABS(N131 + N166)*(1-N88)*PowerFactor*$H29</f>
        <v>0</v>
      </c>
      <c r="O201" s="282">
        <f t="shared" si="116"/>
        <v>0</v>
      </c>
      <c r="P201" s="282">
        <f t="shared" si="116"/>
        <v>0</v>
      </c>
      <c r="Q201" s="282">
        <f t="shared" ref="Q201:S201" si="117">ABS(Q131 + Q166)*(1-Q88)*PowerFactor*$H29</f>
        <v>8.5342616174740333E-3</v>
      </c>
      <c r="R201" s="282">
        <f t="shared" si="117"/>
        <v>4.4030290391342281E-3</v>
      </c>
      <c r="S201" s="282">
        <f t="shared" si="117"/>
        <v>4.2842496511017701E-3</v>
      </c>
      <c r="T201" s="282">
        <f t="shared" ref="T201:U201" si="118">ABS(T131 + T166)*(1-T88)*PowerFactor*$H29</f>
        <v>4.4030290391342281E-3</v>
      </c>
      <c r="U201" s="282">
        <f t="shared" si="118"/>
        <v>4.4030290391342281E-3</v>
      </c>
      <c r="V201" s="282">
        <f t="shared" ref="V201:W201" si="119">ABS(V131 + V166)*(1-V88)*PowerFactor*$H29</f>
        <v>4.2842496511017701E-3</v>
      </c>
      <c r="W201" s="282">
        <f t="shared" si="119"/>
        <v>4.2842496511017701E-3</v>
      </c>
      <c r="X201" s="282">
        <f t="shared" ref="X201:Y201" si="120">ABS(X131 + X166)*(1-X88)*PowerFactor*$H29</f>
        <v>0</v>
      </c>
      <c r="Y201" s="282">
        <f t="shared" si="120"/>
        <v>0</v>
      </c>
      <c r="Z201" s="267"/>
      <c r="AA201" s="267"/>
    </row>
    <row r="202" spans="4:27" x14ac:dyDescent="0.3">
      <c r="F202" t="s">
        <v>201</v>
      </c>
      <c r="G202" t="s">
        <v>274</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3.5815555704651956E-3</v>
      </c>
      <c r="R202" s="282">
        <f t="shared" si="124"/>
        <v>1.8478099089137977E-3</v>
      </c>
      <c r="S202" s="282">
        <f t="shared" si="124"/>
        <v>0</v>
      </c>
      <c r="T202" s="282">
        <f t="shared" ref="T202:U202" si="125">ABS(T132 + T167)*(1-T89)*PowerFactor*$H30</f>
        <v>1.8478099089137977E-3</v>
      </c>
      <c r="U202" s="282">
        <f t="shared" si="125"/>
        <v>1.8478099089137977E-3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378</v>
      </c>
      <c r="G203" t="s">
        <v>274</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379</v>
      </c>
      <c r="G204" s="37" t="s">
        <v>274</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624</v>
      </c>
      <c r="J206" s="89"/>
      <c r="K206" s="89"/>
      <c r="L206" s="89"/>
      <c r="M206" s="89"/>
      <c r="N206" s="89"/>
      <c r="O206" s="89"/>
      <c r="P206" s="89"/>
      <c r="Q206" s="89"/>
      <c r="R206" s="89"/>
      <c r="S206" s="89"/>
      <c r="T206" s="89"/>
      <c r="U206" s="89"/>
      <c r="V206" s="89"/>
      <c r="W206" s="89"/>
      <c r="X206" s="89"/>
      <c r="Y206" s="89"/>
    </row>
    <row r="207" spans="4:27" x14ac:dyDescent="0.3">
      <c r="F207" s="23" t="s">
        <v>191</v>
      </c>
      <c r="G207" s="23" t="s">
        <v>274</v>
      </c>
      <c r="H207" s="266"/>
      <c r="I207" s="266"/>
      <c r="J207" s="434">
        <f t="shared" ref="J207:K207" si="128">ABS(J137 + J172)*(1-J81)*PowerFactor*$H22</f>
        <v>1.4501932763685034E-2</v>
      </c>
      <c r="K207" s="434">
        <f t="shared" si="128"/>
        <v>1.4501932763685034E-2</v>
      </c>
      <c r="L207" s="434">
        <f t="shared" ref="L207:M207" si="129">ABS(L137 + L172)*(1-L81)*PowerFactor*$H22</f>
        <v>1.1662073263727405E-2</v>
      </c>
      <c r="M207" s="434">
        <f t="shared" si="129"/>
        <v>1.1662073263727405E-2</v>
      </c>
      <c r="N207" s="434">
        <f t="shared" ref="N207:P207" si="130">ABS(N137 + N172)*(1-N81)*PowerFactor*$H22</f>
        <v>9.7225656967811977E-3</v>
      </c>
      <c r="O207" s="434">
        <f t="shared" si="130"/>
        <v>9.3672858703098636E-3</v>
      </c>
      <c r="P207" s="434">
        <f t="shared" si="130"/>
        <v>7.5006236577196588E-3</v>
      </c>
      <c r="Q207" s="434">
        <f t="shared" ref="Q207:S207" si="131">ABS(Q137 + Q172)*(1-Q81)*PowerFactor*$H22</f>
        <v>1.360550003871841E-2</v>
      </c>
      <c r="R207" s="434">
        <f t="shared" si="131"/>
        <v>7.0194018472273878E-3</v>
      </c>
      <c r="S207" s="434">
        <f t="shared" si="131"/>
        <v>6.8300412392556737E-3</v>
      </c>
      <c r="T207" s="434">
        <f t="shared" ref="T207:U207" si="132">ABS(T137 + T172)*(1-T81)*PowerFactor*$H22</f>
        <v>7.0194018472273878E-3</v>
      </c>
      <c r="U207" s="434">
        <f t="shared" si="132"/>
        <v>7.0194018472273878E-3</v>
      </c>
      <c r="V207" s="434">
        <f t="shared" ref="V207:W207" si="133">ABS(V137 + V172)*(1-V81)*PowerFactor*$H22</f>
        <v>6.8300412392556737E-3</v>
      </c>
      <c r="W207" s="434">
        <f t="shared" si="133"/>
        <v>6.8300412392556737E-3</v>
      </c>
      <c r="X207" s="434">
        <f t="shared" ref="X207:Y207" si="134">ABS(X137 + X172)*(1-X81)*PowerFactor*$H22</f>
        <v>6.7516851256122041E-3</v>
      </c>
      <c r="Y207" s="434">
        <f t="shared" si="134"/>
        <v>6.7516851256122041E-3</v>
      </c>
      <c r="Z207" s="267"/>
      <c r="AA207" s="267"/>
    </row>
    <row r="208" spans="4:27" x14ac:dyDescent="0.3">
      <c r="F208" t="s">
        <v>193</v>
      </c>
      <c r="G208" t="s">
        <v>274</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194</v>
      </c>
      <c r="G209" t="s">
        <v>274</v>
      </c>
      <c r="H209" s="267"/>
      <c r="I209" s="267"/>
      <c r="J209" s="282">
        <f t="shared" ref="J209:K209" si="142">ABS(J139 + J174)*(1-J82)*PowerFactor*$H23</f>
        <v>1.8294228980108494E-2</v>
      </c>
      <c r="K209" s="282">
        <f t="shared" si="142"/>
        <v>1.8294228980108494E-2</v>
      </c>
      <c r="L209" s="282">
        <f t="shared" ref="L209:M209" si="143">ABS(L139 + L174)*(1-L82)*PowerFactor*$H23</f>
        <v>1.471173823145054E-2</v>
      </c>
      <c r="M209" s="282">
        <f t="shared" si="143"/>
        <v>1.471173823145054E-2</v>
      </c>
      <c r="N209" s="282">
        <f t="shared" ref="N209:P209" si="144">ABS(N139 + N174)*(1-N82)*PowerFactor*$H23</f>
        <v>1.2265043979273435E-2</v>
      </c>
      <c r="O209" s="282">
        <f t="shared" si="144"/>
        <v>1.1816857478660514E-2</v>
      </c>
      <c r="P209" s="282">
        <f t="shared" si="144"/>
        <v>9.3200430635924855E-3</v>
      </c>
      <c r="Q209" s="282">
        <f t="shared" ref="Q209:S209" si="145">ABS(Q139 + Q174)*(1-Q82)*PowerFactor*$H23</f>
        <v>1.7163376575602185E-2</v>
      </c>
      <c r="R209" s="282">
        <f t="shared" si="145"/>
        <v>8.8549951781698513E-3</v>
      </c>
      <c r="S209" s="282">
        <f t="shared" si="145"/>
        <v>8.6161162384796874E-3</v>
      </c>
      <c r="T209" s="282">
        <f t="shared" ref="T209:U209" si="146">ABS(T139 + T174)*(1-T82)*PowerFactor*$H23</f>
        <v>8.8549951781698513E-3</v>
      </c>
      <c r="U209" s="282">
        <f t="shared" si="146"/>
        <v>8.8549951781698513E-3</v>
      </c>
      <c r="V209" s="282">
        <f t="shared" ref="V209:W209" si="147">ABS(V139 + V174)*(1-V82)*PowerFactor*$H23</f>
        <v>8.6161162384796874E-3</v>
      </c>
      <c r="W209" s="282">
        <f t="shared" si="147"/>
        <v>8.6161162384796874E-3</v>
      </c>
      <c r="X209" s="282">
        <f t="shared" ref="X209:Y209" si="148">ABS(X139 + X174)*(1-X82)*PowerFactor*$H23</f>
        <v>8.5172697806768609E-3</v>
      </c>
      <c r="Y209" s="282">
        <f t="shared" si="148"/>
        <v>8.5172697806768609E-3</v>
      </c>
      <c r="Z209" s="267"/>
      <c r="AA209" s="267"/>
    </row>
    <row r="210" spans="3:27" x14ac:dyDescent="0.3">
      <c r="F210" t="s">
        <v>195</v>
      </c>
      <c r="G210" t="s">
        <v>274</v>
      </c>
      <c r="H210" s="267"/>
      <c r="I210" s="267"/>
      <c r="J210" s="282">
        <f t="shared" ref="J210:K210" si="149">ABS(J140 + J175)*(1-J83)*PowerFactor*$H24</f>
        <v>9.5585639392300661E-3</v>
      </c>
      <c r="K210" s="282">
        <f t="shared" si="149"/>
        <v>9.5585639392300661E-3</v>
      </c>
      <c r="L210" s="282">
        <f t="shared" ref="L210:M210" si="150">ABS(L140 + L175)*(1-L83)*PowerFactor*$H24</f>
        <v>7.6867459511650591E-3</v>
      </c>
      <c r="M210" s="282">
        <f t="shared" si="150"/>
        <v>7.6867459511650591E-3</v>
      </c>
      <c r="N210" s="282">
        <f t="shared" ref="N210:P210" si="151">ABS(N140 + N175)*(1-N83)*PowerFactor*$H24</f>
        <v>6.4083710344298231E-3</v>
      </c>
      <c r="O210" s="282">
        <f t="shared" si="151"/>
        <v>6.1741977698737474E-3</v>
      </c>
      <c r="P210" s="282">
        <f t="shared" si="151"/>
        <v>4.9438369343395615E-3</v>
      </c>
      <c r="Q210" s="282">
        <f t="shared" ref="Q210:S210" si="152">ABS(Q140 + Q175)*(1-Q83)*PowerFactor*$H24</f>
        <v>8.9677041098238253E-3</v>
      </c>
      <c r="R210" s="282">
        <f t="shared" si="152"/>
        <v>4.6266523549115708E-3</v>
      </c>
      <c r="S210" s="282">
        <f t="shared" si="152"/>
        <v>4.5018403378953515E-3</v>
      </c>
      <c r="T210" s="282">
        <f t="shared" ref="T210:U210" si="153">ABS(T140 + T175)*(1-T83)*PowerFactor*$H24</f>
        <v>4.6266523549115708E-3</v>
      </c>
      <c r="U210" s="282">
        <f t="shared" si="153"/>
        <v>4.6266523549115708E-3</v>
      </c>
      <c r="V210" s="282">
        <f t="shared" ref="V210:W210" si="154">ABS(V140 + V175)*(1-V83)*PowerFactor*$H24</f>
        <v>4.5018403378953515E-3</v>
      </c>
      <c r="W210" s="282">
        <f t="shared" si="154"/>
        <v>4.5018403378953515E-3</v>
      </c>
      <c r="X210" s="282">
        <f t="shared" ref="X210:Y210" si="155">ABS(X140 + X175)*(1-X83)*PowerFactor*$H24</f>
        <v>4.4501939860265719E-3</v>
      </c>
      <c r="Y210" s="282">
        <f t="shared" si="155"/>
        <v>4.4501939860265719E-3</v>
      </c>
      <c r="Z210" s="267"/>
      <c r="AA210" s="267"/>
    </row>
    <row r="211" spans="3:27" x14ac:dyDescent="0.3">
      <c r="F211" t="s">
        <v>196</v>
      </c>
      <c r="G211" t="s">
        <v>274</v>
      </c>
      <c r="H211" s="267"/>
      <c r="I211" s="267"/>
      <c r="J211" s="282">
        <f t="shared" ref="J211:K211" si="156">ABS(J141 + J176)*(1-J84)*PowerFactor*$H25</f>
        <v>1.1808311561350628E-2</v>
      </c>
      <c r="K211" s="282">
        <f t="shared" si="156"/>
        <v>1.1808311561350628E-2</v>
      </c>
      <c r="L211" s="282">
        <f t="shared" ref="L211:M211" si="157">ABS(L141 + L176)*(1-L84)*PowerFactor*$H25</f>
        <v>9.4959338726376425E-3</v>
      </c>
      <c r="M211" s="282">
        <f t="shared" si="157"/>
        <v>9.4959338726376425E-3</v>
      </c>
      <c r="N211" s="282">
        <f t="shared" ref="N211:P211" si="158">ABS(N141 + N176)*(1-N84)*PowerFactor*$H25</f>
        <v>7.9166747490918045E-3</v>
      </c>
      <c r="O211" s="282">
        <f t="shared" si="158"/>
        <v>7.6273853867151091E-3</v>
      </c>
      <c r="P211" s="282">
        <f t="shared" si="158"/>
        <v>4.885952927686032E-3</v>
      </c>
      <c r="Q211" s="282">
        <f t="shared" ref="Q211:S211" si="159">ABS(Q141 + Q176)*(1-Q84)*PowerFactor*$H25</f>
        <v>1.1078384241820933E-2</v>
      </c>
      <c r="R211" s="282">
        <f t="shared" si="159"/>
        <v>5.7156025570566033E-3</v>
      </c>
      <c r="S211" s="282">
        <f t="shared" si="159"/>
        <v>5.5614142090057734E-3</v>
      </c>
      <c r="T211" s="282">
        <f t="shared" ref="T211:U211" si="160">ABS(T141 + T176)*(1-T84)*PowerFactor*$H25</f>
        <v>5.7156025570566033E-3</v>
      </c>
      <c r="U211" s="282">
        <f t="shared" si="160"/>
        <v>5.7156025570566033E-3</v>
      </c>
      <c r="V211" s="282">
        <f t="shared" ref="V211:W211" si="161">ABS(V141 + V176)*(1-V84)*PowerFactor*$H25</f>
        <v>5.5614142090057734E-3</v>
      </c>
      <c r="W211" s="282">
        <f t="shared" si="161"/>
        <v>5.5614142090057734E-3</v>
      </c>
      <c r="X211" s="282">
        <f t="shared" ref="X211:Y211" si="162">ABS(X141 + X176)*(1-X84)*PowerFactor*$H25</f>
        <v>5.4976121339502587E-3</v>
      </c>
      <c r="Y211" s="282">
        <f t="shared" si="162"/>
        <v>5.4976121339502587E-3</v>
      </c>
      <c r="Z211" s="267"/>
      <c r="AA211" s="267"/>
    </row>
    <row r="212" spans="3:27" x14ac:dyDescent="0.3">
      <c r="F212" t="s">
        <v>197</v>
      </c>
      <c r="G212" t="s">
        <v>274</v>
      </c>
      <c r="H212" s="267"/>
      <c r="I212" s="267"/>
      <c r="J212" s="282">
        <f t="shared" ref="J212:K212" si="163">ABS(J142 + J177)*(1-J85)*PowerFactor*$H26</f>
        <v>1.8996200655680931E-2</v>
      </c>
      <c r="K212" s="282">
        <f t="shared" si="163"/>
        <v>1.8996200655680931E-2</v>
      </c>
      <c r="L212" s="282">
        <f t="shared" ref="L212:M212" si="164">ABS(L142 + L177)*(1-L85)*PowerFactor*$H26</f>
        <v>1.5276245407355208E-2</v>
      </c>
      <c r="M212" s="282">
        <f t="shared" si="164"/>
        <v>1.5276245407355208E-2</v>
      </c>
      <c r="N212" s="282">
        <f t="shared" ref="N212:P212" si="165">ABS(N142 + N177)*(1-N85)*PowerFactor*$H26</f>
        <v>1.2735668539754316E-2</v>
      </c>
      <c r="O212" s="282">
        <f t="shared" si="165"/>
        <v>1.2270284581454263E-2</v>
      </c>
      <c r="P212" s="282">
        <f t="shared" si="165"/>
        <v>0</v>
      </c>
      <c r="Q212" s="282">
        <f t="shared" ref="Q212:S212" si="166">ABS(Q142 + Q177)*(1-Q85)*PowerFactor*$H26</f>
        <v>1.7821956077714914E-2</v>
      </c>
      <c r="R212" s="282">
        <f t="shared" si="166"/>
        <v>9.1947720449164303E-3</v>
      </c>
      <c r="S212" s="282">
        <f t="shared" si="166"/>
        <v>8.9467270316117078E-3</v>
      </c>
      <c r="T212" s="282">
        <f t="shared" ref="T212:U212" si="167">ABS(T142 + T177)*(1-T85)*PowerFactor*$H26</f>
        <v>9.1947720449164303E-3</v>
      </c>
      <c r="U212" s="282">
        <f t="shared" si="167"/>
        <v>9.1947720449164303E-3</v>
      </c>
      <c r="V212" s="282">
        <f t="shared" ref="V212:W212" si="168">ABS(V142 + V177)*(1-V85)*PowerFactor*$H26</f>
        <v>8.9467270316117078E-3</v>
      </c>
      <c r="W212" s="282">
        <f t="shared" si="168"/>
        <v>8.9467270316117078E-3</v>
      </c>
      <c r="X212" s="282">
        <f t="shared" ref="X212:Y212" si="169">ABS(X142 + X177)*(1-X85)*PowerFactor*$H26</f>
        <v>8.8440877157614783E-3</v>
      </c>
      <c r="Y212" s="282">
        <f t="shared" si="169"/>
        <v>8.8440877157614783E-3</v>
      </c>
      <c r="Z212" s="267"/>
      <c r="AA212" s="267"/>
    </row>
    <row r="213" spans="3:27" x14ac:dyDescent="0.3">
      <c r="F213" t="s">
        <v>198</v>
      </c>
      <c r="G213" t="s">
        <v>274</v>
      </c>
      <c r="H213" s="267"/>
      <c r="I213" s="267"/>
      <c r="J213" s="282">
        <f t="shared" ref="J213:K213" si="170">ABS(J143 + J178)*(1-J86)*PowerFactor*$H27</f>
        <v>1.5996132377353275E-3</v>
      </c>
      <c r="K213" s="282">
        <f t="shared" si="170"/>
        <v>1.5996132377353275E-3</v>
      </c>
      <c r="L213" s="282">
        <f t="shared" ref="L213:M213" si="171">ABS(L143 + L178)*(1-L86)*PowerFactor*$H27</f>
        <v>1.286366933020953E-3</v>
      </c>
      <c r="M213" s="282">
        <f t="shared" si="171"/>
        <v>1.286366933020953E-3</v>
      </c>
      <c r="N213" s="282">
        <f t="shared" ref="N213:P213" si="172">ABS(N143 + N178)*(1-N86)*PowerFactor*$H27</f>
        <v>1.0724325541122319E-3</v>
      </c>
      <c r="O213" s="282">
        <f t="shared" si="172"/>
        <v>1.0332439629923643E-3</v>
      </c>
      <c r="P213" s="282">
        <f t="shared" si="172"/>
        <v>0</v>
      </c>
      <c r="Q213" s="282">
        <f t="shared" ref="Q213:S213" si="173">ABS(Q143 + Q178)*(1-Q86)*PowerFactor*$H27</f>
        <v>1.5007336141042915E-3</v>
      </c>
      <c r="R213" s="282">
        <f t="shared" si="173"/>
        <v>7.7426425144696014E-4</v>
      </c>
      <c r="S213" s="282">
        <f t="shared" si="173"/>
        <v>7.5337712280327466E-4</v>
      </c>
      <c r="T213" s="282">
        <f t="shared" ref="T213:U213" si="174">ABS(T143 + T178)*(1-T86)*PowerFactor*$H27</f>
        <v>7.7426425144696014E-4</v>
      </c>
      <c r="U213" s="282">
        <f t="shared" si="174"/>
        <v>7.7426425144696014E-4</v>
      </c>
      <c r="V213" s="282">
        <f t="shared" ref="V213:W213" si="175">ABS(V143 + V178)*(1-V86)*PowerFactor*$H27</f>
        <v>7.5337712280327466E-4</v>
      </c>
      <c r="W213" s="282">
        <f t="shared" si="175"/>
        <v>7.5337712280327466E-4</v>
      </c>
      <c r="X213" s="282">
        <f t="shared" ref="X213:Y213" si="176">ABS(X143 + X178)*(1-X86)*PowerFactor*$H27</f>
        <v>7.4473417301968066E-4</v>
      </c>
      <c r="Y213" s="282">
        <f t="shared" si="176"/>
        <v>7.4473417301968066E-4</v>
      </c>
      <c r="Z213" s="267"/>
      <c r="AA213" s="267"/>
    </row>
    <row r="214" spans="3:27" x14ac:dyDescent="0.3">
      <c r="F214" t="s">
        <v>199</v>
      </c>
      <c r="G214" t="s">
        <v>274</v>
      </c>
      <c r="H214" s="267"/>
      <c r="I214" s="267"/>
      <c r="J214" s="282">
        <f t="shared" ref="J214:K214" si="177">ABS(J144 + J179)*(1-J87)*PowerFactor*$H28</f>
        <v>4.3763993973025161E-2</v>
      </c>
      <c r="K214" s="282">
        <f t="shared" si="177"/>
        <v>4.3763993973025161E-2</v>
      </c>
      <c r="L214" s="282">
        <f t="shared" ref="L214:M214" si="178">ABS(L144 + L179)*(1-L87)*PowerFactor*$H28</f>
        <v>3.5193853974058373E-2</v>
      </c>
      <c r="M214" s="282">
        <f t="shared" si="178"/>
        <v>3.5193853974058373E-2</v>
      </c>
      <c r="N214" s="282">
        <f t="shared" ref="N214:P214" si="179">ABS(N144 + N179)*(1-N87)*PowerFactor*$H28</f>
        <v>2.3472639874419145E-2</v>
      </c>
      <c r="O214" s="282">
        <f t="shared" si="179"/>
        <v>0</v>
      </c>
      <c r="P214" s="282">
        <f t="shared" si="179"/>
        <v>0</v>
      </c>
      <c r="Q214" s="282">
        <f t="shared" ref="Q214:S214" si="180">ABS(Q144 + Q179)*(1-Q87)*PowerFactor*$H28</f>
        <v>4.1058735507691263E-2</v>
      </c>
      <c r="R214" s="282">
        <f t="shared" si="180"/>
        <v>2.1183180555461378E-2</v>
      </c>
      <c r="S214" s="282">
        <f t="shared" si="180"/>
        <v>2.0611727312569859E-2</v>
      </c>
      <c r="T214" s="282">
        <f t="shared" ref="T214:U214" si="181">ABS(T144 + T179)*(1-T87)*PowerFactor*$H28</f>
        <v>2.1183180555461378E-2</v>
      </c>
      <c r="U214" s="282">
        <f t="shared" si="181"/>
        <v>2.1183180555461378E-2</v>
      </c>
      <c r="V214" s="282">
        <f t="shared" ref="V214:W214" si="182">ABS(V144 + V179)*(1-V87)*PowerFactor*$H28</f>
        <v>2.0611727312569859E-2</v>
      </c>
      <c r="W214" s="282">
        <f t="shared" si="182"/>
        <v>2.0611727312569859E-2</v>
      </c>
      <c r="X214" s="282">
        <f t="shared" ref="X214:Y214" si="183">ABS(X144 + X179)*(1-X87)*PowerFactor*$H28</f>
        <v>2.0375263901718198E-2</v>
      </c>
      <c r="Y214" s="282">
        <f t="shared" si="183"/>
        <v>2.0375263901718198E-2</v>
      </c>
      <c r="Z214" s="267"/>
      <c r="AA214" s="267"/>
    </row>
    <row r="215" spans="3:27" x14ac:dyDescent="0.3">
      <c r="F215" t="s">
        <v>200</v>
      </c>
      <c r="G215" t="s">
        <v>274</v>
      </c>
      <c r="H215" s="267"/>
      <c r="I215" s="267"/>
      <c r="J215" s="282">
        <f t="shared" ref="J215:K215" si="184">ABS(J145 + J180)*(1-J88)*PowerFactor*$H29</f>
        <v>2.0033061964397865E-2</v>
      </c>
      <c r="K215" s="282">
        <f t="shared" si="184"/>
        <v>2.0033061964397865E-2</v>
      </c>
      <c r="L215" s="282">
        <f t="shared" ref="L215:M215" si="185">ABS(L145 + L180)*(1-L88)*PowerFactor*$H29</f>
        <v>1.6110062026396584E-2</v>
      </c>
      <c r="M215" s="282">
        <f t="shared" si="185"/>
        <v>1.6110062026396584E-2</v>
      </c>
      <c r="N215" s="282">
        <f t="shared" ref="N215:P215" si="186">ABS(N145 + N180)*(1-N88)*PowerFactor*$H29</f>
        <v>0</v>
      </c>
      <c r="O215" s="282">
        <f t="shared" si="186"/>
        <v>0</v>
      </c>
      <c r="P215" s="282">
        <f t="shared" si="186"/>
        <v>0</v>
      </c>
      <c r="Q215" s="282">
        <f t="shared" ref="Q215:S215" si="187">ABS(Q145 + Q180)*(1-Q88)*PowerFactor*$H29</f>
        <v>1.8794724108416306E-2</v>
      </c>
      <c r="R215" s="282">
        <f t="shared" si="187"/>
        <v>9.6966462643274989E-3</v>
      </c>
      <c r="S215" s="282">
        <f t="shared" si="187"/>
        <v>9.4350623185921554E-3</v>
      </c>
      <c r="T215" s="282">
        <f t="shared" ref="T215:U215" si="188">ABS(T145 + T180)*(1-T88)*PowerFactor*$H29</f>
        <v>9.6966462643274989E-3</v>
      </c>
      <c r="U215" s="282">
        <f t="shared" si="188"/>
        <v>9.6966462643274989E-3</v>
      </c>
      <c r="V215" s="282">
        <f t="shared" ref="V215:W215" si="189">ABS(V145 + V180)*(1-V88)*PowerFactor*$H29</f>
        <v>9.4350623185921554E-3</v>
      </c>
      <c r="W215" s="282">
        <f t="shared" si="189"/>
        <v>9.4350623185921554E-3</v>
      </c>
      <c r="X215" s="282">
        <f t="shared" ref="X215:Y215" si="190">ABS(X145 + X180)*(1-X88)*PowerFactor*$H29</f>
        <v>0</v>
      </c>
      <c r="Y215" s="282">
        <f t="shared" si="190"/>
        <v>0</v>
      </c>
      <c r="Z215" s="267"/>
      <c r="AA215" s="267"/>
    </row>
    <row r="216" spans="3:27" x14ac:dyDescent="0.3">
      <c r="F216" t="s">
        <v>201</v>
      </c>
      <c r="G216" t="s">
        <v>274</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3.7461767976346733E-2</v>
      </c>
      <c r="R216" s="282">
        <f t="shared" si="194"/>
        <v>1.9327419248483711E-2</v>
      </c>
      <c r="S216" s="282">
        <f t="shared" si="194"/>
        <v>0</v>
      </c>
      <c r="T216" s="282">
        <f t="shared" ref="T216:U216" si="195">ABS(T146 + T181)*(1-T89)*PowerFactor*$H30</f>
        <v>1.9327419248483711E-2</v>
      </c>
      <c r="U216" s="282">
        <f t="shared" si="195"/>
        <v>1.9327419248483711E-2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378</v>
      </c>
      <c r="G217" t="s">
        <v>274</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379</v>
      </c>
      <c r="G218" s="37" t="s">
        <v>274</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623</v>
      </c>
      <c r="J222" s="89"/>
      <c r="K222" s="89"/>
      <c r="L222" s="89"/>
      <c r="M222" s="89"/>
      <c r="N222" s="89"/>
      <c r="O222" s="89"/>
      <c r="P222" s="89"/>
      <c r="Q222" s="89"/>
      <c r="R222" s="89"/>
      <c r="S222" s="89"/>
      <c r="T222" s="89"/>
      <c r="U222" s="89"/>
      <c r="V222" s="89"/>
      <c r="W222" s="89"/>
      <c r="X222" s="89"/>
      <c r="Y222" s="89"/>
    </row>
    <row r="223" spans="3:27" x14ac:dyDescent="0.3">
      <c r="D223"/>
      <c r="F223" s="23" t="s">
        <v>191</v>
      </c>
      <c r="G223" s="23" t="s">
        <v>274</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193</v>
      </c>
      <c r="G224" t="s">
        <v>274</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194</v>
      </c>
      <c r="G225" t="s">
        <v>274</v>
      </c>
      <c r="H225" s="267"/>
      <c r="I225" s="267"/>
      <c r="J225" s="282">
        <f t="shared" ref="J225:K225" si="198">J$78 * J195</f>
        <v>0</v>
      </c>
      <c r="K225" s="282">
        <f t="shared" si="198"/>
        <v>0</v>
      </c>
      <c r="L225" s="282">
        <f t="shared" ref="L225:M225" si="199">L$78 * L195</f>
        <v>0</v>
      </c>
      <c r="M225" s="282">
        <f t="shared" si="199"/>
        <v>0</v>
      </c>
      <c r="N225" s="282">
        <f t="shared" ref="N225:P225" si="200">N$78 * N195</f>
        <v>1.9133414426676473E-2</v>
      </c>
      <c r="O225" s="282">
        <f t="shared" si="200"/>
        <v>1.8434245465589971E-2</v>
      </c>
      <c r="P225" s="282">
        <f t="shared" si="200"/>
        <v>1.4539226007793747E-2</v>
      </c>
      <c r="Q225" s="282">
        <f t="shared" ref="Q225:S225" si="201">Q$78 * Q195</f>
        <v>0</v>
      </c>
      <c r="R225" s="282">
        <f t="shared" si="201"/>
        <v>0</v>
      </c>
      <c r="S225" s="282">
        <f t="shared" si="201"/>
        <v>0</v>
      </c>
      <c r="T225" s="282">
        <f t="shared" ref="T225:U225" si="202">T$78 * T195</f>
        <v>1.3813753360889476E-2</v>
      </c>
      <c r="U225" s="282">
        <f t="shared" si="202"/>
        <v>0</v>
      </c>
      <c r="V225" s="282">
        <f t="shared" ref="V225:W225" si="203">V$78 * V195</f>
        <v>1.3441103270223619E-2</v>
      </c>
      <c r="W225" s="282">
        <f t="shared" si="203"/>
        <v>0</v>
      </c>
      <c r="X225" s="282">
        <f t="shared" ref="X225:Y225" si="204">X$78 * X195</f>
        <v>1.3286903232706712E-2</v>
      </c>
      <c r="Y225" s="282">
        <f t="shared" si="204"/>
        <v>0</v>
      </c>
      <c r="Z225" s="267"/>
      <c r="AA225" s="267"/>
    </row>
    <row r="226" spans="5:27" customFormat="1" x14ac:dyDescent="0.3">
      <c r="E226" s="2"/>
      <c r="F226" t="s">
        <v>195</v>
      </c>
      <c r="G226" t="s">
        <v>274</v>
      </c>
      <c r="H226" s="267"/>
      <c r="I226" s="267"/>
      <c r="J226" s="282">
        <f t="shared" ref="J226:K226" si="205">J$78 * J196</f>
        <v>0</v>
      </c>
      <c r="K226" s="282">
        <f t="shared" si="205"/>
        <v>0</v>
      </c>
      <c r="L226" s="282">
        <f t="shared" ref="L226:M226" si="206">L$78 * L196</f>
        <v>0</v>
      </c>
      <c r="M226" s="282">
        <f t="shared" si="206"/>
        <v>0</v>
      </c>
      <c r="N226" s="282">
        <f t="shared" ref="N226:P226" si="207">N$78 * N196</f>
        <v>9.9970305046487642E-3</v>
      </c>
      <c r="O226" s="282">
        <f t="shared" si="207"/>
        <v>9.6317212464047067E-3</v>
      </c>
      <c r="P226" s="282">
        <f t="shared" si="207"/>
        <v>7.7123637781062486E-3</v>
      </c>
      <c r="Q226" s="282">
        <f t="shared" ref="Q226:S226" si="208">Q$78 * Q196</f>
        <v>0</v>
      </c>
      <c r="R226" s="282">
        <f t="shared" si="208"/>
        <v>0</v>
      </c>
      <c r="S226" s="282">
        <f t="shared" si="208"/>
        <v>0</v>
      </c>
      <c r="T226" s="282">
        <f t="shared" ref="T226:U226" si="209">T$78 * T196</f>
        <v>7.2175572353655555E-3</v>
      </c>
      <c r="U226" s="282">
        <f t="shared" si="209"/>
        <v>0</v>
      </c>
      <c r="V226" s="282">
        <f t="shared" ref="V226:W226" si="210">V$78 * V196</f>
        <v>7.0228510401789505E-3</v>
      </c>
      <c r="W226" s="282">
        <f t="shared" si="210"/>
        <v>0</v>
      </c>
      <c r="X226" s="282">
        <f t="shared" ref="X226:Y226" si="211">X$78 * X196</f>
        <v>6.9422829594120794E-3</v>
      </c>
      <c r="Y226" s="282">
        <f t="shared" si="211"/>
        <v>0</v>
      </c>
      <c r="Z226" s="267"/>
      <c r="AA226" s="267"/>
    </row>
    <row r="227" spans="5:27" customFormat="1" x14ac:dyDescent="0.3">
      <c r="E227" s="2"/>
      <c r="F227" t="s">
        <v>196</v>
      </c>
      <c r="G227" t="s">
        <v>274</v>
      </c>
      <c r="H227" s="267"/>
      <c r="I227" s="267"/>
      <c r="J227" s="282">
        <f t="shared" ref="J227:K227" si="212">J$78 * J197</f>
        <v>0</v>
      </c>
      <c r="K227" s="282">
        <f t="shared" si="212"/>
        <v>0</v>
      </c>
      <c r="L227" s="282">
        <f t="shared" ref="L227:M227" si="213">L$78 * L197</f>
        <v>0</v>
      </c>
      <c r="M227" s="282">
        <f t="shared" si="213"/>
        <v>0</v>
      </c>
      <c r="N227" s="282">
        <f t="shared" ref="N227:P227" si="214">N$78 * N197</f>
        <v>1.2349977636570326E-2</v>
      </c>
      <c r="O227" s="282">
        <f t="shared" si="214"/>
        <v>1.1898687509202177E-2</v>
      </c>
      <c r="P227" s="282">
        <f t="shared" si="214"/>
        <v>7.1234291144431951E-3</v>
      </c>
      <c r="Q227" s="282">
        <f t="shared" ref="Q227:S227" si="215">Q$78 * Q197</f>
        <v>0</v>
      </c>
      <c r="R227" s="282">
        <f t="shared" si="215"/>
        <v>0</v>
      </c>
      <c r="S227" s="282">
        <f t="shared" si="215"/>
        <v>0</v>
      </c>
      <c r="T227" s="282">
        <f t="shared" ref="T227:U227" si="216">T$78 * T197</f>
        <v>8.9163147402602332E-3</v>
      </c>
      <c r="U227" s="282">
        <f t="shared" si="216"/>
        <v>0</v>
      </c>
      <c r="V227" s="282">
        <f t="shared" ref="V227:W227" si="217">V$78 * V197</f>
        <v>8.6757815984299554E-3</v>
      </c>
      <c r="W227" s="282">
        <f t="shared" si="217"/>
        <v>0</v>
      </c>
      <c r="X227" s="282">
        <f t="shared" ref="X227:Y227" si="218">X$78 * X197</f>
        <v>8.0151919010493511E-3</v>
      </c>
      <c r="Y227" s="282">
        <f t="shared" si="218"/>
        <v>0</v>
      </c>
      <c r="Z227" s="267"/>
      <c r="AA227" s="267"/>
    </row>
    <row r="228" spans="5:27" customFormat="1" x14ac:dyDescent="0.3">
      <c r="E228" s="2"/>
      <c r="F228" t="s">
        <v>197</v>
      </c>
      <c r="G228" t="s">
        <v>274</v>
      </c>
      <c r="H228" s="267"/>
      <c r="I228" s="267"/>
      <c r="J228" s="282">
        <f t="shared" ref="J228:K228" si="219">J$78 * J198</f>
        <v>0</v>
      </c>
      <c r="K228" s="282">
        <f t="shared" si="219"/>
        <v>0</v>
      </c>
      <c r="L228" s="282">
        <f t="shared" ref="L228:M228" si="220">L$78 * L198</f>
        <v>0</v>
      </c>
      <c r="M228" s="282">
        <f t="shared" si="220"/>
        <v>0</v>
      </c>
      <c r="N228" s="282">
        <f t="shared" ref="N228:P228" si="221">N$78 * N198</f>
        <v>1.9867586662036581E-2</v>
      </c>
      <c r="O228" s="282">
        <f t="shared" si="221"/>
        <v>1.9141589742928136E-2</v>
      </c>
      <c r="P228" s="282">
        <f t="shared" si="221"/>
        <v>0</v>
      </c>
      <c r="Q228" s="282">
        <f t="shared" ref="Q228:S228" si="222">Q$78 * Q198</f>
        <v>0</v>
      </c>
      <c r="R228" s="282">
        <f t="shared" si="222"/>
        <v>0</v>
      </c>
      <c r="S228" s="282">
        <f t="shared" si="222"/>
        <v>0</v>
      </c>
      <c r="T228" s="282">
        <f t="shared" ref="T228:U228" si="223">T$78 * T198</f>
        <v>1.4343803772045447E-2</v>
      </c>
      <c r="U228" s="282">
        <f t="shared" si="223"/>
        <v>0</v>
      </c>
      <c r="V228" s="282">
        <f t="shared" ref="V228:W228" si="224">V$78 * V198</f>
        <v>1.3956854647032127E-2</v>
      </c>
      <c r="W228" s="282">
        <f t="shared" si="224"/>
        <v>0</v>
      </c>
      <c r="X228" s="282">
        <f t="shared" ref="X228:Y228" si="225">X$78 * X198</f>
        <v>8.9453960695213258E-3</v>
      </c>
      <c r="Y228" s="282">
        <f t="shared" si="225"/>
        <v>0</v>
      </c>
      <c r="Z228" s="267"/>
      <c r="AA228" s="267"/>
    </row>
    <row r="229" spans="5:27" customFormat="1" x14ac:dyDescent="0.3">
      <c r="E229" s="2"/>
      <c r="F229" t="s">
        <v>198</v>
      </c>
      <c r="G229" t="s">
        <v>274</v>
      </c>
      <c r="H229" s="267"/>
      <c r="I229" s="267"/>
      <c r="J229" s="282">
        <f t="shared" ref="J229:K229" si="226">J$78 * J199</f>
        <v>0</v>
      </c>
      <c r="K229" s="282">
        <f t="shared" si="226"/>
        <v>0</v>
      </c>
      <c r="L229" s="282">
        <f t="shared" ref="L229:M229" si="227">L$78 * L199</f>
        <v>0</v>
      </c>
      <c r="M229" s="282">
        <f t="shared" si="227"/>
        <v>0</v>
      </c>
      <c r="N229" s="282">
        <f t="shared" ref="N229:P229" si="228">N$78 * N199</f>
        <v>1.6729900469304318E-3</v>
      </c>
      <c r="O229" s="282">
        <f t="shared" si="228"/>
        <v>1.611856017899546E-3</v>
      </c>
      <c r="P229" s="282">
        <f t="shared" si="228"/>
        <v>0</v>
      </c>
      <c r="Q229" s="282">
        <f t="shared" ref="Q229:S229" si="229">Q$78 * Q199</f>
        <v>0</v>
      </c>
      <c r="R229" s="282">
        <f t="shared" si="229"/>
        <v>0</v>
      </c>
      <c r="S229" s="282">
        <f t="shared" si="229"/>
        <v>0</v>
      </c>
      <c r="T229" s="282">
        <f t="shared" ref="T229:U229" si="230">T$78 * T199</f>
        <v>1.2078488119349334E-3</v>
      </c>
      <c r="U229" s="282">
        <f t="shared" si="230"/>
        <v>0</v>
      </c>
      <c r="V229" s="282">
        <f t="shared" ref="V229:W229" si="231">V$78 * V199</f>
        <v>1.1752649835199446E-3</v>
      </c>
      <c r="W229" s="282">
        <f t="shared" si="231"/>
        <v>0</v>
      </c>
      <c r="X229" s="282">
        <f t="shared" ref="X229:Y229" si="232">X$78 * X199</f>
        <v>7.5326504646668036E-4</v>
      </c>
      <c r="Y229" s="282">
        <f t="shared" si="232"/>
        <v>0</v>
      </c>
      <c r="Z229" s="267"/>
      <c r="AA229" s="267"/>
    </row>
    <row r="230" spans="5:27" customFormat="1" x14ac:dyDescent="0.3">
      <c r="E230" s="2"/>
      <c r="F230" t="s">
        <v>199</v>
      </c>
      <c r="G230" t="s">
        <v>274</v>
      </c>
      <c r="H230" s="267"/>
      <c r="I230" s="267"/>
      <c r="J230" s="282">
        <f t="shared" ref="J230:K230" si="233">J$78 * J200</f>
        <v>0</v>
      </c>
      <c r="K230" s="282">
        <f t="shared" si="233"/>
        <v>0</v>
      </c>
      <c r="L230" s="282">
        <f t="shared" ref="L230:M230" si="234">L$78 * L200</f>
        <v>0</v>
      </c>
      <c r="M230" s="282">
        <f t="shared" si="234"/>
        <v>0</v>
      </c>
      <c r="N230" s="282">
        <f t="shared" ref="N230:P230" si="235">N$78 * N200</f>
        <v>1.9072679668617438E-2</v>
      </c>
      <c r="O230" s="282">
        <f t="shared" si="235"/>
        <v>0</v>
      </c>
      <c r="P230" s="282">
        <f t="shared" si="235"/>
        <v>0</v>
      </c>
      <c r="Q230" s="282">
        <f t="shared" ref="Q230:S230" si="236">Q$78 * Q200</f>
        <v>0</v>
      </c>
      <c r="R230" s="282">
        <f t="shared" si="236"/>
        <v>0</v>
      </c>
      <c r="S230" s="282">
        <f t="shared" si="236"/>
        <v>0</v>
      </c>
      <c r="T230" s="282">
        <f t="shared" ref="T230:U230" si="237">T$78 * T200</f>
        <v>1.7212380850996988E-2</v>
      </c>
      <c r="U230" s="282">
        <f t="shared" si="237"/>
        <v>0</v>
      </c>
      <c r="V230" s="282">
        <f t="shared" ref="V230:W230" si="238">V$78 * V200</f>
        <v>1.6748046855946837E-2</v>
      </c>
      <c r="W230" s="282">
        <f t="shared" si="238"/>
        <v>0</v>
      </c>
      <c r="X230" s="282">
        <f t="shared" ref="X230:Y230" si="239">X$78 * X200</f>
        <v>1.1511397648475334E-2</v>
      </c>
      <c r="Y230" s="282">
        <f t="shared" si="239"/>
        <v>0</v>
      </c>
      <c r="Z230" s="267"/>
      <c r="AA230" s="267"/>
    </row>
    <row r="231" spans="5:27" customFormat="1" x14ac:dyDescent="0.3">
      <c r="E231" s="2"/>
      <c r="F231" t="s">
        <v>200</v>
      </c>
      <c r="G231" t="s">
        <v>274</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4.4030290391342281E-3</v>
      </c>
      <c r="U231" s="282">
        <f t="shared" si="244"/>
        <v>0</v>
      </c>
      <c r="V231" s="282">
        <f t="shared" ref="V231:W231" si="245">V$78 * V201</f>
        <v>4.2842496511017701E-3</v>
      </c>
      <c r="W231" s="282">
        <f t="shared" si="245"/>
        <v>0</v>
      </c>
      <c r="X231" s="282">
        <f t="shared" ref="X231:Y231" si="246">X$78 * X201</f>
        <v>0</v>
      </c>
      <c r="Y231" s="282">
        <f t="shared" si="246"/>
        <v>0</v>
      </c>
      <c r="Z231" s="267"/>
      <c r="AA231" s="267"/>
    </row>
    <row r="232" spans="5:27" customFormat="1" x14ac:dyDescent="0.3">
      <c r="E232" s="2"/>
      <c r="F232" t="s">
        <v>201</v>
      </c>
      <c r="G232" t="s">
        <v>274</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1.8478099089137977E-3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378</v>
      </c>
      <c r="G233" t="s">
        <v>274</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379</v>
      </c>
      <c r="G234" s="37" t="s">
        <v>274</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624</v>
      </c>
      <c r="J236" s="89"/>
      <c r="K236" s="89"/>
      <c r="L236" s="89"/>
      <c r="M236" s="89"/>
      <c r="N236" s="89"/>
      <c r="O236" s="89"/>
      <c r="P236" s="89"/>
      <c r="Q236" s="89"/>
      <c r="R236" s="89"/>
      <c r="S236" s="89"/>
      <c r="T236" s="89"/>
      <c r="U236" s="89"/>
      <c r="V236" s="89"/>
      <c r="W236" s="89"/>
      <c r="X236" s="89"/>
      <c r="Y236" s="89"/>
    </row>
    <row r="237" spans="5:27" customFormat="1" x14ac:dyDescent="0.3">
      <c r="E237" s="2"/>
      <c r="F237" s="23" t="s">
        <v>191</v>
      </c>
      <c r="G237" s="23" t="s">
        <v>274</v>
      </c>
      <c r="H237" s="266"/>
      <c r="I237" s="266"/>
      <c r="J237" s="281">
        <f t="shared" ref="J237:K237" si="254">J$78 * J207</f>
        <v>0</v>
      </c>
      <c r="K237" s="281">
        <f t="shared" si="254"/>
        <v>0</v>
      </c>
      <c r="L237" s="281">
        <f t="shared" ref="L237:M237" si="255">L$78 * L207</f>
        <v>0</v>
      </c>
      <c r="M237" s="281">
        <f t="shared" si="255"/>
        <v>0</v>
      </c>
      <c r="N237" s="281">
        <f t="shared" ref="N237:P237" si="256">N$78 * N207</f>
        <v>9.7225656967811977E-3</v>
      </c>
      <c r="O237" s="281">
        <f t="shared" si="256"/>
        <v>9.3672858703098636E-3</v>
      </c>
      <c r="P237" s="281">
        <f t="shared" si="256"/>
        <v>7.5006236577196588E-3</v>
      </c>
      <c r="Q237" s="281">
        <f t="shared" ref="Q237:S237" si="257">Q$78 * Q207</f>
        <v>0</v>
      </c>
      <c r="R237" s="281">
        <f t="shared" si="257"/>
        <v>0</v>
      </c>
      <c r="S237" s="281">
        <f t="shared" si="257"/>
        <v>0</v>
      </c>
      <c r="T237" s="281">
        <f t="shared" ref="T237:U237" si="258">T$78 * T207</f>
        <v>7.0194018472273878E-3</v>
      </c>
      <c r="U237" s="281">
        <f t="shared" si="258"/>
        <v>0</v>
      </c>
      <c r="V237" s="281">
        <f t="shared" ref="V237:W237" si="259">V$78 * V207</f>
        <v>6.8300412392556737E-3</v>
      </c>
      <c r="W237" s="281">
        <f t="shared" si="259"/>
        <v>0</v>
      </c>
      <c r="X237" s="281">
        <f t="shared" ref="X237:Y237" si="260">X$78 * X207</f>
        <v>6.7516851256122041E-3</v>
      </c>
      <c r="Y237" s="281">
        <f t="shared" si="260"/>
        <v>0</v>
      </c>
      <c r="Z237" s="267"/>
      <c r="AA237" s="267"/>
    </row>
    <row r="238" spans="5:27" customFormat="1" x14ac:dyDescent="0.3">
      <c r="E238" s="2"/>
      <c r="F238" t="s">
        <v>193</v>
      </c>
      <c r="G238" t="s">
        <v>274</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194</v>
      </c>
      <c r="G239" t="s">
        <v>274</v>
      </c>
      <c r="H239" s="267"/>
      <c r="I239" s="267"/>
      <c r="J239" s="282">
        <f t="shared" ref="J239:K239" si="268">J$78 * J209</f>
        <v>0</v>
      </c>
      <c r="K239" s="282">
        <f t="shared" si="268"/>
        <v>0</v>
      </c>
      <c r="L239" s="282">
        <f t="shared" ref="L239:M239" si="269">L$78 * L209</f>
        <v>0</v>
      </c>
      <c r="M239" s="282">
        <f t="shared" si="269"/>
        <v>0</v>
      </c>
      <c r="N239" s="282">
        <f t="shared" ref="N239:P239" si="270">N$78 * N209</f>
        <v>1.2265043979273435E-2</v>
      </c>
      <c r="O239" s="282">
        <f t="shared" si="270"/>
        <v>1.1816857478660514E-2</v>
      </c>
      <c r="P239" s="282">
        <f t="shared" si="270"/>
        <v>9.3200430635924855E-3</v>
      </c>
      <c r="Q239" s="282">
        <f t="shared" ref="Q239:S239" si="271">Q$78 * Q209</f>
        <v>0</v>
      </c>
      <c r="R239" s="282">
        <f t="shared" si="271"/>
        <v>0</v>
      </c>
      <c r="S239" s="282">
        <f t="shared" si="271"/>
        <v>0</v>
      </c>
      <c r="T239" s="282">
        <f t="shared" ref="T239:U239" si="272">T$78 * T209</f>
        <v>8.8549951781698513E-3</v>
      </c>
      <c r="U239" s="282">
        <f t="shared" si="272"/>
        <v>0</v>
      </c>
      <c r="V239" s="282">
        <f t="shared" ref="V239:W239" si="273">V$78 * V209</f>
        <v>8.6161162384796874E-3</v>
      </c>
      <c r="W239" s="282">
        <f t="shared" si="273"/>
        <v>0</v>
      </c>
      <c r="X239" s="282">
        <f t="shared" ref="X239:Y239" si="274">X$78 * X209</f>
        <v>8.5172697806768609E-3</v>
      </c>
      <c r="Y239" s="282">
        <f t="shared" si="274"/>
        <v>0</v>
      </c>
      <c r="Z239" s="267"/>
      <c r="AA239" s="267"/>
    </row>
    <row r="240" spans="5:27" customFormat="1" x14ac:dyDescent="0.3">
      <c r="E240" s="2"/>
      <c r="F240" t="s">
        <v>195</v>
      </c>
      <c r="G240" t="s">
        <v>274</v>
      </c>
      <c r="H240" s="267"/>
      <c r="I240" s="267"/>
      <c r="J240" s="282">
        <f t="shared" ref="J240:K240" si="275">J$78 * J210</f>
        <v>0</v>
      </c>
      <c r="K240" s="282">
        <f t="shared" si="275"/>
        <v>0</v>
      </c>
      <c r="L240" s="282">
        <f t="shared" ref="L240:M240" si="276">L$78 * L210</f>
        <v>0</v>
      </c>
      <c r="M240" s="282">
        <f t="shared" si="276"/>
        <v>0</v>
      </c>
      <c r="N240" s="282">
        <f t="shared" ref="N240:P240" si="277">N$78 * N210</f>
        <v>6.4083710344298231E-3</v>
      </c>
      <c r="O240" s="282">
        <f t="shared" si="277"/>
        <v>6.1741977698737474E-3</v>
      </c>
      <c r="P240" s="282">
        <f t="shared" si="277"/>
        <v>4.9438369343395615E-3</v>
      </c>
      <c r="Q240" s="282">
        <f t="shared" ref="Q240:S240" si="278">Q$78 * Q210</f>
        <v>0</v>
      </c>
      <c r="R240" s="282">
        <f t="shared" si="278"/>
        <v>0</v>
      </c>
      <c r="S240" s="282">
        <f t="shared" si="278"/>
        <v>0</v>
      </c>
      <c r="T240" s="282">
        <f t="shared" ref="T240:U240" si="279">T$78 * T210</f>
        <v>4.6266523549115708E-3</v>
      </c>
      <c r="U240" s="282">
        <f t="shared" si="279"/>
        <v>0</v>
      </c>
      <c r="V240" s="282">
        <f t="shared" ref="V240:W240" si="280">V$78 * V210</f>
        <v>4.5018403378953515E-3</v>
      </c>
      <c r="W240" s="282">
        <f t="shared" si="280"/>
        <v>0</v>
      </c>
      <c r="X240" s="282">
        <f t="shared" ref="X240:Y240" si="281">X$78 * X210</f>
        <v>4.4501939860265719E-3</v>
      </c>
      <c r="Y240" s="282">
        <f t="shared" si="281"/>
        <v>0</v>
      </c>
      <c r="Z240" s="267"/>
      <c r="AA240" s="267"/>
    </row>
    <row r="241" spans="2:27" x14ac:dyDescent="0.3">
      <c r="D241"/>
      <c r="F241" t="s">
        <v>196</v>
      </c>
      <c r="G241" t="s">
        <v>274</v>
      </c>
      <c r="H241" s="267"/>
      <c r="I241" s="267"/>
      <c r="J241" s="282">
        <f t="shared" ref="J241:K241" si="282">J$78 * J211</f>
        <v>0</v>
      </c>
      <c r="K241" s="282">
        <f t="shared" si="282"/>
        <v>0</v>
      </c>
      <c r="L241" s="282">
        <f t="shared" ref="L241:M241" si="283">L$78 * L211</f>
        <v>0</v>
      </c>
      <c r="M241" s="282">
        <f t="shared" si="283"/>
        <v>0</v>
      </c>
      <c r="N241" s="282">
        <f t="shared" ref="N241:P241" si="284">N$78 * N211</f>
        <v>7.9166747490918045E-3</v>
      </c>
      <c r="O241" s="282">
        <f t="shared" si="284"/>
        <v>7.6273853867151091E-3</v>
      </c>
      <c r="P241" s="282">
        <f t="shared" si="284"/>
        <v>4.885952927686032E-3</v>
      </c>
      <c r="Q241" s="282">
        <f t="shared" ref="Q241:S241" si="285">Q$78 * Q211</f>
        <v>0</v>
      </c>
      <c r="R241" s="282">
        <f t="shared" si="285"/>
        <v>0</v>
      </c>
      <c r="S241" s="282">
        <f t="shared" si="285"/>
        <v>0</v>
      </c>
      <c r="T241" s="282">
        <f t="shared" ref="T241:U241" si="286">T$78 * T211</f>
        <v>5.7156025570566033E-3</v>
      </c>
      <c r="U241" s="282">
        <f t="shared" si="286"/>
        <v>0</v>
      </c>
      <c r="V241" s="282">
        <f t="shared" ref="V241:W241" si="287">V$78 * V211</f>
        <v>5.5614142090057734E-3</v>
      </c>
      <c r="W241" s="282">
        <f t="shared" si="287"/>
        <v>0</v>
      </c>
      <c r="X241" s="282">
        <f t="shared" ref="X241:Y241" si="288">X$78 * X211</f>
        <v>5.4976121339502587E-3</v>
      </c>
      <c r="Y241" s="282">
        <f t="shared" si="288"/>
        <v>0</v>
      </c>
      <c r="Z241" s="267"/>
      <c r="AA241" s="267"/>
    </row>
    <row r="242" spans="2:27" x14ac:dyDescent="0.3">
      <c r="D242"/>
      <c r="F242" t="s">
        <v>197</v>
      </c>
      <c r="G242" t="s">
        <v>274</v>
      </c>
      <c r="H242" s="267"/>
      <c r="I242" s="267"/>
      <c r="J242" s="282">
        <f t="shared" ref="J242:K242" si="289">J$78 * J212</f>
        <v>0</v>
      </c>
      <c r="K242" s="282">
        <f t="shared" si="289"/>
        <v>0</v>
      </c>
      <c r="L242" s="282">
        <f t="shared" ref="L242:M242" si="290">L$78 * L212</f>
        <v>0</v>
      </c>
      <c r="M242" s="282">
        <f t="shared" si="290"/>
        <v>0</v>
      </c>
      <c r="N242" s="282">
        <f t="shared" ref="N242:P242" si="291">N$78 * N212</f>
        <v>1.2735668539754316E-2</v>
      </c>
      <c r="O242" s="282">
        <f t="shared" si="291"/>
        <v>1.2270284581454263E-2</v>
      </c>
      <c r="P242" s="282">
        <f t="shared" si="291"/>
        <v>0</v>
      </c>
      <c r="Q242" s="282">
        <f t="shared" ref="Q242:S242" si="292">Q$78 * Q212</f>
        <v>0</v>
      </c>
      <c r="R242" s="282">
        <f t="shared" si="292"/>
        <v>0</v>
      </c>
      <c r="S242" s="282">
        <f t="shared" si="292"/>
        <v>0</v>
      </c>
      <c r="T242" s="282">
        <f t="shared" ref="T242:U242" si="293">T$78 * T212</f>
        <v>9.1947720449164303E-3</v>
      </c>
      <c r="U242" s="282">
        <f t="shared" si="293"/>
        <v>0</v>
      </c>
      <c r="V242" s="282">
        <f t="shared" ref="V242:W242" si="294">V$78 * V212</f>
        <v>8.9467270316117078E-3</v>
      </c>
      <c r="W242" s="282">
        <f t="shared" si="294"/>
        <v>0</v>
      </c>
      <c r="X242" s="282">
        <f t="shared" ref="X242:Y242" si="295">X$78 * X212</f>
        <v>8.8440877157614783E-3</v>
      </c>
      <c r="Y242" s="282">
        <f t="shared" si="295"/>
        <v>0</v>
      </c>
      <c r="Z242" s="267"/>
      <c r="AA242" s="267"/>
    </row>
    <row r="243" spans="2:27" x14ac:dyDescent="0.3">
      <c r="D243"/>
      <c r="F243" t="s">
        <v>198</v>
      </c>
      <c r="G243" t="s">
        <v>274</v>
      </c>
      <c r="H243" s="267"/>
      <c r="I243" s="267"/>
      <c r="J243" s="282">
        <f t="shared" ref="J243:K243" si="296">J$78 * J213</f>
        <v>0</v>
      </c>
      <c r="K243" s="282">
        <f t="shared" si="296"/>
        <v>0</v>
      </c>
      <c r="L243" s="282">
        <f t="shared" ref="L243:M243" si="297">L$78 * L213</f>
        <v>0</v>
      </c>
      <c r="M243" s="282">
        <f t="shared" si="297"/>
        <v>0</v>
      </c>
      <c r="N243" s="282">
        <f t="shared" ref="N243:P243" si="298">N$78 * N213</f>
        <v>1.0724325541122319E-3</v>
      </c>
      <c r="O243" s="282">
        <f t="shared" si="298"/>
        <v>1.0332439629923643E-3</v>
      </c>
      <c r="P243" s="282">
        <f t="shared" si="298"/>
        <v>0</v>
      </c>
      <c r="Q243" s="282">
        <f t="shared" ref="Q243:S243" si="299">Q$78 * Q213</f>
        <v>0</v>
      </c>
      <c r="R243" s="282">
        <f t="shared" si="299"/>
        <v>0</v>
      </c>
      <c r="S243" s="282">
        <f t="shared" si="299"/>
        <v>0</v>
      </c>
      <c r="T243" s="282">
        <f t="shared" ref="T243:U243" si="300">T$78 * T213</f>
        <v>7.7426425144696014E-4</v>
      </c>
      <c r="U243" s="282">
        <f t="shared" si="300"/>
        <v>0</v>
      </c>
      <c r="V243" s="282">
        <f t="shared" ref="V243:W243" si="301">V$78 * V213</f>
        <v>7.5337712280327466E-4</v>
      </c>
      <c r="W243" s="282">
        <f t="shared" si="301"/>
        <v>0</v>
      </c>
      <c r="X243" s="282">
        <f t="shared" ref="X243:Y243" si="302">X$78 * X213</f>
        <v>7.4473417301968066E-4</v>
      </c>
      <c r="Y243" s="282">
        <f t="shared" si="302"/>
        <v>0</v>
      </c>
      <c r="Z243" s="267"/>
      <c r="AA243" s="267"/>
    </row>
    <row r="244" spans="2:27" x14ac:dyDescent="0.3">
      <c r="D244"/>
      <c r="F244" t="s">
        <v>199</v>
      </c>
      <c r="G244" t="s">
        <v>274</v>
      </c>
      <c r="H244" s="267"/>
      <c r="I244" s="267"/>
      <c r="J244" s="282">
        <f t="shared" ref="J244:K244" si="303">J$78 * J214</f>
        <v>0</v>
      </c>
      <c r="K244" s="282">
        <f t="shared" si="303"/>
        <v>0</v>
      </c>
      <c r="L244" s="282">
        <f t="shared" ref="L244:M244" si="304">L$78 * L214</f>
        <v>0</v>
      </c>
      <c r="M244" s="282">
        <f t="shared" si="304"/>
        <v>0</v>
      </c>
      <c r="N244" s="282">
        <f t="shared" ref="N244:P244" si="305">N$78 * N214</f>
        <v>2.3472639874419145E-2</v>
      </c>
      <c r="O244" s="282">
        <f t="shared" si="305"/>
        <v>0</v>
      </c>
      <c r="P244" s="282">
        <f t="shared" si="305"/>
        <v>0</v>
      </c>
      <c r="Q244" s="282">
        <f t="shared" ref="Q244:S244" si="306">Q$78 * Q214</f>
        <v>0</v>
      </c>
      <c r="R244" s="282">
        <f t="shared" si="306"/>
        <v>0</v>
      </c>
      <c r="S244" s="282">
        <f t="shared" si="306"/>
        <v>0</v>
      </c>
      <c r="T244" s="282">
        <f t="shared" ref="T244:U244" si="307">T$78 * T214</f>
        <v>2.1183180555461378E-2</v>
      </c>
      <c r="U244" s="282">
        <f t="shared" si="307"/>
        <v>0</v>
      </c>
      <c r="V244" s="282">
        <f t="shared" ref="V244:W244" si="308">V$78 * V214</f>
        <v>2.0611727312569859E-2</v>
      </c>
      <c r="W244" s="282">
        <f t="shared" si="308"/>
        <v>0</v>
      </c>
      <c r="X244" s="282">
        <f t="shared" ref="X244:Y244" si="309">X$78 * X214</f>
        <v>2.0375263901718198E-2</v>
      </c>
      <c r="Y244" s="282">
        <f t="shared" si="309"/>
        <v>0</v>
      </c>
      <c r="Z244" s="267"/>
      <c r="AA244" s="267"/>
    </row>
    <row r="245" spans="2:27" x14ac:dyDescent="0.3">
      <c r="D245"/>
      <c r="F245" t="s">
        <v>200</v>
      </c>
      <c r="G245" t="s">
        <v>274</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9.6966462643274989E-3</v>
      </c>
      <c r="U245" s="282">
        <f t="shared" si="314"/>
        <v>0</v>
      </c>
      <c r="V245" s="282">
        <f t="shared" ref="V245:W245" si="315">V$78 * V215</f>
        <v>9.4350623185921554E-3</v>
      </c>
      <c r="W245" s="282">
        <f t="shared" si="315"/>
        <v>0</v>
      </c>
      <c r="X245" s="282">
        <f t="shared" ref="X245:Y245" si="316">X$78 * X215</f>
        <v>0</v>
      </c>
      <c r="Y245" s="282">
        <f t="shared" si="316"/>
        <v>0</v>
      </c>
      <c r="Z245" s="267"/>
      <c r="AA245" s="267"/>
    </row>
    <row r="246" spans="2:27" x14ac:dyDescent="0.3">
      <c r="D246"/>
      <c r="F246" t="s">
        <v>201</v>
      </c>
      <c r="G246" t="s">
        <v>274</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1.9327419248483711E-2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378</v>
      </c>
      <c r="G247" t="s">
        <v>274</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379</v>
      </c>
      <c r="G248" s="37" t="s">
        <v>274</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686</v>
      </c>
      <c r="G250" t="s">
        <v>274</v>
      </c>
      <c r="H250" s="267"/>
      <c r="I250" s="267" t="s">
        <v>156</v>
      </c>
      <c r="J250" s="272">
        <f t="shared" ref="J250:K250" si="324">SUM(J223:J234,J237:J248)</f>
        <v>0</v>
      </c>
      <c r="K250" s="272">
        <f t="shared" si="324"/>
        <v>0</v>
      </c>
      <c r="L250" s="272">
        <f t="shared" ref="L250:M250" si="325">SUM(L223:L234,L237:L248)</f>
        <v>0</v>
      </c>
      <c r="M250" s="272">
        <f t="shared" si="325"/>
        <v>0</v>
      </c>
      <c r="N250" s="272">
        <f t="shared" ref="N250:P250" si="326">SUM(N223:N234,N237:N248)</f>
        <v>0.15568707537334198</v>
      </c>
      <c r="O250" s="272">
        <f t="shared" si="326"/>
        <v>0.10900735503203039</v>
      </c>
      <c r="P250" s="272">
        <f t="shared" si="326"/>
        <v>5.6025475483680934E-2</v>
      </c>
      <c r="Q250" s="272">
        <f t="shared" ref="Q250:S250" si="327">SUM(Q223:Q234,Q237:Q248)</f>
        <v>0</v>
      </c>
      <c r="R250" s="272">
        <f t="shared" si="327"/>
        <v>0</v>
      </c>
      <c r="S250" s="272">
        <f t="shared" si="327"/>
        <v>0</v>
      </c>
      <c r="T250" s="272">
        <f t="shared" ref="T250:U250" si="328">SUM(T223:T234,T237:T248)</f>
        <v>0.15535543202154206</v>
      </c>
      <c r="U250" s="272">
        <f t="shared" si="328"/>
        <v>0</v>
      </c>
      <c r="V250" s="272">
        <f t="shared" ref="V250:W250" si="329">SUM(V223:V234,V237:V248)</f>
        <v>0.13056045785664669</v>
      </c>
      <c r="W250" s="272">
        <f t="shared" si="329"/>
        <v>0</v>
      </c>
      <c r="X250" s="272">
        <f t="shared" ref="X250:Y250" si="330">SUM(X223:X234,X237:X248)</f>
        <v>0.10463528367439673</v>
      </c>
      <c r="Y250" s="272">
        <f t="shared" si="330"/>
        <v>0</v>
      </c>
      <c r="Z250" s="267"/>
      <c r="AA250" s="267" t="s">
        <v>685</v>
      </c>
    </row>
    <row r="251" spans="2:27" x14ac:dyDescent="0.3">
      <c r="C251" s="88"/>
    </row>
    <row r="252" spans="2:27" x14ac:dyDescent="0.3">
      <c r="B252" s="30" t="s">
        <v>233</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234</v>
      </c>
      <c r="G254" s="6" t="s">
        <v>57</v>
      </c>
      <c r="H254" s="103">
        <f t="array" ref="H254">SUM(IF(ISERROR(H21:Y250), 1))</f>
        <v>0</v>
      </c>
    </row>
    <row r="256" spans="2:27" x14ac:dyDescent="0.3">
      <c r="B256" s="30" t="s">
        <v>108</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718</v>
      </c>
      <c r="E9"/>
    </row>
    <row r="10" spans="1:27" x14ac:dyDescent="0.3">
      <c r="D10" s="91" t="s">
        <v>719</v>
      </c>
      <c r="E10"/>
    </row>
    <row r="11" spans="1:27" x14ac:dyDescent="0.3">
      <c r="D11" s="29" t="s">
        <v>720</v>
      </c>
      <c r="E11"/>
    </row>
    <row r="12" spans="1:27" x14ac:dyDescent="0.3">
      <c r="D12" s="91" t="s">
        <v>721</v>
      </c>
      <c r="E12"/>
    </row>
    <row r="14" spans="1:27" x14ac:dyDescent="0.3">
      <c r="B14" s="30" t="s">
        <v>722</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156</v>
      </c>
      <c r="AA17" t="s">
        <v>723</v>
      </c>
    </row>
    <row r="18" spans="3:27" x14ac:dyDescent="0.3">
      <c r="C18" s="88"/>
      <c r="E18" t="s">
        <v>551</v>
      </c>
      <c r="G18" t="s">
        <v>214</v>
      </c>
      <c r="J18" s="120">
        <f>'Volume adjustments'!J275</f>
        <v>2559230.0756873167</v>
      </c>
      <c r="K18" s="120">
        <f>'Volume adjustments'!K275</f>
        <v>0</v>
      </c>
      <c r="L18" s="120">
        <f>'Volume adjustments'!L275</f>
        <v>188009.06497859224</v>
      </c>
      <c r="M18" s="120">
        <f>'Volume adjustments'!M275</f>
        <v>0</v>
      </c>
      <c r="N18" s="120">
        <f>'Volume adjustments'!N275</f>
        <v>15856.107135692855</v>
      </c>
      <c r="O18" s="120">
        <f>'Volume adjustments'!O275</f>
        <v>531.84000069467299</v>
      </c>
      <c r="P18" s="120">
        <f>'Volume adjustments'!P275</f>
        <v>3372.1517422609586</v>
      </c>
      <c r="Q18" s="120">
        <f>'Volume adjustments'!Q275</f>
        <v>37.113907471596569</v>
      </c>
      <c r="R18" s="120">
        <f>'Volume adjustments'!R275</f>
        <v>0</v>
      </c>
      <c r="S18" s="120">
        <f>'Volume adjustments'!S275</f>
        <v>0</v>
      </c>
      <c r="T18" s="120">
        <f>'Volume adjustments'!T275</f>
        <v>734.26186025829247</v>
      </c>
      <c r="U18" s="120">
        <f>'Volume adjustments'!U275</f>
        <v>0</v>
      </c>
      <c r="V18" s="120">
        <f>'Volume adjustments'!V275</f>
        <v>50.04201140862741</v>
      </c>
      <c r="W18" s="120">
        <f>'Volume adjustments'!W275</f>
        <v>0</v>
      </c>
      <c r="X18" s="120">
        <f>'Volume adjustments'!X275</f>
        <v>449.38337701268659</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473</v>
      </c>
      <c r="G20" t="s">
        <v>174</v>
      </c>
      <c r="H20" s="63"/>
      <c r="J20" s="120">
        <f>'System peak demand'!J200</f>
        <v>2249.7741931457354</v>
      </c>
      <c r="K20" s="120">
        <f>'System peak demand'!K200</f>
        <v>15.415003659401926</v>
      </c>
      <c r="L20" s="120">
        <f>'System peak demand'!L200</f>
        <v>803.04975955421548</v>
      </c>
      <c r="M20" s="120">
        <f>'System peak demand'!M200</f>
        <v>1.1649862844577012</v>
      </c>
      <c r="N20" s="120">
        <f>'System peak demand'!N200</f>
        <v>702.22314164215527</v>
      </c>
      <c r="O20" s="120">
        <f>'System peak demand'!O200</f>
        <v>51.136015091185953</v>
      </c>
      <c r="P20" s="120">
        <f>'System peak demand'!P200</f>
        <v>1082.1550684032836</v>
      </c>
      <c r="Q20" s="120">
        <f>'System peak demand'!Q200</f>
        <v>50.865124372913947</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156</v>
      </c>
      <c r="J23" s="89"/>
      <c r="K23" s="89"/>
      <c r="L23" s="89"/>
      <c r="M23" s="89"/>
      <c r="N23" s="89"/>
      <c r="O23" s="89"/>
      <c r="P23" s="89"/>
      <c r="Q23" s="89"/>
      <c r="R23" s="89"/>
      <c r="S23" s="89"/>
      <c r="T23" s="89"/>
      <c r="U23" s="89"/>
      <c r="V23" s="89"/>
      <c r="W23" s="89"/>
      <c r="X23" s="89"/>
      <c r="Y23" s="89"/>
      <c r="AA23" t="s">
        <v>723</v>
      </c>
    </row>
    <row r="24" spans="3:27" x14ac:dyDescent="0.3">
      <c r="C24" s="88"/>
      <c r="E24" s="32" t="s">
        <v>623</v>
      </c>
      <c r="J24" s="89"/>
      <c r="K24" s="89"/>
      <c r="L24" s="89"/>
      <c r="M24" s="89"/>
      <c r="N24" s="89"/>
      <c r="O24" s="89"/>
      <c r="P24" s="89"/>
      <c r="Q24" s="89"/>
      <c r="R24" s="89"/>
      <c r="S24" s="89"/>
      <c r="T24" s="89"/>
      <c r="U24" s="89"/>
      <c r="V24" s="89"/>
      <c r="W24" s="89"/>
      <c r="X24" s="89"/>
      <c r="Y24" s="89"/>
    </row>
    <row r="25" spans="3:27" x14ac:dyDescent="0.3">
      <c r="C25" s="88"/>
      <c r="E25" s="29"/>
      <c r="F25" s="23" t="s">
        <v>191</v>
      </c>
      <c r="G25" s="23" t="s">
        <v>273</v>
      </c>
      <c r="H25" s="23"/>
      <c r="I25" s="23"/>
      <c r="J25" s="83"/>
      <c r="K25" s="83"/>
      <c r="L25" s="83"/>
      <c r="M25" s="83"/>
      <c r="N25" s="83"/>
      <c r="O25" s="83"/>
      <c r="P25" s="83"/>
      <c r="Q25" s="83"/>
      <c r="R25" s="83"/>
      <c r="S25" s="83"/>
      <c r="T25" s="83"/>
      <c r="U25" s="83"/>
      <c r="V25" s="83"/>
      <c r="W25" s="83"/>
      <c r="X25" s="83"/>
      <c r="Y25" s="83"/>
    </row>
    <row r="26" spans="3:27" x14ac:dyDescent="0.3">
      <c r="C26" s="88"/>
      <c r="E26" s="29"/>
      <c r="F26" t="s">
        <v>193</v>
      </c>
      <c r="G26" t="s">
        <v>273</v>
      </c>
      <c r="J26" s="79"/>
      <c r="K26" s="79"/>
      <c r="L26" s="79"/>
      <c r="M26" s="79"/>
      <c r="N26" s="79"/>
      <c r="O26" s="79"/>
      <c r="P26" s="79"/>
      <c r="Q26" s="79"/>
      <c r="R26" s="79"/>
      <c r="S26" s="79"/>
      <c r="T26" s="79"/>
      <c r="U26" s="79"/>
      <c r="V26" s="79"/>
      <c r="W26" s="79"/>
      <c r="X26" s="79"/>
      <c r="Y26" s="79"/>
    </row>
    <row r="27" spans="3:27" x14ac:dyDescent="0.3">
      <c r="C27" s="88"/>
      <c r="E27" s="29"/>
      <c r="F27" t="s">
        <v>194</v>
      </c>
      <c r="G27" t="s">
        <v>273</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195</v>
      </c>
      <c r="G28" t="s">
        <v>273</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196</v>
      </c>
      <c r="G29" t="s">
        <v>273</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197</v>
      </c>
      <c r="G30" t="s">
        <v>273</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198</v>
      </c>
      <c r="G31" t="s">
        <v>273</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199</v>
      </c>
      <c r="G32" t="s">
        <v>273</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200</v>
      </c>
      <c r="G33" t="s">
        <v>273</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201</v>
      </c>
      <c r="G34" t="s">
        <v>273</v>
      </c>
      <c r="J34" s="120">
        <f>'Capacity charges'!J271</f>
        <v>0.12133257020239309</v>
      </c>
      <c r="K34" s="120">
        <f>'Capacity charges'!K271</f>
        <v>0</v>
      </c>
      <c r="L34" s="120">
        <f>'Capacity charges'!L271</f>
        <v>0.12133257020239309</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378</v>
      </c>
      <c r="G35" t="s">
        <v>273</v>
      </c>
      <c r="J35" s="79"/>
      <c r="K35" s="79"/>
      <c r="L35" s="79"/>
      <c r="M35" s="79"/>
      <c r="N35" s="79"/>
      <c r="O35" s="79"/>
      <c r="P35" s="79"/>
      <c r="Q35" s="79"/>
      <c r="R35" s="79"/>
      <c r="S35" s="79"/>
      <c r="T35" s="79"/>
      <c r="U35" s="79"/>
      <c r="V35" s="79"/>
      <c r="W35" s="79"/>
      <c r="X35" s="79"/>
      <c r="Y35" s="79"/>
    </row>
    <row r="36" spans="3:25" x14ac:dyDescent="0.3">
      <c r="C36" s="88"/>
      <c r="E36" s="29"/>
      <c r="F36" s="37" t="s">
        <v>379</v>
      </c>
      <c r="G36" s="37" t="s">
        <v>273</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624</v>
      </c>
      <c r="J38" s="89"/>
      <c r="K38" s="89"/>
      <c r="L38" s="89"/>
      <c r="M38" s="89"/>
      <c r="N38" s="89"/>
      <c r="O38" s="89"/>
      <c r="P38" s="89"/>
      <c r="Q38" s="89"/>
      <c r="R38" s="89"/>
      <c r="S38" s="89"/>
      <c r="T38" s="89"/>
      <c r="U38" s="89"/>
      <c r="V38" s="89"/>
      <c r="W38" s="89"/>
      <c r="X38" s="89"/>
      <c r="Y38" s="89"/>
    </row>
    <row r="39" spans="3:25" x14ac:dyDescent="0.3">
      <c r="C39" s="88"/>
      <c r="F39" s="23" t="s">
        <v>191</v>
      </c>
      <c r="G39" s="23" t="s">
        <v>273</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193</v>
      </c>
      <c r="G40" t="s">
        <v>273</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194</v>
      </c>
      <c r="G41" t="s">
        <v>273</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195</v>
      </c>
      <c r="G42" t="s">
        <v>273</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196</v>
      </c>
      <c r="G43" t="s">
        <v>273</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197</v>
      </c>
      <c r="G44" t="s">
        <v>273</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198</v>
      </c>
      <c r="G45" t="s">
        <v>273</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199</v>
      </c>
      <c r="G46" t="s">
        <v>273</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200</v>
      </c>
      <c r="G47" t="s">
        <v>273</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201</v>
      </c>
      <c r="G48" t="s">
        <v>273</v>
      </c>
      <c r="J48" s="120">
        <f>'Capacity charges'!J285</f>
        <v>1.2690945326601404</v>
      </c>
      <c r="K48" s="120">
        <f>'Capacity charges'!K285</f>
        <v>0</v>
      </c>
      <c r="L48" s="120">
        <f>'Capacity charges'!L285</f>
        <v>1.2690945326601404</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378</v>
      </c>
      <c r="G49" t="s">
        <v>273</v>
      </c>
      <c r="J49" s="79"/>
      <c r="K49" s="79"/>
      <c r="L49" s="79"/>
      <c r="M49" s="79"/>
      <c r="N49" s="79"/>
      <c r="O49" s="79"/>
      <c r="P49" s="79"/>
      <c r="Q49" s="79"/>
      <c r="R49" s="79"/>
      <c r="S49" s="79"/>
      <c r="T49" s="79"/>
      <c r="U49" s="79"/>
      <c r="V49" s="79"/>
      <c r="W49" s="79"/>
      <c r="X49" s="79"/>
      <c r="Y49" s="79"/>
    </row>
    <row r="50" spans="3:27" x14ac:dyDescent="0.3">
      <c r="C50" s="88"/>
      <c r="F50" s="37" t="s">
        <v>379</v>
      </c>
      <c r="G50" s="37" t="s">
        <v>273</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624</v>
      </c>
      <c r="I54" t="s">
        <v>156</v>
      </c>
      <c r="J54" s="89"/>
      <c r="K54" s="89"/>
      <c r="L54" s="89"/>
      <c r="M54" s="89"/>
      <c r="N54" s="89"/>
      <c r="O54" s="89"/>
      <c r="P54" s="89"/>
      <c r="Q54" s="89"/>
      <c r="R54" s="89"/>
      <c r="S54" s="89"/>
      <c r="T54" s="89"/>
      <c r="U54" s="89"/>
      <c r="V54" s="89"/>
      <c r="W54" s="89"/>
      <c r="X54" s="89"/>
      <c r="Y54" s="89"/>
      <c r="AA54" t="s">
        <v>724</v>
      </c>
    </row>
    <row r="55" spans="3:27" x14ac:dyDescent="0.3">
      <c r="C55" s="88"/>
      <c r="D55"/>
      <c r="F55" s="23" t="s">
        <v>378</v>
      </c>
      <c r="G55" s="23" t="s">
        <v>272</v>
      </c>
      <c r="H55" s="23"/>
      <c r="I55" s="23"/>
      <c r="J55" s="124">
        <f>'Service model charges'!J42</f>
        <v>1.9490122798777203</v>
      </c>
      <c r="K55" s="124">
        <f>'Service model charges'!K42</f>
        <v>0</v>
      </c>
      <c r="L55" s="124">
        <f>'Service model charges'!L42</f>
        <v>5.7147696146236378</v>
      </c>
      <c r="M55" s="124">
        <f>'Service model charges'!M42</f>
        <v>0</v>
      </c>
      <c r="N55" s="124">
        <f>'Service model charges'!N42</f>
        <v>11.401752134048197</v>
      </c>
      <c r="O55" s="124">
        <f>'Service model charges'!O42</f>
        <v>8.9002928158170995</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379</v>
      </c>
      <c r="G56" s="37" t="s">
        <v>272</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82.166040497508959</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51.423015267650172</v>
      </c>
      <c r="Y56" s="125">
        <f>'Service model charges'!Y43</f>
        <v>51.423015267650172</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725</v>
      </c>
      <c r="E60"/>
    </row>
    <row r="61" spans="3:27" x14ac:dyDescent="0.3">
      <c r="D61" s="29" t="s">
        <v>726</v>
      </c>
      <c r="E61"/>
    </row>
    <row r="62" spans="3:27" x14ac:dyDescent="0.3">
      <c r="D62" s="29"/>
      <c r="E62"/>
    </row>
    <row r="63" spans="3:27" x14ac:dyDescent="0.3">
      <c r="E63" t="s">
        <v>727</v>
      </c>
      <c r="G63" t="s">
        <v>151</v>
      </c>
      <c r="I63" t="s">
        <v>156</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728</v>
      </c>
    </row>
    <row r="65" spans="2:27" x14ac:dyDescent="0.3">
      <c r="B65" s="30" t="s">
        <v>729</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156</v>
      </c>
      <c r="J68" s="89"/>
      <c r="K68" s="89"/>
      <c r="L68" s="89"/>
      <c r="M68" s="89"/>
      <c r="N68" s="89"/>
      <c r="O68" s="89"/>
      <c r="P68" s="89"/>
      <c r="Q68" s="89"/>
      <c r="R68" s="89"/>
      <c r="S68" s="89"/>
      <c r="T68" s="89"/>
      <c r="U68" s="89"/>
      <c r="V68" s="89"/>
      <c r="W68" s="89"/>
      <c r="X68" s="89"/>
      <c r="Y68" s="89"/>
      <c r="AA68" t="s">
        <v>728</v>
      </c>
    </row>
    <row r="69" spans="2:27" x14ac:dyDescent="0.3">
      <c r="C69" s="88"/>
      <c r="D69"/>
      <c r="E69" s="32" t="s">
        <v>623</v>
      </c>
      <c r="J69" s="89"/>
      <c r="K69" s="89"/>
      <c r="L69" s="89"/>
      <c r="M69" s="89"/>
      <c r="N69" s="89"/>
      <c r="O69" s="89"/>
      <c r="P69" s="89"/>
      <c r="Q69" s="89"/>
      <c r="R69" s="89"/>
      <c r="S69" s="89"/>
      <c r="T69" s="89"/>
      <c r="U69" s="89"/>
      <c r="V69" s="89"/>
      <c r="W69" s="89"/>
      <c r="X69" s="89"/>
      <c r="Y69" s="89"/>
    </row>
    <row r="70" spans="2:27" x14ac:dyDescent="0.3">
      <c r="C70" s="88"/>
      <c r="D70"/>
      <c r="E70" s="29"/>
      <c r="F70" s="23" t="s">
        <v>191</v>
      </c>
      <c r="G70" s="23" t="s">
        <v>730</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193</v>
      </c>
      <c r="G71" t="s">
        <v>730</v>
      </c>
      <c r="J71" s="79"/>
      <c r="K71" s="79"/>
      <c r="L71" s="79"/>
      <c r="M71" s="79"/>
      <c r="N71" s="79"/>
      <c r="O71" s="79"/>
      <c r="P71" s="79"/>
      <c r="Q71" s="79"/>
      <c r="R71" s="79"/>
      <c r="S71" s="79"/>
      <c r="T71" s="79"/>
      <c r="U71" s="79"/>
      <c r="V71" s="79"/>
      <c r="W71" s="79"/>
      <c r="X71" s="79"/>
      <c r="Y71" s="79"/>
    </row>
    <row r="72" spans="2:27" x14ac:dyDescent="0.3">
      <c r="C72" s="88"/>
      <c r="D72"/>
      <c r="E72" s="29"/>
      <c r="F72" t="s">
        <v>194</v>
      </c>
      <c r="G72" t="s">
        <v>730</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195</v>
      </c>
      <c r="G73" t="s">
        <v>730</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196</v>
      </c>
      <c r="G74" t="s">
        <v>730</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197</v>
      </c>
      <c r="G75" t="s">
        <v>730</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198</v>
      </c>
      <c r="G76" t="s">
        <v>730</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199</v>
      </c>
      <c r="G77" t="s">
        <v>730</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200</v>
      </c>
      <c r="G78" t="s">
        <v>730</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201</v>
      </c>
      <c r="G79" t="s">
        <v>730</v>
      </c>
      <c r="J79" s="98">
        <f t="shared" ref="J79:K79" si="49">J$20 * J34 * thousand / PowerFactor</f>
        <v>287337.77392567077</v>
      </c>
      <c r="K79" s="98">
        <f t="shared" si="49"/>
        <v>0</v>
      </c>
      <c r="L79" s="98">
        <f t="shared" ref="L79:M79" si="50">L$20 * L34 * thousand / PowerFactor</f>
        <v>102564.30666013343</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378</v>
      </c>
      <c r="G80" t="s">
        <v>730</v>
      </c>
      <c r="J80" s="79"/>
      <c r="K80" s="79"/>
      <c r="L80" s="79"/>
      <c r="M80" s="79"/>
      <c r="N80" s="79"/>
      <c r="O80" s="79"/>
      <c r="P80" s="79"/>
      <c r="Q80" s="79"/>
      <c r="R80" s="79"/>
      <c r="S80" s="79"/>
      <c r="T80" s="79"/>
      <c r="U80" s="79"/>
      <c r="V80" s="79"/>
      <c r="W80" s="79"/>
      <c r="X80" s="79"/>
      <c r="Y80" s="79"/>
    </row>
    <row r="81" spans="3:25" x14ac:dyDescent="0.3">
      <c r="C81" s="88"/>
      <c r="D81"/>
      <c r="E81" s="29"/>
      <c r="F81" s="37" t="s">
        <v>379</v>
      </c>
      <c r="G81" s="37" t="s">
        <v>730</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624</v>
      </c>
      <c r="J83" s="89"/>
      <c r="K83" s="89"/>
      <c r="L83" s="89"/>
      <c r="M83" s="89"/>
      <c r="N83" s="89"/>
      <c r="O83" s="89"/>
      <c r="P83" s="89"/>
      <c r="Q83" s="89"/>
      <c r="R83" s="89"/>
      <c r="S83" s="89"/>
      <c r="T83" s="89"/>
      <c r="U83" s="89"/>
      <c r="V83" s="89"/>
      <c r="W83" s="89"/>
      <c r="X83" s="89"/>
      <c r="Y83" s="89"/>
    </row>
    <row r="84" spans="3:25" x14ac:dyDescent="0.3">
      <c r="C84" s="88"/>
      <c r="D84"/>
      <c r="F84" s="23" t="s">
        <v>191</v>
      </c>
      <c r="G84" s="23" t="s">
        <v>730</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193</v>
      </c>
      <c r="G85" t="s">
        <v>730</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194</v>
      </c>
      <c r="G86" t="s">
        <v>730</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195</v>
      </c>
      <c r="G87" t="s">
        <v>730</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196</v>
      </c>
      <c r="G88" t="s">
        <v>730</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197</v>
      </c>
      <c r="G89" t="s">
        <v>730</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198</v>
      </c>
      <c r="G90" t="s">
        <v>730</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199</v>
      </c>
      <c r="G91" t="s">
        <v>730</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200</v>
      </c>
      <c r="G92" t="s">
        <v>730</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201</v>
      </c>
      <c r="G93" t="s">
        <v>730</v>
      </c>
      <c r="J93" s="98">
        <f t="shared" ref="J93:K93" si="119">J$20 * J48 * thousand / PowerFactor</f>
        <v>3005448.5560432961</v>
      </c>
      <c r="K93" s="98">
        <f t="shared" si="119"/>
        <v>0</v>
      </c>
      <c r="L93" s="98">
        <f t="shared" ref="L93:M93" si="120">L$20 * L48 * thousand / PowerFactor</f>
        <v>1072785.3255834687</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378</v>
      </c>
      <c r="G94" t="s">
        <v>730</v>
      </c>
      <c r="J94" s="79"/>
      <c r="K94" s="79"/>
      <c r="L94" s="79"/>
      <c r="M94" s="79"/>
      <c r="N94" s="79"/>
      <c r="O94" s="79"/>
      <c r="P94" s="79"/>
      <c r="Q94" s="79"/>
      <c r="R94" s="79"/>
      <c r="S94" s="79"/>
      <c r="T94" s="79"/>
      <c r="U94" s="79"/>
      <c r="V94" s="79"/>
      <c r="W94" s="79"/>
      <c r="X94" s="79"/>
      <c r="Y94" s="79"/>
    </row>
    <row r="95" spans="3:25" x14ac:dyDescent="0.3">
      <c r="C95" s="88"/>
      <c r="D95"/>
      <c r="F95" s="37" t="s">
        <v>379</v>
      </c>
      <c r="G95" s="37" t="s">
        <v>730</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156</v>
      </c>
      <c r="J98" s="89"/>
      <c r="K98" s="89"/>
      <c r="L98" s="89"/>
      <c r="M98" s="89"/>
      <c r="N98" s="89"/>
      <c r="O98" s="89"/>
      <c r="P98" s="89"/>
      <c r="Q98" s="89"/>
      <c r="R98" s="89"/>
      <c r="S98" s="89"/>
      <c r="T98" s="89"/>
      <c r="U98" s="89"/>
      <c r="V98" s="89"/>
      <c r="W98" s="89"/>
      <c r="X98" s="89"/>
      <c r="Y98" s="89"/>
      <c r="AA98" t="s">
        <v>728</v>
      </c>
    </row>
    <row r="99" spans="3:27" x14ac:dyDescent="0.3">
      <c r="C99" s="88"/>
      <c r="D99"/>
      <c r="E99" s="32" t="s">
        <v>623</v>
      </c>
      <c r="J99" s="89"/>
      <c r="K99" s="89"/>
      <c r="L99" s="89"/>
      <c r="M99" s="89"/>
      <c r="N99" s="89"/>
      <c r="O99" s="89"/>
      <c r="P99" s="89"/>
      <c r="Q99" s="89"/>
      <c r="R99" s="89"/>
      <c r="S99" s="89"/>
      <c r="T99" s="89"/>
      <c r="U99" s="89"/>
      <c r="V99" s="89"/>
      <c r="W99" s="89"/>
      <c r="X99" s="89"/>
      <c r="Y99" s="89"/>
    </row>
    <row r="100" spans="3:27" x14ac:dyDescent="0.3">
      <c r="C100" s="88"/>
      <c r="D100"/>
      <c r="E100" s="29"/>
      <c r="F100" s="23" t="s">
        <v>191</v>
      </c>
      <c r="G100" s="23" t="s">
        <v>730</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193</v>
      </c>
      <c r="G101" t="s">
        <v>730</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194</v>
      </c>
      <c r="G102" t="s">
        <v>730</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195</v>
      </c>
      <c r="G103" t="s">
        <v>730</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196</v>
      </c>
      <c r="G104" t="s">
        <v>730</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197</v>
      </c>
      <c r="G105" t="s">
        <v>730</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198</v>
      </c>
      <c r="G106" t="s">
        <v>730</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199</v>
      </c>
      <c r="G107" t="s">
        <v>730</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200</v>
      </c>
      <c r="G108" t="s">
        <v>730</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201</v>
      </c>
      <c r="G109" t="s">
        <v>730</v>
      </c>
      <c r="J109" s="98">
        <f t="shared" ref="J109:Y109" si="133">SUMIFS($J79:$Y79,$J$63:$Y$63,J$63)</f>
        <v>389902.08058580419</v>
      </c>
      <c r="K109" s="98">
        <f t="shared" si="133"/>
        <v>0</v>
      </c>
      <c r="L109" s="98">
        <f t="shared" si="133"/>
        <v>389902.08058580419</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378</v>
      </c>
      <c r="G110" t="s">
        <v>730</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379</v>
      </c>
      <c r="G111" s="37" t="s">
        <v>730</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624</v>
      </c>
      <c r="J113" s="89"/>
      <c r="K113" s="89"/>
      <c r="L113" s="89"/>
      <c r="M113" s="89"/>
      <c r="N113" s="89"/>
      <c r="O113" s="89"/>
      <c r="P113" s="89"/>
      <c r="Q113" s="89"/>
      <c r="R113" s="89"/>
      <c r="S113" s="89"/>
      <c r="T113" s="89"/>
      <c r="U113" s="89"/>
      <c r="V113" s="89"/>
      <c r="W113" s="89"/>
      <c r="X113" s="89"/>
      <c r="Y113" s="89"/>
    </row>
    <row r="114" spans="3:27" x14ac:dyDescent="0.3">
      <c r="C114" s="88"/>
      <c r="D114"/>
      <c r="F114" s="23" t="s">
        <v>191</v>
      </c>
      <c r="G114" s="23" t="s">
        <v>730</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193</v>
      </c>
      <c r="G115" t="s">
        <v>730</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194</v>
      </c>
      <c r="G116" t="s">
        <v>730</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195</v>
      </c>
      <c r="G117" t="s">
        <v>730</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196</v>
      </c>
      <c r="G118" t="s">
        <v>730</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197</v>
      </c>
      <c r="G119" t="s">
        <v>730</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198</v>
      </c>
      <c r="G120" t="s">
        <v>730</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199</v>
      </c>
      <c r="G121" t="s">
        <v>730</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200</v>
      </c>
      <c r="G122" t="s">
        <v>730</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201</v>
      </c>
      <c r="G123" t="s">
        <v>730</v>
      </c>
      <c r="J123" s="98">
        <f t="shared" ref="J123:Y123" si="143">SUMIFS($J93:$Y93,$J$63:$Y$63,J$63)</f>
        <v>4078233.8816267648</v>
      </c>
      <c r="K123" s="98">
        <f t="shared" si="143"/>
        <v>0</v>
      </c>
      <c r="L123" s="98">
        <f t="shared" si="143"/>
        <v>4078233.8816267648</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378</v>
      </c>
      <c r="G124" t="s">
        <v>730</v>
      </c>
      <c r="J124" s="79"/>
      <c r="K124" s="79"/>
      <c r="L124" s="79"/>
      <c r="M124" s="79"/>
      <c r="N124" s="79"/>
      <c r="O124" s="79"/>
      <c r="P124" s="79"/>
      <c r="Q124" s="79"/>
      <c r="R124" s="79"/>
      <c r="S124" s="79"/>
      <c r="T124" s="79"/>
      <c r="U124" s="79"/>
      <c r="V124" s="79"/>
      <c r="W124" s="79"/>
      <c r="X124" s="79"/>
      <c r="Y124" s="79"/>
    </row>
    <row r="125" spans="3:27" x14ac:dyDescent="0.3">
      <c r="C125" s="88"/>
      <c r="D125"/>
      <c r="F125" s="37" t="s">
        <v>379</v>
      </c>
      <c r="G125" s="37" t="s">
        <v>730</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731</v>
      </c>
      <c r="G129" t="s">
        <v>214</v>
      </c>
      <c r="J129" s="89">
        <f t="shared" ref="J129:Y129" si="144">SUMIFS($J$18:$Y$18,$J$63:$Y$63,J63)</f>
        <v>2747239.1406659088</v>
      </c>
      <c r="K129" s="89">
        <f t="shared" si="144"/>
        <v>21030.900034799688</v>
      </c>
      <c r="L129" s="89">
        <f t="shared" si="144"/>
        <v>2747239.1406659088</v>
      </c>
      <c r="M129" s="89">
        <f t="shared" si="144"/>
        <v>21030.900034799688</v>
      </c>
      <c r="N129" s="89">
        <f t="shared" si="144"/>
        <v>21030.900034799688</v>
      </c>
      <c r="O129" s="89">
        <f t="shared" si="144"/>
        <v>21030.900034799688</v>
      </c>
      <c r="P129" s="89">
        <f t="shared" si="144"/>
        <v>21030.900034799688</v>
      </c>
      <c r="Q129" s="89">
        <f t="shared" si="144"/>
        <v>21030.900034799688</v>
      </c>
      <c r="R129" s="89">
        <f t="shared" si="144"/>
        <v>21030.900034799688</v>
      </c>
      <c r="S129" s="89">
        <f t="shared" si="144"/>
        <v>21030.900034799688</v>
      </c>
      <c r="T129" s="89">
        <f t="shared" si="144"/>
        <v>21030.900034799688</v>
      </c>
      <c r="U129" s="89">
        <f t="shared" si="144"/>
        <v>21030.900034799688</v>
      </c>
      <c r="V129" s="89">
        <f t="shared" si="144"/>
        <v>21030.900034799688</v>
      </c>
      <c r="W129" s="89">
        <f t="shared" si="144"/>
        <v>21030.900034799688</v>
      </c>
      <c r="X129" s="89">
        <f t="shared" si="144"/>
        <v>21030.900034799688</v>
      </c>
      <c r="Y129" s="89">
        <f t="shared" si="144"/>
        <v>21030.900034799688</v>
      </c>
    </row>
    <row r="130" spans="3:27" x14ac:dyDescent="0.3">
      <c r="D130"/>
      <c r="E130"/>
    </row>
    <row r="131" spans="3:27" x14ac:dyDescent="0.3">
      <c r="C131" s="88"/>
      <c r="E131" s="32" t="s">
        <v>623</v>
      </c>
      <c r="I131" t="s">
        <v>156</v>
      </c>
      <c r="J131" s="89"/>
      <c r="K131" s="89"/>
      <c r="L131" s="89"/>
      <c r="M131" s="89"/>
      <c r="N131" s="89"/>
      <c r="O131" s="89"/>
      <c r="P131" s="89"/>
      <c r="Q131" s="89"/>
      <c r="R131" s="89"/>
      <c r="S131" s="89"/>
      <c r="T131" s="89"/>
      <c r="U131" s="89"/>
      <c r="V131" s="89"/>
      <c r="W131" s="89"/>
      <c r="X131" s="89"/>
      <c r="Y131" s="89"/>
      <c r="AA131" t="s">
        <v>728</v>
      </c>
    </row>
    <row r="132" spans="3:27" x14ac:dyDescent="0.3">
      <c r="C132" s="88"/>
      <c r="E132" s="29"/>
      <c r="F132" s="23" t="s">
        <v>191</v>
      </c>
      <c r="G132" s="23" t="s">
        <v>272</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193</v>
      </c>
      <c r="G133" t="s">
        <v>272</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194</v>
      </c>
      <c r="G134" t="s">
        <v>272</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195</v>
      </c>
      <c r="G135" t="s">
        <v>272</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196</v>
      </c>
      <c r="G136" t="s">
        <v>272</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197</v>
      </c>
      <c r="G137" t="s">
        <v>272</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198</v>
      </c>
      <c r="G138" t="s">
        <v>272</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199</v>
      </c>
      <c r="G139" t="s">
        <v>272</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200</v>
      </c>
      <c r="G140" t="s">
        <v>272</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201</v>
      </c>
      <c r="G141" t="s">
        <v>272</v>
      </c>
      <c r="J141" s="98">
        <f t="shared" ref="J141:K141" si="208">IF(J$129 = 0, 0, J109 / J$129)</f>
        <v>0.14192506025933185</v>
      </c>
      <c r="K141" s="98">
        <f t="shared" si="208"/>
        <v>0</v>
      </c>
      <c r="L141" s="98">
        <f t="shared" ref="L141:M141" si="209">IF(L$129 = 0, 0, L109 / L$129)</f>
        <v>0.14192506025933185</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378</v>
      </c>
      <c r="G142" s="23" t="s">
        <v>272</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379</v>
      </c>
      <c r="G143" s="37" t="s">
        <v>272</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624</v>
      </c>
      <c r="J145" s="89"/>
      <c r="K145" s="89"/>
      <c r="L145" s="89"/>
      <c r="M145" s="89"/>
      <c r="N145" s="89"/>
      <c r="O145" s="89"/>
      <c r="P145" s="89"/>
      <c r="Q145" s="89"/>
      <c r="R145" s="89"/>
      <c r="S145" s="89"/>
      <c r="T145" s="89"/>
      <c r="U145" s="89"/>
      <c r="V145" s="89"/>
      <c r="W145" s="89"/>
      <c r="X145" s="89"/>
      <c r="Y145" s="89"/>
    </row>
    <row r="146" spans="3:27" x14ac:dyDescent="0.3">
      <c r="C146" s="88"/>
      <c r="F146" s="23" t="s">
        <v>191</v>
      </c>
      <c r="G146" s="23" t="s">
        <v>272</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193</v>
      </c>
      <c r="G147" t="s">
        <v>272</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194</v>
      </c>
      <c r="G148" t="s">
        <v>272</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195</v>
      </c>
      <c r="G149" t="s">
        <v>272</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196</v>
      </c>
      <c r="G150" t="s">
        <v>272</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197</v>
      </c>
      <c r="G151" t="s">
        <v>272</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198</v>
      </c>
      <c r="G152" t="s">
        <v>272</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199</v>
      </c>
      <c r="G153" t="s">
        <v>272</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200</v>
      </c>
      <c r="G154" t="s">
        <v>272</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201</v>
      </c>
      <c r="G155" t="s">
        <v>272</v>
      </c>
      <c r="J155" s="98">
        <f t="shared" ref="J155:K155" si="278">IF(J$129 = 0, 0, J123 / J$129)</f>
        <v>1.4844844852633519</v>
      </c>
      <c r="K155" s="98">
        <f t="shared" si="278"/>
        <v>0</v>
      </c>
      <c r="L155" s="98">
        <f t="shared" ref="L155:M155" si="279">IF(L$129 = 0, 0, L123 / L$129)</f>
        <v>1.4844844852633519</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378</v>
      </c>
      <c r="G156" s="23" t="s">
        <v>272</v>
      </c>
      <c r="H156" s="23"/>
      <c r="I156" s="23"/>
      <c r="J156" s="126">
        <f t="shared" ref="J156:K156" si="285">J55</f>
        <v>1.9490122798777203</v>
      </c>
      <c r="K156" s="126">
        <f t="shared" si="285"/>
        <v>0</v>
      </c>
      <c r="L156" s="126">
        <f t="shared" ref="L156:M156" si="286">L55</f>
        <v>5.7147696146236378</v>
      </c>
      <c r="M156" s="126">
        <f t="shared" si="286"/>
        <v>0</v>
      </c>
      <c r="N156" s="126">
        <f t="shared" ref="N156:P156" si="287">N55</f>
        <v>11.401752134048197</v>
      </c>
      <c r="O156" s="126">
        <f t="shared" si="287"/>
        <v>8.9002928158170995</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379</v>
      </c>
      <c r="G157" s="37" t="s">
        <v>272</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82.166040497508959</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51.423015267650172</v>
      </c>
      <c r="Y157" s="100">
        <f t="shared" si="298"/>
        <v>51.423015267650172</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161</v>
      </c>
      <c r="G161" t="s">
        <v>272</v>
      </c>
      <c r="J161" s="121">
        <f t="shared" ref="J161:K161" si="299">SUM(J132:J143,J146:J157)</f>
        <v>3.575421825400404</v>
      </c>
      <c r="K161" s="121">
        <f t="shared" si="299"/>
        <v>0</v>
      </c>
      <c r="L161" s="121">
        <f t="shared" ref="L161:M161" si="300">SUM(L132:L143,L146:L157)</f>
        <v>7.3411791601463214</v>
      </c>
      <c r="M161" s="121">
        <f t="shared" si="300"/>
        <v>0</v>
      </c>
      <c r="N161" s="121">
        <f t="shared" ref="N161:P161" si="301">SUM(N132:N143,N146:N157)</f>
        <v>11.401752134048197</v>
      </c>
      <c r="O161" s="121">
        <f t="shared" si="301"/>
        <v>8.9002928158170995</v>
      </c>
      <c r="P161" s="121">
        <f t="shared" si="301"/>
        <v>82.166040497508959</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51.423015267650172</v>
      </c>
      <c r="Y161" s="121">
        <f>SUM(Y132:Y143,Y146:Y157)</f>
        <v>51.423015267650172</v>
      </c>
    </row>
    <row r="163" spans="2:27" x14ac:dyDescent="0.3">
      <c r="B163" s="30" t="s">
        <v>233</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234</v>
      </c>
      <c r="G165" s="6" t="s">
        <v>57</v>
      </c>
      <c r="H165" s="103">
        <f t="array" ref="H165">SUM(IF(ISERROR(H18:Y161), 1))</f>
        <v>0</v>
      </c>
    </row>
    <row r="167" spans="2:27" x14ac:dyDescent="0.3">
      <c r="B167" s="30" t="s">
        <v>108</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144</v>
      </c>
      <c r="C5" s="60"/>
      <c r="D5" s="60"/>
      <c r="E5" s="60"/>
      <c r="F5" s="60"/>
      <c r="G5" s="61" t="s">
        <v>145</v>
      </c>
      <c r="H5" s="62" t="s">
        <v>146</v>
      </c>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A5" s="61" t="s">
        <v>147</v>
      </c>
    </row>
    <row r="7" spans="1:27"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868</v>
      </c>
      <c r="E9"/>
    </row>
    <row r="10" spans="1:27" x14ac:dyDescent="0.3">
      <c r="C10" s="29" t="s">
        <v>869</v>
      </c>
      <c r="E10"/>
    </row>
    <row r="12" spans="1:27" x14ac:dyDescent="0.3">
      <c r="B12" s="30" t="s">
        <v>870</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871</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214</v>
      </c>
      <c r="F18" s="32"/>
    </row>
    <row r="19" spans="3:27" x14ac:dyDescent="0.3">
      <c r="E19" s="29" t="s">
        <v>872</v>
      </c>
      <c r="F19" s="2"/>
    </row>
    <row r="20" spans="3:27" x14ac:dyDescent="0.3">
      <c r="C20" s="88"/>
      <c r="F20" s="23" t="s">
        <v>449</v>
      </c>
      <c r="G20" s="23" t="s">
        <v>214</v>
      </c>
      <c r="H20" s="278"/>
      <c r="I20" s="266"/>
      <c r="J20" s="278">
        <f>'Volume adjustments'!J202</f>
        <v>2477396.9025159678</v>
      </c>
      <c r="K20" s="278">
        <f>'Volume adjustments'!K202</f>
        <v>0</v>
      </c>
      <c r="L20" s="278">
        <f>'Volume adjustments'!L202</f>
        <v>186291.03531692261</v>
      </c>
      <c r="M20" s="278">
        <f>'Volume adjustments'!M202</f>
        <v>0</v>
      </c>
      <c r="N20" s="278">
        <f>'Volume adjustments'!N202</f>
        <v>15514.014585408988</v>
      </c>
      <c r="O20" s="278">
        <f>'Volume adjustments'!O202</f>
        <v>500.9989743581346</v>
      </c>
      <c r="P20" s="278">
        <f>'Volume adjustments'!P202</f>
        <v>3326.7593309307454</v>
      </c>
      <c r="Q20" s="278">
        <f>'Volume adjustments'!Q202</f>
        <v>37.113907471596569</v>
      </c>
      <c r="R20" s="278">
        <f>'Volume adjustments'!R202</f>
        <v>0</v>
      </c>
      <c r="S20" s="278">
        <f>'Volume adjustments'!S202</f>
        <v>0</v>
      </c>
      <c r="T20" s="278">
        <f>'Volume adjustments'!T202</f>
        <v>734.26186025829247</v>
      </c>
      <c r="U20" s="278">
        <f>'Volume adjustments'!U202</f>
        <v>0</v>
      </c>
      <c r="V20" s="278">
        <f>'Volume adjustments'!V202</f>
        <v>50.04201140862741</v>
      </c>
      <c r="W20" s="278">
        <f>'Volume adjustments'!W202</f>
        <v>0</v>
      </c>
      <c r="X20" s="278">
        <f>'Volume adjustments'!X202</f>
        <v>449.38337701268659</v>
      </c>
      <c r="Y20" s="278">
        <f>'Volume adjustments'!Y202</f>
        <v>0</v>
      </c>
      <c r="Z20" s="267"/>
      <c r="AA20" s="267"/>
    </row>
    <row r="21" spans="3:27" x14ac:dyDescent="0.3">
      <c r="C21" s="88"/>
      <c r="F21" t="s">
        <v>450</v>
      </c>
      <c r="G21" t="s">
        <v>214</v>
      </c>
      <c r="H21" s="279"/>
      <c r="I21" s="267"/>
      <c r="J21" s="279">
        <f>'Volume adjustments'!J211</f>
        <v>40851.844073726381</v>
      </c>
      <c r="K21" s="279">
        <f>'Volume adjustments'!K211</f>
        <v>0</v>
      </c>
      <c r="L21" s="279">
        <f>'Volume adjustments'!L211</f>
        <v>723.43659658699471</v>
      </c>
      <c r="M21" s="279">
        <f>'Volume adjustments'!M211</f>
        <v>0</v>
      </c>
      <c r="N21" s="279">
        <f>'Volume adjustments'!N211</f>
        <v>79.039206590627714</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451</v>
      </c>
      <c r="G22" t="s">
        <v>214</v>
      </c>
      <c r="H22" s="279"/>
      <c r="I22" s="267"/>
      <c r="J22" s="279">
        <f>'Volume adjustments'!J220</f>
        <v>95331.946746646136</v>
      </c>
      <c r="K22" s="279">
        <f>'Volume adjustments'!K220</f>
        <v>0</v>
      </c>
      <c r="L22" s="279">
        <f>'Volume adjustments'!L220</f>
        <v>2168.5875103676876</v>
      </c>
      <c r="M22" s="279">
        <f>'Volume adjustments'!M220</f>
        <v>0</v>
      </c>
      <c r="N22" s="279">
        <f>'Volume adjustments'!N220</f>
        <v>512.77381605803089</v>
      </c>
      <c r="O22" s="279">
        <f>'Volume adjustments'!O220</f>
        <v>37.728004466962517</v>
      </c>
      <c r="P22" s="279">
        <f>'Volume adjustments'!P220</f>
        <v>48.99272137877486</v>
      </c>
      <c r="Q22" s="279">
        <f>'Volume adjustments'!Q220</f>
        <v>0</v>
      </c>
      <c r="R22" s="279">
        <f>'Volume adjustments'!R220</f>
        <v>0</v>
      </c>
      <c r="S22" s="279">
        <f>'Volume adjustments'!S220</f>
        <v>0</v>
      </c>
      <c r="T22" s="279">
        <f>'Volume adjustments'!T220</f>
        <v>7.5227924811313303</v>
      </c>
      <c r="U22" s="279">
        <f>'Volume adjustments'!U220</f>
        <v>0</v>
      </c>
      <c r="V22" s="279">
        <f>'Volume adjustments'!V220</f>
        <v>0</v>
      </c>
      <c r="W22" s="279">
        <f>'Volume adjustments'!W220</f>
        <v>0</v>
      </c>
      <c r="X22" s="279">
        <f>'Volume adjustments'!X220</f>
        <v>0</v>
      </c>
      <c r="Y22" s="279">
        <f>'Volume adjustments'!Y220</f>
        <v>0</v>
      </c>
      <c r="Z22" s="267"/>
      <c r="AA22" s="267"/>
    </row>
    <row r="23" spans="3:27" x14ac:dyDescent="0.3">
      <c r="C23" s="88"/>
      <c r="F23" s="37" t="s">
        <v>873</v>
      </c>
      <c r="G23" s="37" t="s">
        <v>214</v>
      </c>
      <c r="H23" s="211"/>
      <c r="I23" s="37"/>
      <c r="J23" s="125">
        <f>'Inputs by customer type'!J161</f>
        <v>2361.5475338241781</v>
      </c>
      <c r="K23" s="125">
        <f>'Inputs by customer type'!K161</f>
        <v>0</v>
      </c>
      <c r="L23" s="125">
        <f>'Inputs by customer type'!L161</f>
        <v>530.14649059309181</v>
      </c>
      <c r="M23" s="125">
        <f>'Inputs by customer type'!M161</f>
        <v>0</v>
      </c>
      <c r="N23" s="125">
        <f>'Inputs by customer type'!N161</f>
        <v>12.646933872641654</v>
      </c>
      <c r="O23" s="125">
        <f>'Inputs by customer type'!O161</f>
        <v>0</v>
      </c>
      <c r="P23" s="125">
        <f>'Inputs by customer type'!P161</f>
        <v>7.7515485275609377</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874</v>
      </c>
      <c r="J25" s="89"/>
      <c r="K25" s="89"/>
      <c r="L25" s="89"/>
      <c r="M25" s="89"/>
      <c r="N25" s="89"/>
      <c r="O25" s="89"/>
      <c r="P25" s="89"/>
      <c r="Q25" s="89"/>
      <c r="R25" s="89"/>
      <c r="S25" s="89"/>
      <c r="T25" s="89"/>
      <c r="U25" s="89"/>
      <c r="V25" s="89"/>
      <c r="W25" s="89"/>
      <c r="X25" s="89"/>
      <c r="Y25" s="89"/>
    </row>
    <row r="26" spans="3:27" x14ac:dyDescent="0.3">
      <c r="C26" s="88"/>
      <c r="E26"/>
      <c r="F26" s="23" t="s">
        <v>875</v>
      </c>
      <c r="G26" s="23" t="s">
        <v>178</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876</v>
      </c>
      <c r="G27" s="37" t="s">
        <v>178</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877</v>
      </c>
      <c r="J29" s="89"/>
      <c r="K29" s="89"/>
      <c r="L29" s="89"/>
      <c r="M29" s="89"/>
      <c r="N29" s="89"/>
      <c r="O29" s="89"/>
      <c r="P29" s="89"/>
      <c r="Q29" s="89"/>
      <c r="R29" s="89"/>
      <c r="S29" s="89"/>
      <c r="T29" s="89"/>
      <c r="U29" s="89"/>
      <c r="V29" s="89"/>
      <c r="W29" s="89"/>
      <c r="X29" s="89"/>
      <c r="Y29" s="89"/>
    </row>
    <row r="30" spans="3:27" x14ac:dyDescent="0.3">
      <c r="C30" s="88"/>
      <c r="E30"/>
      <c r="F30" s="23" t="s">
        <v>875</v>
      </c>
      <c r="G30" s="23" t="s">
        <v>279</v>
      </c>
      <c r="H30" s="124">
        <f>'General inputs'!H53</f>
        <v>238531.2016104502</v>
      </c>
      <c r="J30" s="120"/>
      <c r="K30" s="120"/>
      <c r="L30" s="120"/>
      <c r="M30" s="120"/>
      <c r="N30" s="120"/>
      <c r="O30" s="120"/>
      <c r="P30" s="120"/>
      <c r="Q30" s="120"/>
      <c r="R30" s="120"/>
      <c r="S30" s="120"/>
      <c r="T30" s="120"/>
      <c r="U30" s="120"/>
      <c r="V30" s="120"/>
      <c r="W30" s="120"/>
      <c r="X30" s="120"/>
      <c r="Y30" s="120"/>
    </row>
    <row r="31" spans="3:27" x14ac:dyDescent="0.3">
      <c r="C31" s="88"/>
      <c r="E31"/>
      <c r="F31" s="37" t="s">
        <v>876</v>
      </c>
      <c r="G31" s="37" t="s">
        <v>279</v>
      </c>
      <c r="H31" s="125">
        <f>'General inputs'!H54</f>
        <v>425585.02675901755</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878</v>
      </c>
      <c r="J35" s="89"/>
      <c r="K35" s="89"/>
      <c r="L35" s="89"/>
      <c r="M35" s="89"/>
      <c r="N35" s="89"/>
      <c r="O35" s="89"/>
      <c r="P35" s="89"/>
      <c r="Q35" s="89"/>
      <c r="R35" s="89"/>
      <c r="S35" s="89"/>
      <c r="T35" s="89"/>
      <c r="U35" s="89"/>
      <c r="V35" s="89"/>
      <c r="W35" s="89"/>
      <c r="X35" s="89"/>
      <c r="Y35" s="89"/>
    </row>
    <row r="36" spans="3:27" x14ac:dyDescent="0.3">
      <c r="F36" s="23" t="s">
        <v>875</v>
      </c>
      <c r="G36" s="23" t="s">
        <v>214</v>
      </c>
      <c r="H36" s="23"/>
      <c r="I36" s="23"/>
      <c r="J36" s="158">
        <f>SUM( J$20:J$23 ) * J26</f>
        <v>2615942.2408701642</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876</v>
      </c>
      <c r="G37" s="37" t="s">
        <v>214</v>
      </c>
      <c r="H37" s="37"/>
      <c r="I37" s="37"/>
      <c r="J37" s="82">
        <f t="shared" ref="J37:Y37" si="1">SUM( J$20:J$23 ) * J27</f>
        <v>2615942.2408701642</v>
      </c>
      <c r="K37" s="82">
        <f t="shared" si="1"/>
        <v>0</v>
      </c>
      <c r="L37" s="82">
        <f t="shared" si="1"/>
        <v>189713.20591447037</v>
      </c>
      <c r="M37" s="82">
        <f t="shared" si="1"/>
        <v>0</v>
      </c>
      <c r="N37" s="82">
        <f t="shared" si="1"/>
        <v>16118.474541930287</v>
      </c>
      <c r="O37" s="82">
        <f t="shared" si="1"/>
        <v>538.72697882509715</v>
      </c>
      <c r="P37" s="82">
        <f t="shared" si="1"/>
        <v>3383.5036008370812</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879</v>
      </c>
      <c r="I39" t="s">
        <v>156</v>
      </c>
      <c r="J39" s="89"/>
      <c r="K39" s="89"/>
      <c r="L39" s="89"/>
      <c r="M39" s="89"/>
      <c r="N39" s="89"/>
      <c r="O39" s="89"/>
      <c r="P39" s="89"/>
      <c r="Q39" s="89"/>
      <c r="R39" s="89"/>
      <c r="S39" s="89"/>
      <c r="T39" s="89"/>
      <c r="U39" s="89"/>
      <c r="V39" s="89"/>
      <c r="W39" s="89"/>
      <c r="X39" s="89"/>
      <c r="Y39" s="89"/>
      <c r="AA39" t="s">
        <v>908</v>
      </c>
    </row>
    <row r="40" spans="3:27" x14ac:dyDescent="0.3">
      <c r="C40" s="88"/>
      <c r="E40"/>
      <c r="F40" s="23" t="s">
        <v>875</v>
      </c>
      <c r="G40" s="23" t="s">
        <v>272</v>
      </c>
      <c r="H40" s="322">
        <f>H30 / SUM( J36:Y36 ) * hundred / days_in_year</f>
        <v>2.4981826096477987E-2</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876</v>
      </c>
      <c r="G41" s="37" t="s">
        <v>272</v>
      </c>
      <c r="H41" s="323">
        <f>H31 / SUM( J37:Y37 ) * hundred / days_in_year</f>
        <v>4.1263685548627027E-2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880</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875</v>
      </c>
      <c r="G44" s="23" t="s">
        <v>272</v>
      </c>
      <c r="H44" s="322"/>
      <c r="I44" s="322"/>
      <c r="J44" s="322">
        <f>IF( J26 = 1, $H40, 0)</f>
        <v>2.4981826096477987E-2</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876</v>
      </c>
      <c r="G45" s="37" t="s">
        <v>272</v>
      </c>
      <c r="H45" s="323"/>
      <c r="I45" s="323"/>
      <c r="J45" s="323">
        <f t="shared" ref="J45:Y45" si="3">IF( J27 = 1, $H41, 0)</f>
        <v>4.1263685548627027E-2</v>
      </c>
      <c r="K45" s="323">
        <f t="shared" si="3"/>
        <v>0</v>
      </c>
      <c r="L45" s="323">
        <f t="shared" si="3"/>
        <v>4.1263685548627027E-2</v>
      </c>
      <c r="M45" s="323">
        <f t="shared" si="3"/>
        <v>0</v>
      </c>
      <c r="N45" s="323">
        <f t="shared" si="3"/>
        <v>4.1263685548627027E-2</v>
      </c>
      <c r="O45" s="323">
        <f t="shared" si="3"/>
        <v>4.1263685548627027E-2</v>
      </c>
      <c r="P45" s="323">
        <f t="shared" si="3"/>
        <v>4.1263685548627027E-2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547</v>
      </c>
      <c r="G46" s="108" t="s">
        <v>272</v>
      </c>
      <c r="H46" s="216"/>
      <c r="I46" s="216"/>
      <c r="J46" s="324">
        <f xml:space="preserve"> J44 + J45</f>
        <v>6.6245511645105018E-2</v>
      </c>
      <c r="K46" s="324">
        <f t="shared" ref="K46:Y46" si="4" xml:space="preserve"> K44 + K45</f>
        <v>0</v>
      </c>
      <c r="L46" s="324">
        <f t="shared" si="4"/>
        <v>4.1263685548627027E-2</v>
      </c>
      <c r="M46" s="324">
        <f t="shared" si="4"/>
        <v>0</v>
      </c>
      <c r="N46" s="324">
        <f t="shared" si="4"/>
        <v>4.1263685548627027E-2</v>
      </c>
      <c r="O46" s="324">
        <f t="shared" si="4"/>
        <v>4.1263685548627027E-2</v>
      </c>
      <c r="P46" s="324">
        <f t="shared" si="4"/>
        <v>4.1263685548627027E-2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881</v>
      </c>
      <c r="G50" s="6" t="s">
        <v>279</v>
      </c>
      <c r="H50" s="215"/>
      <c r="I50" s="14"/>
      <c r="J50" s="215">
        <f t="shared" ref="J50:Y50" si="5">J46 / hundred * days_in_year * SUM( J20:J22 )</f>
        <v>631953.66443379468</v>
      </c>
      <c r="K50" s="215">
        <f t="shared" si="5"/>
        <v>0</v>
      </c>
      <c r="L50" s="215">
        <f t="shared" si="5"/>
        <v>28493.32450445844</v>
      </c>
      <c r="M50" s="215">
        <f t="shared" si="5"/>
        <v>0</v>
      </c>
      <c r="N50" s="215">
        <f t="shared" si="5"/>
        <v>2425.7381916053955</v>
      </c>
      <c r="O50" s="215">
        <f t="shared" si="5"/>
        <v>81.138991375422407</v>
      </c>
      <c r="P50" s="215">
        <f t="shared" si="5"/>
        <v>508.43029479470823</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882</v>
      </c>
      <c r="G52" s="6" t="s">
        <v>279</v>
      </c>
      <c r="H52" s="199">
        <f>SUM( J50:Y50 )</f>
        <v>663462.29641602875</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883</v>
      </c>
      <c r="G54" s="6" t="s">
        <v>279</v>
      </c>
      <c r="H54" s="215"/>
      <c r="I54" s="14"/>
      <c r="J54" s="215">
        <f t="shared" ref="J54:Y54" si="6">J46 / hundred * days_in_year * J23</f>
        <v>571.01302498132793</v>
      </c>
      <c r="K54" s="215">
        <f t="shared" si="6"/>
        <v>0</v>
      </c>
      <c r="L54" s="215">
        <f t="shared" si="6"/>
        <v>79.846663001276468</v>
      </c>
      <c r="M54" s="215">
        <f t="shared" si="6"/>
        <v>0</v>
      </c>
      <c r="N54" s="215">
        <f t="shared" si="6"/>
        <v>1.9047857240336223</v>
      </c>
      <c r="O54" s="215">
        <f t="shared" si="6"/>
        <v>0</v>
      </c>
      <c r="P54" s="215">
        <f t="shared" si="6"/>
        <v>1.1674797324901205</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884</v>
      </c>
      <c r="G56" s="6" t="s">
        <v>279</v>
      </c>
      <c r="H56" s="199">
        <f>SUM( J54:Y54 )</f>
        <v>653.93195343912828</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233</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885</v>
      </c>
      <c r="G60" s="6" t="s">
        <v>279</v>
      </c>
      <c r="H60" s="215"/>
      <c r="I60" s="14"/>
      <c r="J60" s="215">
        <f xml:space="preserve"> J50 + J54</f>
        <v>632524.67745877604</v>
      </c>
      <c r="K60" s="215">
        <f t="shared" ref="K60:Y60" si="7" xml:space="preserve"> K50 + K54</f>
        <v>0</v>
      </c>
      <c r="L60" s="215">
        <f t="shared" si="7"/>
        <v>28573.171167459717</v>
      </c>
      <c r="M60" s="215">
        <f t="shared" si="7"/>
        <v>0</v>
      </c>
      <c r="N60" s="215">
        <f t="shared" si="7"/>
        <v>2427.642977329429</v>
      </c>
      <c r="O60" s="215">
        <f t="shared" si="7"/>
        <v>81.138991375422407</v>
      </c>
      <c r="P60" s="215">
        <f t="shared" si="7"/>
        <v>509.59777452719834</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886</v>
      </c>
      <c r="G62" s="6" t="s">
        <v>279</v>
      </c>
      <c r="H62" s="89">
        <f>SUM( J60:Y60 )</f>
        <v>664116.22836946778</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887</v>
      </c>
      <c r="G64" s="6" t="s">
        <v>57</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234</v>
      </c>
      <c r="G66" s="6" t="s">
        <v>57</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108</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0" t="s">
        <v>145</v>
      </c>
      <c r="H5" s="114" t="s">
        <v>146</v>
      </c>
      <c r="J5" s="114" t="s">
        <v>915</v>
      </c>
      <c r="K5" s="114" t="s">
        <v>833</v>
      </c>
      <c r="L5" s="114" t="s">
        <v>916</v>
      </c>
      <c r="M5" s="114" t="s">
        <v>917</v>
      </c>
      <c r="N5" s="114" t="s">
        <v>918</v>
      </c>
      <c r="O5" s="114" t="s">
        <v>919</v>
      </c>
      <c r="P5" s="114" t="s">
        <v>920</v>
      </c>
      <c r="Q5" s="114" t="s">
        <v>834</v>
      </c>
      <c r="R5" s="114" t="s">
        <v>921</v>
      </c>
      <c r="S5" s="114" t="s">
        <v>922</v>
      </c>
      <c r="T5" s="114" t="s">
        <v>923</v>
      </c>
      <c r="U5" s="114" t="s">
        <v>924</v>
      </c>
      <c r="V5" s="114" t="s">
        <v>925</v>
      </c>
      <c r="W5" s="114" t="s">
        <v>926</v>
      </c>
      <c r="X5" s="114" t="s">
        <v>927</v>
      </c>
      <c r="Y5" s="114" t="s">
        <v>928</v>
      </c>
      <c r="Z5" s="114" t="s">
        <v>929</v>
      </c>
      <c r="AA5" s="114" t="s">
        <v>930</v>
      </c>
      <c r="AB5" s="114" t="s">
        <v>931</v>
      </c>
      <c r="AC5" s="114" t="s">
        <v>932</v>
      </c>
      <c r="AD5" s="114" t="s">
        <v>933</v>
      </c>
      <c r="AE5" s="114" t="s">
        <v>934</v>
      </c>
      <c r="AF5" s="114" t="s">
        <v>935</v>
      </c>
      <c r="AG5" s="114" t="s">
        <v>843</v>
      </c>
      <c r="AH5" s="114" t="s">
        <v>835</v>
      </c>
      <c r="AI5" s="114" t="s">
        <v>836</v>
      </c>
      <c r="AJ5" s="114" t="s">
        <v>837</v>
      </c>
      <c r="AK5" s="114" t="s">
        <v>846</v>
      </c>
      <c r="AL5" s="114" t="s">
        <v>838</v>
      </c>
      <c r="AM5" s="114" t="s">
        <v>845</v>
      </c>
      <c r="AN5" s="114" t="s">
        <v>839</v>
      </c>
      <c r="AO5" s="114" t="s">
        <v>844</v>
      </c>
      <c r="AQ5" s="61" t="s">
        <v>147</v>
      </c>
    </row>
    <row r="6" spans="1:43" x14ac:dyDescent="0.3">
      <c r="C6" s="88"/>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732</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733</v>
      </c>
      <c r="E10"/>
    </row>
    <row r="11" spans="1:43" x14ac:dyDescent="0.3">
      <c r="D11" s="29" t="s">
        <v>734</v>
      </c>
    </row>
    <row r="13" spans="1:43" x14ac:dyDescent="0.3">
      <c r="B13" s="30" t="s">
        <v>735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1035</v>
      </c>
      <c r="F17" s="2"/>
    </row>
    <row r="18" spans="1:43" x14ac:dyDescent="0.3">
      <c r="D18" s="88"/>
      <c r="F18" s="2"/>
    </row>
    <row r="19" spans="1:43" ht="43.2" x14ac:dyDescent="0.3">
      <c r="D19"/>
      <c r="E19" s="32" t="s">
        <v>736</v>
      </c>
      <c r="F19" s="32"/>
      <c r="J19" s="236" t="s">
        <v>831</v>
      </c>
      <c r="K19" s="236" t="s">
        <v>833</v>
      </c>
      <c r="L19" s="236" t="s">
        <v>832</v>
      </c>
      <c r="M19" s="236" t="s">
        <v>834</v>
      </c>
      <c r="N19" s="236" t="s">
        <v>840</v>
      </c>
      <c r="O19" s="236" t="s">
        <v>841</v>
      </c>
      <c r="P19" s="236" t="s">
        <v>842</v>
      </c>
      <c r="Q19" s="236" t="s">
        <v>843</v>
      </c>
      <c r="R19" s="236" t="s">
        <v>835</v>
      </c>
      <c r="S19" s="236" t="s">
        <v>836</v>
      </c>
      <c r="T19" s="236" t="s">
        <v>837</v>
      </c>
      <c r="U19" s="236" t="s">
        <v>846</v>
      </c>
      <c r="V19" s="236" t="s">
        <v>838</v>
      </c>
      <c r="W19" s="236" t="s">
        <v>845</v>
      </c>
      <c r="X19" s="236" t="s">
        <v>839</v>
      </c>
      <c r="Y19" s="236" t="s">
        <v>844</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158</v>
      </c>
      <c r="G20" s="23" t="s">
        <v>271</v>
      </c>
      <c r="H20" s="266"/>
      <c r="I20" s="266"/>
      <c r="J20" s="278">
        <f>'Unit rate charges'!J217</f>
        <v>6.8031184945698344</v>
      </c>
      <c r="K20" s="278">
        <f>'Unit rate charges'!K217</f>
        <v>6.8031184945698344</v>
      </c>
      <c r="L20" s="278">
        <f>'Unit rate charges'!L217</f>
        <v>5.950137818851168</v>
      </c>
      <c r="M20" s="278">
        <f>'Unit rate charges'!M217</f>
        <v>5.950137818851168</v>
      </c>
      <c r="N20" s="278">
        <f>'Unit rate charges'!N217</f>
        <v>4.3014561753217393</v>
      </c>
      <c r="O20" s="278">
        <f>'Unit rate charges'!O217</f>
        <v>2.9643341955680929</v>
      </c>
      <c r="P20" s="278">
        <f>'Unit rate charges'!P217</f>
        <v>1.7784199069160906</v>
      </c>
      <c r="Q20" s="278">
        <f>'Unit rate charges'!Q217</f>
        <v>19.584165953502431</v>
      </c>
      <c r="R20" s="278">
        <f>'Unit rate charges'!R217</f>
        <v>-4.1547510698665358</v>
      </c>
      <c r="S20" s="278">
        <f>'Unit rate charges'!S217</f>
        <v>-3.651777976005032</v>
      </c>
      <c r="T20" s="278">
        <f>'Unit rate charges'!T217</f>
        <v>-4.1547510698665358</v>
      </c>
      <c r="U20" s="278">
        <f>'Unit rate charges'!U217</f>
        <v>-4.1547510698665358</v>
      </c>
      <c r="V20" s="278">
        <f>'Unit rate charges'!V217</f>
        <v>-3.651777976005032</v>
      </c>
      <c r="W20" s="278">
        <f>'Unit rate charges'!W217</f>
        <v>-3.651777976005032</v>
      </c>
      <c r="X20" s="278">
        <f>'Unit rate charges'!X217</f>
        <v>-2.3894293200408447</v>
      </c>
      <c r="Y20" s="278">
        <f>'Unit rate charges'!Y217</f>
        <v>-2.3894293200408447</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159</v>
      </c>
      <c r="G21" t="s">
        <v>271</v>
      </c>
      <c r="H21" s="267"/>
      <c r="I21" s="267"/>
      <c r="J21" s="342">
        <f>'Unit rate charges'!J218</f>
        <v>1.2089336063668195</v>
      </c>
      <c r="K21" s="342">
        <f>'Unit rate charges'!K218</f>
        <v>1.2089336063668195</v>
      </c>
      <c r="L21" s="342">
        <f>'Unit rate charges'!L218</f>
        <v>1.0573565016492015</v>
      </c>
      <c r="M21" s="342">
        <f>'Unit rate charges'!M218</f>
        <v>1.0573565016492015</v>
      </c>
      <c r="N21" s="342">
        <f>'Unit rate charges'!N218</f>
        <v>0.73700946582715976</v>
      </c>
      <c r="O21" s="342">
        <f>'Unit rate charges'!O218</f>
        <v>0.46633886885364767</v>
      </c>
      <c r="P21" s="342">
        <f>'Unit rate charges'!P218</f>
        <v>0.23872608992625513</v>
      </c>
      <c r="Q21" s="342">
        <f>'Unit rate charges'!Q218</f>
        <v>1.9648005165270588</v>
      </c>
      <c r="R21" s="342">
        <f>'Unit rate charges'!R218</f>
        <v>-0.73831114340567561</v>
      </c>
      <c r="S21" s="342">
        <f>'Unit rate charges'!S218</f>
        <v>-0.63476438779794908</v>
      </c>
      <c r="T21" s="342">
        <f>'Unit rate charges'!T218</f>
        <v>-0.73831114340567561</v>
      </c>
      <c r="U21" s="342">
        <f>'Unit rate charges'!U218</f>
        <v>-0.73831114340567561</v>
      </c>
      <c r="V21" s="342">
        <f>'Unit rate charges'!V218</f>
        <v>-0.63476438779794908</v>
      </c>
      <c r="W21" s="342">
        <f>'Unit rate charges'!W218</f>
        <v>-0.63476438779794908</v>
      </c>
      <c r="X21" s="342">
        <f>'Unit rate charges'!X218</f>
        <v>-0.36745013544043381</v>
      </c>
      <c r="Y21" s="342">
        <f>'Unit rate charges'!Y218</f>
        <v>-0.36745013544043381</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160</v>
      </c>
      <c r="G22" t="s">
        <v>271</v>
      </c>
      <c r="H22" s="267"/>
      <c r="I22" s="267"/>
      <c r="J22" s="342">
        <f>'Unit rate charges'!J219</f>
        <v>8.8763059232267655E-2</v>
      </c>
      <c r="K22" s="342">
        <f>'Unit rate charges'!K219</f>
        <v>8.8763059232267655E-2</v>
      </c>
      <c r="L22" s="342">
        <f>'Unit rate charges'!L219</f>
        <v>7.7633872771201456E-2</v>
      </c>
      <c r="M22" s="342">
        <f>'Unit rate charges'!M219</f>
        <v>7.7633872771201456E-2</v>
      </c>
      <c r="N22" s="342">
        <f>'Unit rate charges'!N219</f>
        <v>5.3701908503823358E-2</v>
      </c>
      <c r="O22" s="342">
        <f>'Unit rate charges'!O219</f>
        <v>3.3331848570263833E-2</v>
      </c>
      <c r="P22" s="342">
        <f>'Unit rate charges'!P219</f>
        <v>1.6340077606830157E-2</v>
      </c>
      <c r="Q22" s="342">
        <f>'Unit rate charges'!Q219</f>
        <v>0.89476108730022752</v>
      </c>
      <c r="R22" s="342">
        <f>'Unit rate charges'!R219</f>
        <v>-5.4208730246908546E-2</v>
      </c>
      <c r="S22" s="342">
        <f>'Unit rate charges'!S219</f>
        <v>-4.6393202831544231E-2</v>
      </c>
      <c r="T22" s="342">
        <f>'Unit rate charges'!T219</f>
        <v>-5.4208730246908546E-2</v>
      </c>
      <c r="U22" s="342">
        <f>'Unit rate charges'!U219</f>
        <v>-5.4208730246908546E-2</v>
      </c>
      <c r="V22" s="342">
        <f>'Unit rate charges'!V219</f>
        <v>-4.6393202831544231E-2</v>
      </c>
      <c r="W22" s="342">
        <f>'Unit rate charges'!W219</f>
        <v>-4.6393202831544231E-2</v>
      </c>
      <c r="X22" s="342">
        <f>'Unit rate charges'!X219</f>
        <v>-2.6115641118076221E-2</v>
      </c>
      <c r="Y22" s="342">
        <f>'Unit rate charges'!Y219</f>
        <v>-2.6115641118076221E-2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161</v>
      </c>
      <c r="G23" t="s">
        <v>272</v>
      </c>
      <c r="J23" s="124">
        <f>'Fixed charges'!J161</f>
        <v>3.575421825400404</v>
      </c>
      <c r="K23" s="124">
        <f>'Fixed charges'!K161</f>
        <v>0</v>
      </c>
      <c r="L23" s="124">
        <f>'Fixed charges'!L161</f>
        <v>7.3411791601463214</v>
      </c>
      <c r="M23" s="124">
        <f>'Fixed charges'!M161</f>
        <v>0</v>
      </c>
      <c r="N23" s="124">
        <f>'Fixed charges'!N161</f>
        <v>11.401752134048197</v>
      </c>
      <c r="O23" s="124">
        <f>'Fixed charges'!O161</f>
        <v>8.9002928158170995</v>
      </c>
      <c r="P23" s="124">
        <f>'Fixed charges'!P161</f>
        <v>82.166040497508959</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51.423015267650172</v>
      </c>
      <c r="Y23" s="124">
        <f>'Fixed charges'!Y161</f>
        <v>51.423015267650172</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162</v>
      </c>
      <c r="G24" t="s">
        <v>273</v>
      </c>
      <c r="J24" s="124">
        <f>'Capacity charges'!J256</f>
        <v>0</v>
      </c>
      <c r="K24" s="124">
        <f>'Capacity charges'!K256</f>
        <v>0</v>
      </c>
      <c r="L24" s="124">
        <f>'Capacity charges'!L256</f>
        <v>0</v>
      </c>
      <c r="M24" s="124">
        <f>'Capacity charges'!M256</f>
        <v>0</v>
      </c>
      <c r="N24" s="124">
        <f>'Capacity charges'!N256</f>
        <v>2.9075555200524899</v>
      </c>
      <c r="O24" s="124">
        <f>'Capacity charges'!O256</f>
        <v>3.5582115304996851</v>
      </c>
      <c r="P24" s="124">
        <f>'Capacity charges'!P256</f>
        <v>4.3179340585099677</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163</v>
      </c>
      <c r="G25" t="s">
        <v>273</v>
      </c>
      <c r="J25" s="125">
        <f>'Capacity charges'!J257</f>
        <v>0</v>
      </c>
      <c r="K25" s="125">
        <f>'Capacity charges'!K257</f>
        <v>0</v>
      </c>
      <c r="L25" s="125">
        <f>'Capacity charges'!L257</f>
        <v>0</v>
      </c>
      <c r="M25" s="125">
        <f>'Capacity charges'!M257</f>
        <v>0</v>
      </c>
      <c r="N25" s="125">
        <f>'Capacity charges'!N257</f>
        <v>5.7336183839854069</v>
      </c>
      <c r="O25" s="125">
        <f>'Capacity charges'!O257</f>
        <v>5.3582865650740166</v>
      </c>
      <c r="P25" s="125">
        <f>'Capacity charges'!P257</f>
        <v>6.2347042934179937</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164</v>
      </c>
      <c r="G26" s="37" t="s">
        <v>274</v>
      </c>
      <c r="H26" s="269"/>
      <c r="I26" s="269"/>
      <c r="J26" s="283">
        <f>'Reactive power charges'!J250</f>
        <v>0</v>
      </c>
      <c r="K26" s="283">
        <f>'Reactive power charges'!K250</f>
        <v>0</v>
      </c>
      <c r="L26" s="283">
        <f>'Reactive power charges'!L250</f>
        <v>0</v>
      </c>
      <c r="M26" s="283">
        <f>'Reactive power charges'!M250</f>
        <v>0</v>
      </c>
      <c r="N26" s="283">
        <f>'Reactive power charges'!N250</f>
        <v>0.15568707537334198</v>
      </c>
      <c r="O26" s="283">
        <f>'Reactive power charges'!O250</f>
        <v>0.10900735503203039</v>
      </c>
      <c r="P26" s="283">
        <f>'Reactive power charges'!P250</f>
        <v>5.6025475483680934E-2</v>
      </c>
      <c r="Q26" s="283">
        <f>'Reactive power charges'!Q250</f>
        <v>0</v>
      </c>
      <c r="R26" s="283">
        <f>'Reactive power charges'!R250</f>
        <v>0</v>
      </c>
      <c r="S26" s="283">
        <f>'Reactive power charges'!S250</f>
        <v>0</v>
      </c>
      <c r="T26" s="283">
        <f>'Reactive power charges'!T250</f>
        <v>0.15535543202154206</v>
      </c>
      <c r="U26" s="283">
        <f>'Reactive power charges'!U250</f>
        <v>0</v>
      </c>
      <c r="V26" s="283">
        <f>'Reactive power charges'!V250</f>
        <v>0.13056045785664669</v>
      </c>
      <c r="W26" s="283">
        <f>'Reactive power charges'!W250</f>
        <v>0</v>
      </c>
      <c r="X26" s="283">
        <f>'Reactive power charges'!X250</f>
        <v>0.10463528367439673</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831</v>
      </c>
      <c r="K28" s="236" t="s">
        <v>833</v>
      </c>
      <c r="L28" s="236" t="s">
        <v>832</v>
      </c>
      <c r="M28" s="236" t="s">
        <v>834</v>
      </c>
      <c r="N28" s="236" t="s">
        <v>840</v>
      </c>
      <c r="O28" s="236" t="s">
        <v>841</v>
      </c>
      <c r="P28" s="236" t="s">
        <v>842</v>
      </c>
      <c r="Q28" s="236" t="s">
        <v>843</v>
      </c>
      <c r="R28" s="236" t="s">
        <v>835</v>
      </c>
      <c r="S28" s="236" t="s">
        <v>836</v>
      </c>
      <c r="T28" s="236" t="s">
        <v>837</v>
      </c>
      <c r="U28" s="236" t="s">
        <v>846</v>
      </c>
      <c r="V28" s="236" t="s">
        <v>838</v>
      </c>
      <c r="W28" s="236" t="s">
        <v>845</v>
      </c>
      <c r="X28" s="236" t="s">
        <v>839</v>
      </c>
      <c r="Y28" s="236" t="s">
        <v>844</v>
      </c>
      <c r="Z28" s="163"/>
      <c r="AA28" s="163"/>
      <c r="AB28" s="163"/>
      <c r="AC28" s="163"/>
      <c r="AD28" s="163"/>
      <c r="AE28" s="163"/>
      <c r="AF28" s="163"/>
      <c r="AG28" s="163"/>
      <c r="AH28" s="163"/>
      <c r="AI28" s="163"/>
      <c r="AJ28" s="163"/>
      <c r="AK28" s="163"/>
      <c r="AL28" s="163"/>
      <c r="AM28" s="163"/>
      <c r="AN28" s="163"/>
      <c r="AO28" s="163"/>
    </row>
    <row r="29" spans="1:43" x14ac:dyDescent="0.3">
      <c r="D29"/>
      <c r="E29" s="28" t="s">
        <v>879</v>
      </c>
      <c r="F29" s="333"/>
      <c r="G29" t="s">
        <v>272</v>
      </c>
      <c r="J29" s="339">
        <f>'SoLR &amp; bad debt adders'!J46</f>
        <v>6.6245511645105018E-2</v>
      </c>
      <c r="K29" s="339">
        <f>'SoLR &amp; bad debt adders'!K46</f>
        <v>0</v>
      </c>
      <c r="L29" s="339">
        <f>'SoLR &amp; bad debt adders'!L46</f>
        <v>4.1263685548627027E-2</v>
      </c>
      <c r="M29" s="339">
        <f>'SoLR &amp; bad debt adders'!M46</f>
        <v>0</v>
      </c>
      <c r="N29" s="339">
        <f>'SoLR &amp; bad debt adders'!N46</f>
        <v>4.1263685548627027E-2</v>
      </c>
      <c r="O29" s="339">
        <f>'SoLR &amp; bad debt adders'!O46</f>
        <v>4.1263685548627027E-2</v>
      </c>
      <c r="P29" s="339">
        <f>'SoLR &amp; bad debt adders'!P46</f>
        <v>4.1263685548627027E-2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937</v>
      </c>
      <c r="G32" s="23" t="s">
        <v>914</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949</v>
      </c>
      <c r="G33" s="311" t="s">
        <v>914</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950</v>
      </c>
      <c r="G34" s="311" t="s">
        <v>914</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947</v>
      </c>
      <c r="G35" s="311" t="s">
        <v>151</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946</v>
      </c>
      <c r="G36" s="311" t="s">
        <v>151</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948</v>
      </c>
      <c r="G37" s="37" t="s">
        <v>151</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736</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158</v>
      </c>
      <c r="G40" s="23" t="s">
        <v>271</v>
      </c>
      <c r="H40" s="266"/>
      <c r="I40" s="266"/>
      <c r="J40" s="274">
        <f t="shared" ref="J40:AO40" si="0">INDEX($J20:$Y20,J$37)</f>
        <v>6.8031184945698344</v>
      </c>
      <c r="K40" s="274">
        <f t="shared" si="0"/>
        <v>6.8031184945698344</v>
      </c>
      <c r="L40" s="274">
        <f t="shared" si="0"/>
        <v>5.950137818851168</v>
      </c>
      <c r="M40" s="274">
        <f t="shared" si="0"/>
        <v>5.950137818851168</v>
      </c>
      <c r="N40" s="274">
        <f t="shared" si="0"/>
        <v>5.950137818851168</v>
      </c>
      <c r="O40" s="274">
        <f t="shared" si="0"/>
        <v>5.950137818851168</v>
      </c>
      <c r="P40" s="274">
        <f t="shared" si="0"/>
        <v>5.950137818851168</v>
      </c>
      <c r="Q40" s="274">
        <f t="shared" si="0"/>
        <v>5.950137818851168</v>
      </c>
      <c r="R40" s="274">
        <f t="shared" si="0"/>
        <v>4.3014561753217393</v>
      </c>
      <c r="S40" s="274">
        <f t="shared" si="0"/>
        <v>4.3014561753217393</v>
      </c>
      <c r="T40" s="274">
        <f t="shared" si="0"/>
        <v>4.3014561753217393</v>
      </c>
      <c r="U40" s="274">
        <f t="shared" si="0"/>
        <v>4.3014561753217393</v>
      </c>
      <c r="V40" s="274">
        <f t="shared" si="0"/>
        <v>4.3014561753217393</v>
      </c>
      <c r="W40" s="274">
        <f t="shared" si="0"/>
        <v>2.9643341955680929</v>
      </c>
      <c r="X40" s="274">
        <f t="shared" si="0"/>
        <v>2.9643341955680929</v>
      </c>
      <c r="Y40" s="274">
        <f t="shared" si="0"/>
        <v>2.9643341955680929</v>
      </c>
      <c r="Z40" s="274">
        <f t="shared" si="0"/>
        <v>2.9643341955680929</v>
      </c>
      <c r="AA40" s="274">
        <f t="shared" si="0"/>
        <v>2.9643341955680929</v>
      </c>
      <c r="AB40" s="274">
        <f t="shared" si="0"/>
        <v>1.7784199069160906</v>
      </c>
      <c r="AC40" s="274">
        <f t="shared" si="0"/>
        <v>1.7784199069160906</v>
      </c>
      <c r="AD40" s="274">
        <f t="shared" si="0"/>
        <v>1.7784199069160906</v>
      </c>
      <c r="AE40" s="274">
        <f t="shared" si="0"/>
        <v>1.7784199069160906</v>
      </c>
      <c r="AF40" s="274">
        <f t="shared" si="0"/>
        <v>1.7784199069160906</v>
      </c>
      <c r="AG40" s="274">
        <f t="shared" si="0"/>
        <v>19.584165953502431</v>
      </c>
      <c r="AH40" s="274">
        <f t="shared" si="0"/>
        <v>-4.1547510698665358</v>
      </c>
      <c r="AI40" s="274">
        <f t="shared" si="0"/>
        <v>-3.651777976005032</v>
      </c>
      <c r="AJ40" s="274">
        <f t="shared" si="0"/>
        <v>-4.1547510698665358</v>
      </c>
      <c r="AK40" s="274">
        <f t="shared" si="0"/>
        <v>-4.1547510698665358</v>
      </c>
      <c r="AL40" s="274">
        <f t="shared" si="0"/>
        <v>-3.651777976005032</v>
      </c>
      <c r="AM40" s="274">
        <f t="shared" si="0"/>
        <v>-3.651777976005032</v>
      </c>
      <c r="AN40" s="274">
        <f t="shared" si="0"/>
        <v>-2.3894293200408447</v>
      </c>
      <c r="AO40" s="274">
        <f t="shared" si="0"/>
        <v>-2.3894293200408447</v>
      </c>
      <c r="AP40" s="267"/>
      <c r="AQ40" s="267"/>
    </row>
    <row r="41" spans="1:43" x14ac:dyDescent="0.3">
      <c r="D41"/>
      <c r="E41" s="88"/>
      <c r="F41" t="s">
        <v>159</v>
      </c>
      <c r="G41" t="s">
        <v>271</v>
      </c>
      <c r="H41" s="267"/>
      <c r="I41" s="267"/>
      <c r="J41" s="275">
        <f t="shared" ref="J41:AO41" si="1">INDEX($J21:$Y21,J$37)</f>
        <v>1.2089336063668195</v>
      </c>
      <c r="K41" s="275">
        <f t="shared" si="1"/>
        <v>1.2089336063668195</v>
      </c>
      <c r="L41" s="275">
        <f t="shared" si="1"/>
        <v>1.0573565016492015</v>
      </c>
      <c r="M41" s="275">
        <f t="shared" si="1"/>
        <v>1.0573565016492015</v>
      </c>
      <c r="N41" s="275">
        <f t="shared" si="1"/>
        <v>1.0573565016492015</v>
      </c>
      <c r="O41" s="275">
        <f t="shared" si="1"/>
        <v>1.0573565016492015</v>
      </c>
      <c r="P41" s="275">
        <f t="shared" si="1"/>
        <v>1.0573565016492015</v>
      </c>
      <c r="Q41" s="275">
        <f t="shared" si="1"/>
        <v>1.0573565016492015</v>
      </c>
      <c r="R41" s="275">
        <f t="shared" si="1"/>
        <v>0.73700946582715976</v>
      </c>
      <c r="S41" s="275">
        <f t="shared" si="1"/>
        <v>0.73700946582715976</v>
      </c>
      <c r="T41" s="275">
        <f t="shared" si="1"/>
        <v>0.73700946582715976</v>
      </c>
      <c r="U41" s="275">
        <f t="shared" si="1"/>
        <v>0.73700946582715976</v>
      </c>
      <c r="V41" s="275">
        <f t="shared" si="1"/>
        <v>0.73700946582715976</v>
      </c>
      <c r="W41" s="275">
        <f t="shared" si="1"/>
        <v>0.46633886885364767</v>
      </c>
      <c r="X41" s="275">
        <f t="shared" si="1"/>
        <v>0.46633886885364767</v>
      </c>
      <c r="Y41" s="275">
        <f t="shared" si="1"/>
        <v>0.46633886885364767</v>
      </c>
      <c r="Z41" s="275">
        <f t="shared" si="1"/>
        <v>0.46633886885364767</v>
      </c>
      <c r="AA41" s="275">
        <f t="shared" si="1"/>
        <v>0.46633886885364767</v>
      </c>
      <c r="AB41" s="275">
        <f t="shared" si="1"/>
        <v>0.23872608992625513</v>
      </c>
      <c r="AC41" s="275">
        <f t="shared" si="1"/>
        <v>0.23872608992625513</v>
      </c>
      <c r="AD41" s="275">
        <f t="shared" si="1"/>
        <v>0.23872608992625513</v>
      </c>
      <c r="AE41" s="275">
        <f t="shared" si="1"/>
        <v>0.23872608992625513</v>
      </c>
      <c r="AF41" s="275">
        <f t="shared" si="1"/>
        <v>0.23872608992625513</v>
      </c>
      <c r="AG41" s="275">
        <f t="shared" si="1"/>
        <v>1.9648005165270588</v>
      </c>
      <c r="AH41" s="275">
        <f t="shared" si="1"/>
        <v>-0.73831114340567561</v>
      </c>
      <c r="AI41" s="275">
        <f t="shared" si="1"/>
        <v>-0.63476438779794908</v>
      </c>
      <c r="AJ41" s="275">
        <f t="shared" si="1"/>
        <v>-0.73831114340567561</v>
      </c>
      <c r="AK41" s="275">
        <f t="shared" si="1"/>
        <v>-0.73831114340567561</v>
      </c>
      <c r="AL41" s="275">
        <f t="shared" si="1"/>
        <v>-0.63476438779794908</v>
      </c>
      <c r="AM41" s="275">
        <f t="shared" si="1"/>
        <v>-0.63476438779794908</v>
      </c>
      <c r="AN41" s="275">
        <f t="shared" si="1"/>
        <v>-0.36745013544043381</v>
      </c>
      <c r="AO41" s="275">
        <f t="shared" si="1"/>
        <v>-0.36745013544043381</v>
      </c>
      <c r="AP41" s="267"/>
      <c r="AQ41" s="267"/>
    </row>
    <row r="42" spans="1:43" x14ac:dyDescent="0.3">
      <c r="D42"/>
      <c r="E42" s="88"/>
      <c r="F42" t="s">
        <v>160</v>
      </c>
      <c r="G42" t="s">
        <v>271</v>
      </c>
      <c r="H42" s="267"/>
      <c r="I42" s="267"/>
      <c r="J42" s="275">
        <f t="shared" ref="J42:AO42" si="2">INDEX($J22:$Y22,J$37)</f>
        <v>8.8763059232267655E-2</v>
      </c>
      <c r="K42" s="275">
        <f t="shared" si="2"/>
        <v>8.8763059232267655E-2</v>
      </c>
      <c r="L42" s="275">
        <f t="shared" si="2"/>
        <v>7.7633872771201456E-2</v>
      </c>
      <c r="M42" s="275">
        <f t="shared" si="2"/>
        <v>7.7633872771201456E-2</v>
      </c>
      <c r="N42" s="275">
        <f t="shared" si="2"/>
        <v>7.7633872771201456E-2</v>
      </c>
      <c r="O42" s="275">
        <f t="shared" si="2"/>
        <v>7.7633872771201456E-2</v>
      </c>
      <c r="P42" s="275">
        <f t="shared" si="2"/>
        <v>7.7633872771201456E-2</v>
      </c>
      <c r="Q42" s="275">
        <f t="shared" si="2"/>
        <v>7.7633872771201456E-2</v>
      </c>
      <c r="R42" s="275">
        <f t="shared" si="2"/>
        <v>5.3701908503823358E-2</v>
      </c>
      <c r="S42" s="275">
        <f t="shared" si="2"/>
        <v>5.3701908503823358E-2</v>
      </c>
      <c r="T42" s="275">
        <f t="shared" si="2"/>
        <v>5.3701908503823358E-2</v>
      </c>
      <c r="U42" s="275">
        <f t="shared" si="2"/>
        <v>5.3701908503823358E-2</v>
      </c>
      <c r="V42" s="275">
        <f t="shared" si="2"/>
        <v>5.3701908503823358E-2</v>
      </c>
      <c r="W42" s="275">
        <f t="shared" si="2"/>
        <v>3.3331848570263833E-2</v>
      </c>
      <c r="X42" s="275">
        <f t="shared" si="2"/>
        <v>3.3331848570263833E-2</v>
      </c>
      <c r="Y42" s="275">
        <f t="shared" si="2"/>
        <v>3.3331848570263833E-2</v>
      </c>
      <c r="Z42" s="275">
        <f t="shared" si="2"/>
        <v>3.3331848570263833E-2</v>
      </c>
      <c r="AA42" s="275">
        <f t="shared" si="2"/>
        <v>3.3331848570263833E-2</v>
      </c>
      <c r="AB42" s="275">
        <f t="shared" si="2"/>
        <v>1.6340077606830157E-2</v>
      </c>
      <c r="AC42" s="275">
        <f t="shared" si="2"/>
        <v>1.6340077606830157E-2</v>
      </c>
      <c r="AD42" s="275">
        <f t="shared" si="2"/>
        <v>1.6340077606830157E-2</v>
      </c>
      <c r="AE42" s="275">
        <f t="shared" si="2"/>
        <v>1.6340077606830157E-2</v>
      </c>
      <c r="AF42" s="275">
        <f t="shared" si="2"/>
        <v>1.6340077606830157E-2</v>
      </c>
      <c r="AG42" s="275">
        <f t="shared" si="2"/>
        <v>0.89476108730022752</v>
      </c>
      <c r="AH42" s="275">
        <f t="shared" si="2"/>
        <v>-5.4208730246908546E-2</v>
      </c>
      <c r="AI42" s="275">
        <f t="shared" si="2"/>
        <v>-4.6393202831544231E-2</v>
      </c>
      <c r="AJ42" s="275">
        <f t="shared" si="2"/>
        <v>-5.4208730246908546E-2</v>
      </c>
      <c r="AK42" s="275">
        <f t="shared" si="2"/>
        <v>-5.4208730246908546E-2</v>
      </c>
      <c r="AL42" s="275">
        <f t="shared" si="2"/>
        <v>-4.6393202831544231E-2</v>
      </c>
      <c r="AM42" s="275">
        <f t="shared" si="2"/>
        <v>-4.6393202831544231E-2</v>
      </c>
      <c r="AN42" s="275">
        <f t="shared" si="2"/>
        <v>-2.6115641118076221E-2</v>
      </c>
      <c r="AO42" s="275">
        <f t="shared" si="2"/>
        <v>-2.6115641118076221E-2</v>
      </c>
      <c r="AP42" s="267"/>
      <c r="AQ42" s="267"/>
    </row>
    <row r="43" spans="1:43" x14ac:dyDescent="0.3">
      <c r="D43"/>
      <c r="E43" s="88"/>
      <c r="F43" t="s">
        <v>161</v>
      </c>
      <c r="G43" t="s">
        <v>272</v>
      </c>
      <c r="J43" s="199">
        <f t="shared" ref="J43:AO43" si="3">INDEX($J23:$Y23,J$37)</f>
        <v>3.575421825400404</v>
      </c>
      <c r="K43" s="199">
        <f t="shared" si="3"/>
        <v>0</v>
      </c>
      <c r="L43" s="199">
        <f t="shared" si="3"/>
        <v>7.3411791601463214</v>
      </c>
      <c r="M43" s="199">
        <f t="shared" si="3"/>
        <v>7.3411791601463214</v>
      </c>
      <c r="N43" s="199">
        <f t="shared" si="3"/>
        <v>7.3411791601463214</v>
      </c>
      <c r="O43" s="199">
        <f t="shared" si="3"/>
        <v>7.3411791601463214</v>
      </c>
      <c r="P43" s="199">
        <f t="shared" si="3"/>
        <v>7.3411791601463214</v>
      </c>
      <c r="Q43" s="199">
        <f t="shared" si="3"/>
        <v>0</v>
      </c>
      <c r="R43" s="199">
        <f t="shared" si="3"/>
        <v>11.401752134048197</v>
      </c>
      <c r="S43" s="199">
        <f t="shared" si="3"/>
        <v>11.401752134048197</v>
      </c>
      <c r="T43" s="199">
        <f t="shared" si="3"/>
        <v>11.401752134048197</v>
      </c>
      <c r="U43" s="199">
        <f t="shared" si="3"/>
        <v>11.401752134048197</v>
      </c>
      <c r="V43" s="199">
        <f t="shared" si="3"/>
        <v>11.401752134048197</v>
      </c>
      <c r="W43" s="199">
        <f t="shared" si="3"/>
        <v>8.9002928158170995</v>
      </c>
      <c r="X43" s="199">
        <f t="shared" si="3"/>
        <v>8.9002928158170995</v>
      </c>
      <c r="Y43" s="199">
        <f t="shared" si="3"/>
        <v>8.9002928158170995</v>
      </c>
      <c r="Z43" s="199">
        <f t="shared" si="3"/>
        <v>8.9002928158170995</v>
      </c>
      <c r="AA43" s="199">
        <f t="shared" si="3"/>
        <v>8.9002928158170995</v>
      </c>
      <c r="AB43" s="199">
        <f t="shared" si="3"/>
        <v>82.166040497508959</v>
      </c>
      <c r="AC43" s="199">
        <f t="shared" si="3"/>
        <v>82.166040497508959</v>
      </c>
      <c r="AD43" s="199">
        <f t="shared" si="3"/>
        <v>82.166040497508959</v>
      </c>
      <c r="AE43" s="199">
        <f t="shared" si="3"/>
        <v>82.166040497508959</v>
      </c>
      <c r="AF43" s="199">
        <f t="shared" si="3"/>
        <v>82.166040497508959</v>
      </c>
      <c r="AG43" s="199">
        <f t="shared" si="3"/>
        <v>0</v>
      </c>
      <c r="AH43" s="199">
        <f t="shared" si="3"/>
        <v>0</v>
      </c>
      <c r="AI43" s="199">
        <f t="shared" si="3"/>
        <v>0</v>
      </c>
      <c r="AJ43" s="199">
        <f t="shared" si="3"/>
        <v>0</v>
      </c>
      <c r="AK43" s="199">
        <f t="shared" si="3"/>
        <v>0</v>
      </c>
      <c r="AL43" s="199">
        <f t="shared" si="3"/>
        <v>0</v>
      </c>
      <c r="AM43" s="199">
        <f t="shared" si="3"/>
        <v>0</v>
      </c>
      <c r="AN43" s="199">
        <f t="shared" si="3"/>
        <v>51.423015267650172</v>
      </c>
      <c r="AO43" s="199">
        <f t="shared" si="3"/>
        <v>51.423015267650172</v>
      </c>
    </row>
    <row r="44" spans="1:43" x14ac:dyDescent="0.3">
      <c r="D44"/>
      <c r="E44" s="88"/>
      <c r="F44" t="s">
        <v>162</v>
      </c>
      <c r="G44" t="s">
        <v>273</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2.9075555200524899</v>
      </c>
      <c r="S44" s="199">
        <f t="shared" si="4"/>
        <v>2.9075555200524899</v>
      </c>
      <c r="T44" s="199">
        <f t="shared" si="4"/>
        <v>2.9075555200524899</v>
      </c>
      <c r="U44" s="199">
        <f t="shared" si="4"/>
        <v>2.9075555200524899</v>
      </c>
      <c r="V44" s="199">
        <f t="shared" si="4"/>
        <v>2.9075555200524899</v>
      </c>
      <c r="W44" s="199">
        <f t="shared" si="4"/>
        <v>3.5582115304996851</v>
      </c>
      <c r="X44" s="199">
        <f t="shared" si="4"/>
        <v>3.5582115304996851</v>
      </c>
      <c r="Y44" s="199">
        <f t="shared" si="4"/>
        <v>3.5582115304996851</v>
      </c>
      <c r="Z44" s="199">
        <f t="shared" si="4"/>
        <v>3.5582115304996851</v>
      </c>
      <c r="AA44" s="199">
        <f t="shared" si="4"/>
        <v>3.5582115304996851</v>
      </c>
      <c r="AB44" s="199">
        <f t="shared" si="4"/>
        <v>4.3179340585099677</v>
      </c>
      <c r="AC44" s="199">
        <f t="shared" si="4"/>
        <v>4.3179340585099677</v>
      </c>
      <c r="AD44" s="199">
        <f t="shared" si="4"/>
        <v>4.3179340585099677</v>
      </c>
      <c r="AE44" s="199">
        <f t="shared" si="4"/>
        <v>4.3179340585099677</v>
      </c>
      <c r="AF44" s="199">
        <f t="shared" si="4"/>
        <v>4.3179340585099677</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163</v>
      </c>
      <c r="G45" t="s">
        <v>273</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5.7336183839854069</v>
      </c>
      <c r="S45" s="199">
        <f t="shared" si="5"/>
        <v>5.7336183839854069</v>
      </c>
      <c r="T45" s="199">
        <f t="shared" si="5"/>
        <v>5.7336183839854069</v>
      </c>
      <c r="U45" s="199">
        <f t="shared" si="5"/>
        <v>5.7336183839854069</v>
      </c>
      <c r="V45" s="199">
        <f t="shared" si="5"/>
        <v>5.7336183839854069</v>
      </c>
      <c r="W45" s="199">
        <f t="shared" si="5"/>
        <v>5.3582865650740166</v>
      </c>
      <c r="X45" s="199">
        <f t="shared" si="5"/>
        <v>5.3582865650740166</v>
      </c>
      <c r="Y45" s="199">
        <f t="shared" si="5"/>
        <v>5.3582865650740166</v>
      </c>
      <c r="Z45" s="199">
        <f t="shared" si="5"/>
        <v>5.3582865650740166</v>
      </c>
      <c r="AA45" s="199">
        <f t="shared" si="5"/>
        <v>5.3582865650740166</v>
      </c>
      <c r="AB45" s="199">
        <f t="shared" si="5"/>
        <v>6.2347042934179937</v>
      </c>
      <c r="AC45" s="199">
        <f t="shared" si="5"/>
        <v>6.2347042934179937</v>
      </c>
      <c r="AD45" s="199">
        <f t="shared" si="5"/>
        <v>6.2347042934179937</v>
      </c>
      <c r="AE45" s="199">
        <f t="shared" si="5"/>
        <v>6.2347042934179937</v>
      </c>
      <c r="AF45" s="199">
        <f t="shared" si="5"/>
        <v>6.2347042934179937</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164</v>
      </c>
      <c r="G46" s="37" t="s">
        <v>274</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0.15568707537334198</v>
      </c>
      <c r="S46" s="276">
        <f t="shared" si="6"/>
        <v>0.15568707537334198</v>
      </c>
      <c r="T46" s="276">
        <f t="shared" si="6"/>
        <v>0.15568707537334198</v>
      </c>
      <c r="U46" s="276">
        <f t="shared" si="6"/>
        <v>0.15568707537334198</v>
      </c>
      <c r="V46" s="276">
        <f t="shared" si="6"/>
        <v>0.15568707537334198</v>
      </c>
      <c r="W46" s="276">
        <f t="shared" si="6"/>
        <v>0.10900735503203039</v>
      </c>
      <c r="X46" s="276">
        <f t="shared" si="6"/>
        <v>0.10900735503203039</v>
      </c>
      <c r="Y46" s="276">
        <f t="shared" si="6"/>
        <v>0.10900735503203039</v>
      </c>
      <c r="Z46" s="276">
        <f t="shared" si="6"/>
        <v>0.10900735503203039</v>
      </c>
      <c r="AA46" s="276">
        <f t="shared" si="6"/>
        <v>0.10900735503203039</v>
      </c>
      <c r="AB46" s="276">
        <f t="shared" si="6"/>
        <v>5.6025475483680934E-2</v>
      </c>
      <c r="AC46" s="276">
        <f t="shared" si="6"/>
        <v>5.6025475483680934E-2</v>
      </c>
      <c r="AD46" s="276">
        <f t="shared" si="6"/>
        <v>5.6025475483680934E-2</v>
      </c>
      <c r="AE46" s="276">
        <f t="shared" si="6"/>
        <v>5.6025475483680934E-2</v>
      </c>
      <c r="AF46" s="276">
        <f t="shared" si="6"/>
        <v>5.6025475483680934E-2</v>
      </c>
      <c r="AG46" s="276">
        <f t="shared" si="6"/>
        <v>0</v>
      </c>
      <c r="AH46" s="276">
        <f t="shared" si="6"/>
        <v>0</v>
      </c>
      <c r="AI46" s="276">
        <f t="shared" si="6"/>
        <v>0</v>
      </c>
      <c r="AJ46" s="276">
        <f t="shared" si="6"/>
        <v>0.15535543202154206</v>
      </c>
      <c r="AK46" s="276">
        <f t="shared" si="6"/>
        <v>0</v>
      </c>
      <c r="AL46" s="276">
        <f t="shared" si="6"/>
        <v>0.13056045785664669</v>
      </c>
      <c r="AM46" s="276">
        <f t="shared" si="6"/>
        <v>0</v>
      </c>
      <c r="AN46" s="276">
        <f t="shared" si="6"/>
        <v>0.10463528367439673</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879</v>
      </c>
      <c r="F48" s="333"/>
      <c r="G48" t="s">
        <v>272</v>
      </c>
      <c r="J48" s="199">
        <f t="shared" ref="J48:AO48" si="7">INDEX($J29:$Y29,J$37)</f>
        <v>6.6245511645105018E-2</v>
      </c>
      <c r="K48" s="199">
        <f t="shared" si="7"/>
        <v>0</v>
      </c>
      <c r="L48" s="199">
        <f t="shared" si="7"/>
        <v>4.1263685548627027E-2</v>
      </c>
      <c r="M48" s="199">
        <f t="shared" si="7"/>
        <v>4.1263685548627027E-2</v>
      </c>
      <c r="N48" s="199">
        <f t="shared" si="7"/>
        <v>4.1263685548627027E-2</v>
      </c>
      <c r="O48" s="199">
        <f t="shared" si="7"/>
        <v>4.1263685548627027E-2</v>
      </c>
      <c r="P48" s="199">
        <f t="shared" si="7"/>
        <v>4.1263685548627027E-2</v>
      </c>
      <c r="Q48" s="199">
        <f t="shared" si="7"/>
        <v>0</v>
      </c>
      <c r="R48" s="199">
        <f t="shared" si="7"/>
        <v>4.1263685548627027E-2</v>
      </c>
      <c r="S48" s="199">
        <f t="shared" si="7"/>
        <v>4.1263685548627027E-2</v>
      </c>
      <c r="T48" s="199">
        <f t="shared" si="7"/>
        <v>4.1263685548627027E-2</v>
      </c>
      <c r="U48" s="199">
        <f t="shared" si="7"/>
        <v>4.1263685548627027E-2</v>
      </c>
      <c r="V48" s="199">
        <f t="shared" si="7"/>
        <v>4.1263685548627027E-2</v>
      </c>
      <c r="W48" s="199">
        <f t="shared" si="7"/>
        <v>4.1263685548627027E-2</v>
      </c>
      <c r="X48" s="199">
        <f t="shared" si="7"/>
        <v>4.1263685548627027E-2</v>
      </c>
      <c r="Y48" s="199">
        <f t="shared" si="7"/>
        <v>4.1263685548627027E-2</v>
      </c>
      <c r="Z48" s="199">
        <f t="shared" si="7"/>
        <v>4.1263685548627027E-2</v>
      </c>
      <c r="AA48" s="199">
        <f t="shared" si="7"/>
        <v>4.1263685548627027E-2</v>
      </c>
      <c r="AB48" s="199">
        <f t="shared" si="7"/>
        <v>4.1263685548627027E-2</v>
      </c>
      <c r="AC48" s="199">
        <f t="shared" si="7"/>
        <v>4.1263685548627027E-2</v>
      </c>
      <c r="AD48" s="199">
        <f t="shared" si="7"/>
        <v>4.1263685548627027E-2</v>
      </c>
      <c r="AE48" s="199">
        <f t="shared" si="7"/>
        <v>4.1263685548627027E-2</v>
      </c>
      <c r="AF48" s="199">
        <f t="shared" si="7"/>
        <v>4.1263685548627027E-2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737</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1041</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1037</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158</v>
      </c>
      <c r="G53" s="23" t="s">
        <v>209</v>
      </c>
      <c r="H53" s="325">
        <v>0</v>
      </c>
      <c r="I53" s="23"/>
      <c r="J53" s="193">
        <f>INDEX('Volume adjustments'!$J$481:$Y$521, J$36 + 1 + $H53*$H$59, J$37)</f>
        <v>996682.69564175408</v>
      </c>
      <c r="K53" s="193">
        <f>INDEX('Volume adjustments'!$J$481:$Y$521, K$36 + 1 + $H53*$H$59, K$37)</f>
        <v>907.55296879515561</v>
      </c>
      <c r="L53" s="193">
        <f>INDEX('Volume adjustments'!$J$481:$Y$521, L$36 + 1 + $H53*$H$59, L$37)</f>
        <v>0</v>
      </c>
      <c r="M53" s="193">
        <f>INDEX('Volume adjustments'!$J$481:$Y$521, M$36 + 1 + $H53*$H$59, M$37)</f>
        <v>10141.215842152091</v>
      </c>
      <c r="N53" s="193">
        <f>INDEX('Volume adjustments'!$J$481:$Y$521, N$36 + 1 + $H53*$H$59, N$37)</f>
        <v>46676.046507125699</v>
      </c>
      <c r="O53" s="193">
        <f>INDEX('Volume adjustments'!$J$481:$Y$521, O$36 + 1 + $H53*$H$59, O$37)</f>
        <v>57772.882042331315</v>
      </c>
      <c r="P53" s="193">
        <f>INDEX('Volume adjustments'!$J$481:$Y$521, P$36 + 1 + $H53*$H$59, P$37)</f>
        <v>204889.89810789539</v>
      </c>
      <c r="Q53" s="193">
        <f>INDEX('Volume adjustments'!$J$481:$Y$521, Q$36 + 1 + $H53*$H$59, Q$37)</f>
        <v>38.5327591755619</v>
      </c>
      <c r="R53" s="193">
        <f>INDEX('Volume adjustments'!$J$481:$Y$521, R$36 + 1 + $H53*$H$59, R$37)</f>
        <v>0</v>
      </c>
      <c r="S53" s="193">
        <f>INDEX('Volume adjustments'!$J$481:$Y$521, S$36 + 1 + $H53*$H$59, S$37)</f>
        <v>56646.953450539746</v>
      </c>
      <c r="T53" s="193">
        <f>INDEX('Volume adjustments'!$J$481:$Y$521, T$36 + 1 + $H53*$H$59, T$37)</f>
        <v>102671.76548146681</v>
      </c>
      <c r="U53" s="193">
        <f>INDEX('Volume adjustments'!$J$481:$Y$521, U$36 + 1 + $H53*$H$59, U$37)</f>
        <v>65353.107464037224</v>
      </c>
      <c r="V53" s="193">
        <f>INDEX('Volume adjustments'!$J$481:$Y$521, V$36 + 1 + $H53*$H$59, V$37)</f>
        <v>114001.03182468776</v>
      </c>
      <c r="W53" s="193">
        <f>INDEX('Volume adjustments'!$J$481:$Y$521, W$36 + 1 + $H53*$H$59, W$37)</f>
        <v>0</v>
      </c>
      <c r="X53" s="193">
        <f>INDEX('Volume adjustments'!$J$481:$Y$521, X$36 + 1 + $H53*$H$59, X$37)</f>
        <v>418.66636199825882</v>
      </c>
      <c r="Y53" s="193">
        <f>INDEX('Volume adjustments'!$J$481:$Y$521, Y$36 + 1 + $H53*$H$59, Y$37)</f>
        <v>827.41727713649141</v>
      </c>
      <c r="Z53" s="193">
        <f>INDEX('Volume adjustments'!$J$481:$Y$521, Z$36 + 1 + $H53*$H$59, Z$37)</f>
        <v>1751.4242344177856</v>
      </c>
      <c r="AA53" s="193">
        <f>INDEX('Volume adjustments'!$J$481:$Y$521, AA$36 + 1 + $H53*$H$59, AA$37)</f>
        <v>25171.354275480015</v>
      </c>
      <c r="AB53" s="193">
        <f>INDEX('Volume adjustments'!$J$481:$Y$521, AB$36 + 1 + $H53*$H$59, AB$37)</f>
        <v>0</v>
      </c>
      <c r="AC53" s="193">
        <f>INDEX('Volume adjustments'!$J$481:$Y$521, AC$36 + 1 + $H53*$H$59, AC$37)</f>
        <v>64616.402471241767</v>
      </c>
      <c r="AD53" s="193">
        <f>INDEX('Volume adjustments'!$J$481:$Y$521, AD$36 + 1 + $H53*$H$59, AD$37)</f>
        <v>158051.36847479813</v>
      </c>
      <c r="AE53" s="193">
        <f>INDEX('Volume adjustments'!$J$481:$Y$521, AE$36 + 1 + $H53*$H$59, AE$37)</f>
        <v>111899.88163019577</v>
      </c>
      <c r="AF53" s="193">
        <f>INDEX('Volume adjustments'!$J$481:$Y$521, AF$36 + 1 + $H53*$H$59, AF$37)</f>
        <v>337596.0197871807</v>
      </c>
      <c r="AG53" s="193">
        <f>INDEX('Volume adjustments'!$J$481:$Y$521, AG$36 + 1 + $H53*$H$59, AG$37)</f>
        <v>8816.224920714214</v>
      </c>
      <c r="AH53" s="193">
        <f>INDEX('Volume adjustments'!$J$481:$Y$521, AH$36 + 1 + $H53*$H$59, AH$37)</f>
        <v>70.204805753113575</v>
      </c>
      <c r="AI53" s="193">
        <f>INDEX('Volume adjustments'!$J$481:$Y$521, AI$36 + 1 + $H53*$H$59, AI$37)</f>
        <v>0</v>
      </c>
      <c r="AJ53" s="193">
        <f>INDEX('Volume adjustments'!$J$481:$Y$521, AJ$36 + 1 + $H53*$H$59, AJ$37)</f>
        <v>4784.6093633622941</v>
      </c>
      <c r="AK53" s="193">
        <f>INDEX('Volume adjustments'!$J$481:$Y$521, AK$36 + 1 + $H53*$H$59, AK$37)</f>
        <v>0</v>
      </c>
      <c r="AL53" s="193">
        <f>INDEX('Volume adjustments'!$J$481:$Y$521, AL$36 + 1 + $H53*$H$59, AL$37)</f>
        <v>643.59278860763663</v>
      </c>
      <c r="AM53" s="193">
        <f>INDEX('Volume adjustments'!$J$481:$Y$521, AM$36 + 1 + $H53*$H$59, AM$37)</f>
        <v>0</v>
      </c>
      <c r="AN53" s="193">
        <f>INDEX('Volume adjustments'!$J$481:$Y$521, AN$36 + 1 + $H53*$H$59, AN$37)</f>
        <v>278149.15352828434</v>
      </c>
      <c r="AO53" s="193">
        <f>INDEX('Volume adjustments'!$J$481:$Y$521, AO$36 + 1 + $H53*$H$59, AO$37)</f>
        <v>0</v>
      </c>
    </row>
    <row r="54" spans="4:41" x14ac:dyDescent="0.3">
      <c r="D54" s="88"/>
      <c r="F54" t="s">
        <v>159</v>
      </c>
      <c r="G54" t="s">
        <v>209</v>
      </c>
      <c r="H54" s="376">
        <v>1</v>
      </c>
      <c r="J54" s="339">
        <f>INDEX('Volume adjustments'!$J$481:$Y$521, J$36 + 1 + $H54*$H$59, J$37)</f>
        <v>2953123.9288298711</v>
      </c>
      <c r="K54" s="339">
        <f>INDEX('Volume adjustments'!$J$481:$Y$521, K$36 + 1 + $H54*$H$59, K$37)</f>
        <v>5824.4312721126043</v>
      </c>
      <c r="L54" s="339">
        <f>INDEX('Volume adjustments'!$J$481:$Y$521, L$36 + 1 + $H54*$H$59, L$37)</f>
        <v>0</v>
      </c>
      <c r="M54" s="339">
        <f>INDEX('Volume adjustments'!$J$481:$Y$521, M$36 + 1 + $H54*$H$59, M$37)</f>
        <v>41768.030679412033</v>
      </c>
      <c r="N54" s="339">
        <f>INDEX('Volume adjustments'!$J$481:$Y$521, N$36 + 1 + $H54*$H$59, N$37)</f>
        <v>192241.89415236498</v>
      </c>
      <c r="O54" s="339">
        <f>INDEX('Volume adjustments'!$J$481:$Y$521, O$36 + 1 + $H54*$H$59, O$37)</f>
        <v>237945.77959303799</v>
      </c>
      <c r="P54" s="339">
        <f>INDEX('Volume adjustments'!$J$481:$Y$521, P$36 + 1 + $H54*$H$59, P$37)</f>
        <v>843868.00195114466</v>
      </c>
      <c r="Q54" s="339">
        <f>INDEX('Volume adjustments'!$J$481:$Y$521, Q$36 + 1 + $H54*$H$59, Q$37)</f>
        <v>502.36485110192183</v>
      </c>
      <c r="R54" s="339">
        <f>INDEX('Volume adjustments'!$J$481:$Y$521, R$36 + 1 + $H54*$H$59, R$37)</f>
        <v>0</v>
      </c>
      <c r="S54" s="339">
        <f>INDEX('Volume adjustments'!$J$481:$Y$521, S$36 + 1 + $H54*$H$59, S$37)</f>
        <v>238687.02885950569</v>
      </c>
      <c r="T54" s="339">
        <f>INDEX('Volume adjustments'!$J$481:$Y$521, T$36 + 1 + $H54*$H$59, T$37)</f>
        <v>432616.71030426375</v>
      </c>
      <c r="U54" s="339">
        <f>INDEX('Volume adjustments'!$J$481:$Y$521, U$36 + 1 + $H54*$H$59, U$37)</f>
        <v>275371.19116117968</v>
      </c>
      <c r="V54" s="339">
        <f>INDEX('Volume adjustments'!$J$481:$Y$521, V$36 + 1 + $H54*$H$59, V$37)</f>
        <v>480353.5921293823</v>
      </c>
      <c r="W54" s="339">
        <f>INDEX('Volume adjustments'!$J$481:$Y$521, W$36 + 1 + $H54*$H$59, W$37)</f>
        <v>0</v>
      </c>
      <c r="X54" s="339">
        <f>INDEX('Volume adjustments'!$J$481:$Y$521, X$36 + 1 + $H54*$H$59, X$37)</f>
        <v>1625.5885044142794</v>
      </c>
      <c r="Y54" s="339">
        <f>INDEX('Volume adjustments'!$J$481:$Y$521, Y$36 + 1 + $H54*$H$59, Y$37)</f>
        <v>3212.677530736129</v>
      </c>
      <c r="Z54" s="339">
        <f>INDEX('Volume adjustments'!$J$481:$Y$521, Z$36 + 1 + $H54*$H$59, Z$37)</f>
        <v>6800.3913384232519</v>
      </c>
      <c r="AA54" s="339">
        <f>INDEX('Volume adjustments'!$J$481:$Y$521, AA$36 + 1 + $H54*$H$59, AA$37)</f>
        <v>97734.778489153396</v>
      </c>
      <c r="AB54" s="339">
        <f>INDEX('Volume adjustments'!$J$481:$Y$521, AB$36 + 1 + $H54*$H$59, AB$37)</f>
        <v>0</v>
      </c>
      <c r="AC54" s="339">
        <f>INDEX('Volume adjustments'!$J$481:$Y$521, AC$36 + 1 + $H54*$H$59, AC$37)</f>
        <v>246916.17539110262</v>
      </c>
      <c r="AD54" s="339">
        <f>INDEX('Volume adjustments'!$J$481:$Y$521, AD$36 + 1 + $H54*$H$59, AD$37)</f>
        <v>603955.62003774091</v>
      </c>
      <c r="AE54" s="339">
        <f>INDEX('Volume adjustments'!$J$481:$Y$521, AE$36 + 1 + $H54*$H$59, AE$37)</f>
        <v>427598.71707716974</v>
      </c>
      <c r="AF54" s="339">
        <f>INDEX('Volume adjustments'!$J$481:$Y$521, AF$36 + 1 + $H54*$H$59, AF$37)</f>
        <v>1290042.695741364</v>
      </c>
      <c r="AG54" s="339">
        <f>INDEX('Volume adjustments'!$J$481:$Y$521, AG$36 + 1 + $H54*$H$59, AG$37)</f>
        <v>49603.561201843237</v>
      </c>
      <c r="AH54" s="339">
        <f>INDEX('Volume adjustments'!$J$481:$Y$521, AH$36 + 1 + $H54*$H$59, AH$37)</f>
        <v>459.38403586007723</v>
      </c>
      <c r="AI54" s="339">
        <f>INDEX('Volume adjustments'!$J$481:$Y$521, AI$36 + 1 + $H54*$H$59, AI$37)</f>
        <v>0</v>
      </c>
      <c r="AJ54" s="339">
        <f>INDEX('Volume adjustments'!$J$481:$Y$521, AJ$36 + 1 + $H54*$H$59, AJ$37)</f>
        <v>23831.708677412124</v>
      </c>
      <c r="AK54" s="339">
        <f>INDEX('Volume adjustments'!$J$481:$Y$521, AK$36 + 1 + $H54*$H$59, AK$37)</f>
        <v>0</v>
      </c>
      <c r="AL54" s="339">
        <f>INDEX('Volume adjustments'!$J$481:$Y$521, AL$36 + 1 + $H54*$H$59, AL$37)</f>
        <v>2524.6060767726581</v>
      </c>
      <c r="AM54" s="339">
        <f>INDEX('Volume adjustments'!$J$481:$Y$521, AM$36 + 1 + $H54*$H$59, AM$37)</f>
        <v>0</v>
      </c>
      <c r="AN54" s="339">
        <f>INDEX('Volume adjustments'!$J$481:$Y$521, AN$36 + 1 + $H54*$H$59, AN$37)</f>
        <v>600091.23989919515</v>
      </c>
      <c r="AO54" s="339">
        <f>INDEX('Volume adjustments'!$J$481:$Y$521, AO$36 + 1 + $H54*$H$59, AO$37)</f>
        <v>0</v>
      </c>
    </row>
    <row r="55" spans="4:41" x14ac:dyDescent="0.3">
      <c r="D55" s="88"/>
      <c r="F55" t="s">
        <v>160</v>
      </c>
      <c r="G55" t="s">
        <v>209</v>
      </c>
      <c r="H55" s="376">
        <v>2</v>
      </c>
      <c r="J55" s="339">
        <f>INDEX('Volume adjustments'!$J$481:$Y$521, J$36 + 1 + $H55*$H$59, J$37)</f>
        <v>4878763.9763329094</v>
      </c>
      <c r="K55" s="339">
        <f>INDEX('Volume adjustments'!$J$481:$Y$521, K$36 + 1 + $H55*$H$59, K$37)</f>
        <v>10388.832210240402</v>
      </c>
      <c r="L55" s="339">
        <f>INDEX('Volume adjustments'!$J$481:$Y$521, L$36 + 1 + $H55*$H$59, L$37)</f>
        <v>0</v>
      </c>
      <c r="M55" s="339">
        <f>INDEX('Volume adjustments'!$J$481:$Y$521, M$36 + 1 + $H55*$H$59, M$37)</f>
        <v>45827.411289764794</v>
      </c>
      <c r="N55" s="339">
        <f>INDEX('Volume adjustments'!$J$481:$Y$521, N$36 + 1 + $H55*$H$59, N$37)</f>
        <v>210925.63396306807</v>
      </c>
      <c r="O55" s="339">
        <f>INDEX('Volume adjustments'!$J$481:$Y$521, O$36 + 1 + $H55*$H$59, O$37)</f>
        <v>261071.42062239494</v>
      </c>
      <c r="P55" s="339">
        <f>INDEX('Volume adjustments'!$J$481:$Y$521, P$36 + 1 + $H55*$H$59, P$37)</f>
        <v>925882.4361750239</v>
      </c>
      <c r="Q55" s="339">
        <f>INDEX('Volume adjustments'!$J$481:$Y$521, Q$36 + 1 + $H55*$H$59, Q$37)</f>
        <v>1825.2777420810467</v>
      </c>
      <c r="R55" s="339">
        <f>INDEX('Volume adjustments'!$J$481:$Y$521, R$36 + 1 + $H55*$H$59, R$37)</f>
        <v>0</v>
      </c>
      <c r="S55" s="339">
        <f>INDEX('Volume adjustments'!$J$481:$Y$521, S$36 + 1 + $H55*$H$59, S$37)</f>
        <v>261542.64283959483</v>
      </c>
      <c r="T55" s="339">
        <f>INDEX('Volume adjustments'!$J$481:$Y$521, T$36 + 1 + $H55*$H$59, T$37)</f>
        <v>474042.17267352535</v>
      </c>
      <c r="U55" s="339">
        <f>INDEX('Volume adjustments'!$J$481:$Y$521, U$36 + 1 + $H55*$H$59, U$37)</f>
        <v>301739.51823990775</v>
      </c>
      <c r="V55" s="339">
        <f>INDEX('Volume adjustments'!$J$481:$Y$521, V$36 + 1 + $H55*$H$59, V$37)</f>
        <v>526350.1271238355</v>
      </c>
      <c r="W55" s="339">
        <f>INDEX('Volume adjustments'!$J$481:$Y$521, W$36 + 1 + $H55*$H$59, W$37)</f>
        <v>0</v>
      </c>
      <c r="X55" s="339">
        <f>INDEX('Volume adjustments'!$J$481:$Y$521, X$36 + 1 + $H55*$H$59, X$37)</f>
        <v>1868.6275405675392</v>
      </c>
      <c r="Y55" s="339">
        <f>INDEX('Volume adjustments'!$J$481:$Y$521, Y$36 + 1 + $H55*$H$59, Y$37)</f>
        <v>3692.999610045295</v>
      </c>
      <c r="Z55" s="339">
        <f>INDEX('Volume adjustments'!$J$481:$Y$521, Z$36 + 1 + $H55*$H$59, Z$37)</f>
        <v>7817.1065476335152</v>
      </c>
      <c r="AA55" s="339">
        <f>INDEX('Volume adjustments'!$J$481:$Y$521, AA$36 + 1 + $H55*$H$59, AA$37)</f>
        <v>112346.94282111933</v>
      </c>
      <c r="AB55" s="339">
        <f>INDEX('Volume adjustments'!$J$481:$Y$521, AB$36 + 1 + $H55*$H$59, AB$37)</f>
        <v>0</v>
      </c>
      <c r="AC55" s="339">
        <f>INDEX('Volume adjustments'!$J$481:$Y$521, AC$36 + 1 + $H55*$H$59, AC$37)</f>
        <v>352411.42538540094</v>
      </c>
      <c r="AD55" s="339">
        <f>INDEX('Volume adjustments'!$J$481:$Y$521, AD$36 + 1 + $H55*$H$59, AD$37)</f>
        <v>861996.42688412301</v>
      </c>
      <c r="AE55" s="339">
        <f>INDEX('Volume adjustments'!$J$481:$Y$521, AE$36 + 1 + $H55*$H$59, AE$37)</f>
        <v>610290.81282118452</v>
      </c>
      <c r="AF55" s="339">
        <f>INDEX('Volume adjustments'!$J$481:$Y$521, AF$36 + 1 + $H55*$H$59, AF$37)</f>
        <v>1841215.0783322926</v>
      </c>
      <c r="AG55" s="339">
        <f>INDEX('Volume adjustments'!$J$481:$Y$521, AG$36 + 1 + $H55*$H$59, AG$37)</f>
        <v>160108.74333476496</v>
      </c>
      <c r="AH55" s="339">
        <f>INDEX('Volume adjustments'!$J$481:$Y$521, AH$36 + 1 + $H55*$H$59, AH$37)</f>
        <v>257.78882983990695</v>
      </c>
      <c r="AI55" s="339">
        <f>INDEX('Volume adjustments'!$J$481:$Y$521, AI$36 + 1 + $H55*$H$59, AI$37)</f>
        <v>0</v>
      </c>
      <c r="AJ55" s="339">
        <f>INDEX('Volume adjustments'!$J$481:$Y$521, AJ$36 + 1 + $H55*$H$59, AJ$37)</f>
        <v>24299.787303789228</v>
      </c>
      <c r="AK55" s="339">
        <f>INDEX('Volume adjustments'!$J$481:$Y$521, AK$36 + 1 + $H55*$H$59, AK$37)</f>
        <v>0</v>
      </c>
      <c r="AL55" s="339">
        <f>INDEX('Volume adjustments'!$J$481:$Y$521, AL$36 + 1 + $H55*$H$59, AL$37)</f>
        <v>4216.2054199370059</v>
      </c>
      <c r="AM55" s="339">
        <f>INDEX('Volume adjustments'!$J$481:$Y$521, AM$36 + 1 + $H55*$H$59, AM$37)</f>
        <v>0</v>
      </c>
      <c r="AN55" s="339">
        <f>INDEX('Volume adjustments'!$J$481:$Y$521, AN$36 + 1 + $H55*$H$59, AN$37)</f>
        <v>673152.99157943716</v>
      </c>
      <c r="AO55" s="339">
        <f>INDEX('Volume adjustments'!$J$481:$Y$521, AO$36 + 1 + $H55*$H$59, AO$37)</f>
        <v>0</v>
      </c>
    </row>
    <row r="56" spans="4:41" x14ac:dyDescent="0.3">
      <c r="D56" s="88"/>
      <c r="F56" t="s">
        <v>214</v>
      </c>
      <c r="G56" t="s">
        <v>214</v>
      </c>
      <c r="H56" s="376">
        <v>3</v>
      </c>
      <c r="J56" s="339">
        <f>INDEX('Volume adjustments'!$J$481:$Y$521, J$36 + 1 + $H56*$H$59, J$37)</f>
        <v>2559230.0756873167</v>
      </c>
      <c r="K56" s="339">
        <f>INDEX('Volume adjustments'!$J$481:$Y$521, K$36 + 1 + $H56*$H$59, K$37)</f>
        <v>0</v>
      </c>
      <c r="L56" s="339">
        <f>INDEX('Volume adjustments'!$J$481:$Y$521, L$36 + 1 + $H56*$H$59, L$37)</f>
        <v>0</v>
      </c>
      <c r="M56" s="339">
        <f>INDEX('Volume adjustments'!$J$481:$Y$521, M$36 + 1 + $H56*$H$59, M$37)</f>
        <v>67322.669349880758</v>
      </c>
      <c r="N56" s="339">
        <f>INDEX('Volume adjustments'!$J$481:$Y$521, N$36 + 1 + $H56*$H$59, N$37)</f>
        <v>58543.104463812582</v>
      </c>
      <c r="O56" s="339">
        <f>INDEX('Volume adjustments'!$J$481:$Y$521, O$36 + 1 + $H56*$H$59, O$37)</f>
        <v>29067.603299210616</v>
      </c>
      <c r="P56" s="339">
        <f>INDEX('Volume adjustments'!$J$481:$Y$521, P$36 + 1 + $H56*$H$59, P$37)</f>
        <v>33075.687865688313</v>
      </c>
      <c r="Q56" s="339">
        <f>INDEX('Volume adjustments'!$J$481:$Y$521, Q$36 + 1 + $H56*$H$59, Q$37)</f>
        <v>0</v>
      </c>
      <c r="R56" s="339">
        <f>INDEX('Volume adjustments'!$J$481:$Y$521, R$36 + 1 + $H56*$H$59, R$37)</f>
        <v>0</v>
      </c>
      <c r="S56" s="339">
        <f>INDEX('Volume adjustments'!$J$481:$Y$521, S$36 + 1 + $H56*$H$59, S$37)</f>
        <v>5490.5862475307358</v>
      </c>
      <c r="T56" s="339">
        <f>INDEX('Volume adjustments'!$J$481:$Y$521, T$36 + 1 + $H56*$H$59, T$37)</f>
        <v>5776.8642447389366</v>
      </c>
      <c r="U56" s="339">
        <f>INDEX('Volume adjustments'!$J$481:$Y$521, U$36 + 1 + $H56*$H$59, U$37)</f>
        <v>2346.6587082980363</v>
      </c>
      <c r="V56" s="339">
        <f>INDEX('Volume adjustments'!$J$481:$Y$521, V$36 + 1 + $H56*$H$59, V$37)</f>
        <v>2241.9979351251463</v>
      </c>
      <c r="W56" s="339">
        <f>INDEX('Volume adjustments'!$J$481:$Y$521, W$36 + 1 + $H56*$H$59, W$37)</f>
        <v>0</v>
      </c>
      <c r="X56" s="339">
        <f>INDEX('Volume adjustments'!$J$481:$Y$521, X$36 + 1 + $H56*$H$59, X$37)</f>
        <v>14.531147559963742</v>
      </c>
      <c r="Y56" s="339">
        <f>INDEX('Volume adjustments'!$J$481:$Y$521, Y$36 + 1 + $H56*$H$59, Y$37)</f>
        <v>39.234098411902103</v>
      </c>
      <c r="Z56" s="339">
        <f>INDEX('Volume adjustments'!$J$481:$Y$521, Z$36 + 1 + $H56*$H$59, Z$37)</f>
        <v>50.859016459873096</v>
      </c>
      <c r="AA56" s="339">
        <f>INDEX('Volume adjustments'!$J$481:$Y$521, AA$36 + 1 + $H56*$H$59, AA$37)</f>
        <v>427.21573826293405</v>
      </c>
      <c r="AB56" s="339">
        <f>INDEX('Volume adjustments'!$J$481:$Y$521, AB$36 + 1 + $H56*$H$59, AB$37)</f>
        <v>0</v>
      </c>
      <c r="AC56" s="339">
        <f>INDEX('Volume adjustments'!$J$481:$Y$521, AC$36 + 1 + $H56*$H$59, AC$37)</f>
        <v>1548.6689527111448</v>
      </c>
      <c r="AD56" s="339">
        <f>INDEX('Volume adjustments'!$J$481:$Y$521, AD$36 + 1 + $H56*$H$59, AD$37)</f>
        <v>1078.5926528555271</v>
      </c>
      <c r="AE56" s="339">
        <f>INDEX('Volume adjustments'!$J$481:$Y$521, AE$36 + 1 + $H56*$H$59, AE$37)</f>
        <v>345.06699813577211</v>
      </c>
      <c r="AF56" s="339">
        <f>INDEX('Volume adjustments'!$J$481:$Y$521, AF$36 + 1 + $H56*$H$59, AF$37)</f>
        <v>399.82313855851442</v>
      </c>
      <c r="AG56" s="339">
        <f>INDEX('Volume adjustments'!$J$481:$Y$521, AG$36 + 1 + $H56*$H$59, AG$37)</f>
        <v>37.113907471596569</v>
      </c>
      <c r="AH56" s="339">
        <f>INDEX('Volume adjustments'!$J$481:$Y$521, AH$36 + 1 + $H56*$H$59, AH$37)</f>
        <v>0</v>
      </c>
      <c r="AI56" s="339">
        <f>INDEX('Volume adjustments'!$J$481:$Y$521, AI$36 + 1 + $H56*$H$59, AI$37)</f>
        <v>0</v>
      </c>
      <c r="AJ56" s="339">
        <f>INDEX('Volume adjustments'!$J$481:$Y$521, AJ$36 + 1 + $H56*$H$59, AJ$37)</f>
        <v>734.26186025829247</v>
      </c>
      <c r="AK56" s="339">
        <f>INDEX('Volume adjustments'!$J$481:$Y$521, AK$36 + 1 + $H56*$H$59, AK$37)</f>
        <v>0</v>
      </c>
      <c r="AL56" s="339">
        <f>INDEX('Volume adjustments'!$J$481:$Y$521, AL$36 + 1 + $H56*$H$59, AL$37)</f>
        <v>50.04201140862741</v>
      </c>
      <c r="AM56" s="339">
        <f>INDEX('Volume adjustments'!$J$481:$Y$521, AM$36 + 1 + $H56*$H$59, AM$37)</f>
        <v>0</v>
      </c>
      <c r="AN56" s="339">
        <f>INDEX('Volume adjustments'!$J$481:$Y$521, AN$36 + 1 + $H56*$H$59, AN$37)</f>
        <v>449.38337701268659</v>
      </c>
      <c r="AO56" s="339">
        <f>INDEX('Volume adjustments'!$J$481:$Y$521, AO$36 + 1 + $H56*$H$59, AO$37)</f>
        <v>0</v>
      </c>
    </row>
    <row r="57" spans="4:41" x14ac:dyDescent="0.3">
      <c r="D57" s="88"/>
      <c r="F57" t="s">
        <v>738</v>
      </c>
      <c r="G57" t="s">
        <v>253</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266784.11878941976</v>
      </c>
      <c r="T57" s="339">
        <f>INDEX('Volume adjustments'!$J$481:$Y$521, T$36 + 1 + $H57*$H$59, T$37)</f>
        <v>691945.21249136864</v>
      </c>
      <c r="U57" s="339">
        <f>INDEX('Volume adjustments'!$J$481:$Y$521, U$36 + 1 + $H57*$H$59, U$37)</f>
        <v>436404.27744604205</v>
      </c>
      <c r="V57" s="339">
        <f>INDEX('Volume adjustments'!$J$481:$Y$521, V$36 + 1 + $H57*$H$59, V$37)</f>
        <v>726487.18023677298</v>
      </c>
      <c r="W57" s="339">
        <f>INDEX('Volume adjustments'!$J$481:$Y$521, W$36 + 1 + $H57*$H$59, W$37)</f>
        <v>0</v>
      </c>
      <c r="X57" s="339">
        <f>INDEX('Volume adjustments'!$J$481:$Y$521, X$36 + 1 + $H57*$H$59, X$37)</f>
        <v>119.21448623653427</v>
      </c>
      <c r="Y57" s="339">
        <f>INDEX('Volume adjustments'!$J$481:$Y$521, Y$36 + 1 + $H57*$H$59, Y$37)</f>
        <v>5377.3833447403167</v>
      </c>
      <c r="Z57" s="339">
        <f>INDEX('Volume adjustments'!$J$481:$Y$521, Z$36 + 1 + $H57*$H$59, Z$37)</f>
        <v>10221.10322437453</v>
      </c>
      <c r="AA57" s="339">
        <f>INDEX('Volume adjustments'!$J$481:$Y$521, AA$36 + 1 + $H57*$H$59, AA$37)</f>
        <v>234407.51772484349</v>
      </c>
      <c r="AB57" s="339">
        <f>INDEX('Volume adjustments'!$J$481:$Y$521, AB$36 + 1 + $H57*$H$59, AB$37)</f>
        <v>0</v>
      </c>
      <c r="AC57" s="339">
        <f>INDEX('Volume adjustments'!$J$481:$Y$521, AC$36 + 1 + $H57*$H$59, AC$37)</f>
        <v>317536.59518196579</v>
      </c>
      <c r="AD57" s="339">
        <f>INDEX('Volume adjustments'!$J$481:$Y$521, AD$36 + 1 + $H57*$H$59, AD$37)</f>
        <v>709350.89794537507</v>
      </c>
      <c r="AE57" s="339">
        <f>INDEX('Volume adjustments'!$J$481:$Y$521, AE$36 + 1 + $H57*$H$59, AE$37)</f>
        <v>474609.52299708326</v>
      </c>
      <c r="AF57" s="339">
        <f>INDEX('Volume adjustments'!$J$481:$Y$521, AF$36 + 1 + $H57*$H$59, AF$37)</f>
        <v>1322364.7404044194</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254</v>
      </c>
      <c r="G58" t="s">
        <v>253</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4386.4799187777571</v>
      </c>
      <c r="T58" s="339">
        <f>INDEX('Volume adjustments'!$J$481:$Y$521, T$36 + 1 + $H58*$H$59, T$37)</f>
        <v>11377.003223657282</v>
      </c>
      <c r="U58" s="339">
        <f>INDEX('Volume adjustments'!$J$481:$Y$521, U$36 + 1 + $H58*$H$59, U$37)</f>
        <v>7175.3843825942813</v>
      </c>
      <c r="V58" s="339">
        <f>INDEX('Volume adjustments'!$J$481:$Y$521, V$36 + 1 + $H58*$H$59, V$37)</f>
        <v>11944.944256121373</v>
      </c>
      <c r="W58" s="339">
        <f>INDEX('Volume adjustments'!$J$481:$Y$521, W$36 + 1 + $H58*$H$59, W$37)</f>
        <v>0</v>
      </c>
      <c r="X58" s="339">
        <f>INDEX('Volume adjustments'!$J$481:$Y$521, X$36 + 1 + $H58*$H$59, X$37)</f>
        <v>0.65203307081286965</v>
      </c>
      <c r="Y58" s="339">
        <f>INDEX('Volume adjustments'!$J$481:$Y$521, Y$36 + 1 + $H58*$H$59, Y$37)</f>
        <v>29.411121801525617</v>
      </c>
      <c r="Z58" s="339">
        <f>INDEX('Volume adjustments'!$J$481:$Y$521, Z$36 + 1 + $H58*$H$59, Z$37)</f>
        <v>55.903418559898618</v>
      </c>
      <c r="AA58" s="339">
        <f>INDEX('Volume adjustments'!$J$481:$Y$521, AA$36 + 1 + $H58*$H$59, AA$37)</f>
        <v>1282.071151156061</v>
      </c>
      <c r="AB58" s="339">
        <f>INDEX('Volume adjustments'!$J$481:$Y$521, AB$36 + 1 + $H58*$H$59, AB$37)</f>
        <v>0</v>
      </c>
      <c r="AC58" s="339">
        <f>INDEX('Volume adjustments'!$J$481:$Y$521, AC$36 + 1 + $H58*$H$59, AC$37)</f>
        <v>4021.7958867015795</v>
      </c>
      <c r="AD58" s="339">
        <f>INDEX('Volume adjustments'!$J$481:$Y$521, AD$36 + 1 + $H58*$H$59, AD$37)</f>
        <v>8984.3645326924725</v>
      </c>
      <c r="AE58" s="339">
        <f>INDEX('Volume adjustments'!$J$481:$Y$521, AE$36 + 1 + $H58*$H$59, AE$37)</f>
        <v>6011.2209311976503</v>
      </c>
      <c r="AF58" s="339">
        <f>INDEX('Volume adjustments'!$J$481:$Y$521, AF$36 + 1 + $H58*$H$59, AF$37)</f>
        <v>16748.561124521824</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217</v>
      </c>
      <c r="G59" s="67" t="s">
        <v>256</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58856.102933003822</v>
      </c>
      <c r="T59" s="195">
        <f>INDEX('Volume adjustments'!$J$481:$Y$521, T$36 + 1 + $H59*$H$59, T$37)</f>
        <v>106675.81625138328</v>
      </c>
      <c r="U59" s="195">
        <f>INDEX('Volume adjustments'!$J$481:$Y$521, U$36 + 1 + $H59*$H$59, U$37)</f>
        <v>67901.784396110103</v>
      </c>
      <c r="V59" s="195">
        <f>INDEX('Volume adjustments'!$J$481:$Y$521, V$36 + 1 + $H59*$H$59, V$37)</f>
        <v>118446.90764174778</v>
      </c>
      <c r="W59" s="195">
        <f>INDEX('Volume adjustments'!$J$481:$Y$521, W$36 + 1 + $H59*$H$59, W$37)</f>
        <v>0</v>
      </c>
      <c r="X59" s="195">
        <f>INDEX('Volume adjustments'!$J$481:$Y$521, X$36 + 1 + $H59*$H$59, X$37)</f>
        <v>521.04088989497586</v>
      </c>
      <c r="Y59" s="195">
        <f>INDEX('Volume adjustments'!$J$481:$Y$521, Y$36 + 1 + $H59*$H$59, Y$37)</f>
        <v>1029.7417550719497</v>
      </c>
      <c r="Z59" s="195">
        <f>INDEX('Volume adjustments'!$J$481:$Y$521, Z$36 + 1 + $H59*$H$59, Z$37)</f>
        <v>2179.6918131398984</v>
      </c>
      <c r="AA59" s="195">
        <f>INDEX('Volume adjustments'!$J$481:$Y$521, AA$36 + 1 + $H59*$H$59, AA$37)</f>
        <v>31326.387840092</v>
      </c>
      <c r="AB59" s="195">
        <f>INDEX('Volume adjustments'!$J$481:$Y$521, AB$36 + 1 + $H59*$H$59, AB$37)</f>
        <v>0</v>
      </c>
      <c r="AC59" s="195">
        <f>INDEX('Volume adjustments'!$J$481:$Y$521, AC$36 + 1 + $H59*$H$59, AC$37)</f>
        <v>54883.129181703705</v>
      </c>
      <c r="AD59" s="195">
        <f>INDEX('Volume adjustments'!$J$481:$Y$521, AD$36 + 1 + $H59*$H$59, AD$37)</f>
        <v>134243.83502637761</v>
      </c>
      <c r="AE59" s="195">
        <f>INDEX('Volume adjustments'!$J$481:$Y$521, AE$36 + 1 + $H59*$H$59, AE$37)</f>
        <v>95044.221343964367</v>
      </c>
      <c r="AF59" s="195">
        <f>INDEX('Volume adjustments'!$J$481:$Y$521, AF$36 + 1 + $H59*$H$59, AF$37)</f>
        <v>286743.38490842277</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3746.666818357904</v>
      </c>
      <c r="AK59" s="195">
        <f>INDEX('Volume adjustments'!$J$481:$Y$521, AK$36 + 1 + $H59*$H$59, AK$37)</f>
        <v>0</v>
      </c>
      <c r="AL59" s="195">
        <f>INDEX('Volume adjustments'!$J$481:$Y$521, AL$36 + 1 + $H59*$H$59, AL$37)</f>
        <v>397.56062338257436</v>
      </c>
      <c r="AM59" s="195">
        <f>INDEX('Volume adjustments'!$J$481:$Y$521, AM$36 + 1 + $H59*$H$59, AM$37)</f>
        <v>0</v>
      </c>
      <c r="AN59" s="195">
        <f>INDEX('Volume adjustments'!$J$481:$Y$521, AN$36 + 1 + $H59*$H$59, AN$37)</f>
        <v>20979.429173597407</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739</v>
      </c>
      <c r="G61" t="s">
        <v>279</v>
      </c>
      <c r="H61" s="120">
        <f>'General inputs'!$H$87</f>
        <v>528100853.62913507</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877</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875</v>
      </c>
      <c r="G64" s="23" t="s">
        <v>279</v>
      </c>
      <c r="H64" s="124">
        <f>'General inputs'!$H$53</f>
        <v>238531.2016104502</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876</v>
      </c>
      <c r="G65" s="37" t="s">
        <v>279</v>
      </c>
      <c r="H65" s="125">
        <f>'General inputs'!$H$54</f>
        <v>425585.02675901755</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890</v>
      </c>
      <c r="G67" t="s">
        <v>279</v>
      </c>
      <c r="H67" s="98">
        <f>H61 - H64 - H65</f>
        <v>527436737.4007656</v>
      </c>
      <c r="I67" t="s">
        <v>156</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900</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740</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741</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742</v>
      </c>
      <c r="F74" s="32"/>
      <c r="H74" s="128" t="s">
        <v>547</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158</v>
      </c>
      <c r="G75" s="23" t="s">
        <v>279</v>
      </c>
      <c r="H75" s="158">
        <f t="shared" ref="H75:H82" si="8">SUM(J75:AO75)</f>
        <v>109091017.29971597</v>
      </c>
      <c r="I75" s="129"/>
      <c r="J75" s="322">
        <f t="shared" ref="J75:AO75" si="9">J53 * thousand * J40 / hundred</f>
        <v>67805504.799381346</v>
      </c>
      <c r="K75" s="322">
        <f t="shared" si="9"/>
        <v>61741.903868120833</v>
      </c>
      <c r="L75" s="322">
        <f t="shared" si="9"/>
        <v>0</v>
      </c>
      <c r="M75" s="322">
        <f t="shared" si="9"/>
        <v>603416.31911521754</v>
      </c>
      <c r="N75" s="322">
        <f t="shared" si="9"/>
        <v>2777289.0955650462</v>
      </c>
      <c r="O75" s="322">
        <f t="shared" si="9"/>
        <v>3437566.1034410303</v>
      </c>
      <c r="P75" s="322">
        <f t="shared" si="9"/>
        <v>12191231.314323509</v>
      </c>
      <c r="Q75" s="322">
        <f t="shared" si="9"/>
        <v>2292.7522763519523</v>
      </c>
      <c r="R75" s="322">
        <f t="shared" si="9"/>
        <v>0</v>
      </c>
      <c r="S75" s="322">
        <f t="shared" si="9"/>
        <v>2436643.8773298729</v>
      </c>
      <c r="T75" s="322">
        <f t="shared" si="9"/>
        <v>4416380.9966144077</v>
      </c>
      <c r="U75" s="322">
        <f t="shared" si="9"/>
        <v>2811135.2767764819</v>
      </c>
      <c r="V75" s="322">
        <f t="shared" si="9"/>
        <v>4903704.4233535333</v>
      </c>
      <c r="W75" s="322">
        <f t="shared" si="9"/>
        <v>0</v>
      </c>
      <c r="X75" s="322">
        <f t="shared" si="9"/>
        <v>12410.670134055285</v>
      </c>
      <c r="Y75" s="322">
        <f t="shared" si="9"/>
        <v>24527.413286195431</v>
      </c>
      <c r="Z75" s="322">
        <f t="shared" si="9"/>
        <v>51918.0674903131</v>
      </c>
      <c r="AA75" s="322">
        <f t="shared" si="9"/>
        <v>746163.06227564509</v>
      </c>
      <c r="AB75" s="322">
        <f t="shared" si="9"/>
        <v>0</v>
      </c>
      <c r="AC75" s="322">
        <f t="shared" si="9"/>
        <v>1149150.9646815842</v>
      </c>
      <c r="AD75" s="322">
        <f t="shared" si="9"/>
        <v>2810817.0001091128</v>
      </c>
      <c r="AE75" s="322">
        <f t="shared" si="9"/>
        <v>1990049.7707269434</v>
      </c>
      <c r="AF75" s="322">
        <f t="shared" si="9"/>
        <v>6003874.8208516063</v>
      </c>
      <c r="AG75" s="322">
        <f t="shared" si="9"/>
        <v>1726584.1193067099</v>
      </c>
      <c r="AH75" s="322">
        <f t="shared" si="9"/>
        <v>-2916.8349181252097</v>
      </c>
      <c r="AI75" s="322">
        <f t="shared" si="9"/>
        <v>0</v>
      </c>
      <c r="AJ75" s="322">
        <f t="shared" si="9"/>
        <v>-198788.60871322933</v>
      </c>
      <c r="AK75" s="322">
        <f t="shared" si="9"/>
        <v>0</v>
      </c>
      <c r="AL75" s="322">
        <f t="shared" si="9"/>
        <v>-23502.579709530295</v>
      </c>
      <c r="AM75" s="322">
        <f t="shared" si="9"/>
        <v>0</v>
      </c>
      <c r="AN75" s="322">
        <f t="shared" si="9"/>
        <v>-6646177.4278502492</v>
      </c>
      <c r="AO75" s="322">
        <f t="shared" si="9"/>
        <v>0</v>
      </c>
    </row>
    <row r="76" spans="2:43" x14ac:dyDescent="0.3">
      <c r="D76" s="88"/>
      <c r="F76" t="s">
        <v>159</v>
      </c>
      <c r="G76" t="s">
        <v>279</v>
      </c>
      <c r="H76" s="89">
        <f t="shared" si="8"/>
        <v>65423283.51106371</v>
      </c>
      <c r="I76" s="63"/>
      <c r="J76" s="215">
        <f t="shared" ref="J76" si="10">J54 * thousand * J41 / hundred</f>
        <v>35701307.613284469</v>
      </c>
      <c r="K76" s="215">
        <f t="shared" ref="K76:AO76" si="11">K54 * thousand * K41 / hundred</f>
        <v>70413.507028307722</v>
      </c>
      <c r="L76" s="215">
        <f t="shared" si="11"/>
        <v>0</v>
      </c>
      <c r="M76" s="215">
        <f t="shared" si="11"/>
        <v>441636.98799959623</v>
      </c>
      <c r="N76" s="215">
        <f t="shared" si="11"/>
        <v>2032682.1667136073</v>
      </c>
      <c r="O76" s="215">
        <f t="shared" si="11"/>
        <v>2515935.1709268661</v>
      </c>
      <c r="P76" s="215">
        <f t="shared" si="11"/>
        <v>8922693.1839676388</v>
      </c>
      <c r="Q76" s="215">
        <f t="shared" si="11"/>
        <v>5311.7874151265005</v>
      </c>
      <c r="R76" s="215">
        <f t="shared" si="11"/>
        <v>0</v>
      </c>
      <c r="S76" s="215">
        <f t="shared" si="11"/>
        <v>1759145.9963961616</v>
      </c>
      <c r="T76" s="215">
        <f t="shared" si="11"/>
        <v>3188426.1056924853</v>
      </c>
      <c r="U76" s="215">
        <f t="shared" si="11"/>
        <v>2029511.7450188971</v>
      </c>
      <c r="V76" s="215">
        <f t="shared" si="11"/>
        <v>3540251.4434343344</v>
      </c>
      <c r="W76" s="215">
        <f t="shared" si="11"/>
        <v>0</v>
      </c>
      <c r="X76" s="215">
        <f t="shared" si="11"/>
        <v>7580.7510437004794</v>
      </c>
      <c r="Y76" s="215">
        <f t="shared" si="11"/>
        <v>14981.964056750161</v>
      </c>
      <c r="Z76" s="215">
        <f t="shared" si="11"/>
        <v>31712.868045224426</v>
      </c>
      <c r="AA76" s="215">
        <f t="shared" si="11"/>
        <v>455775.26048293611</v>
      </c>
      <c r="AB76" s="215">
        <f t="shared" si="11"/>
        <v>0</v>
      </c>
      <c r="AC76" s="215">
        <f t="shared" si="11"/>
        <v>589453.3309066334</v>
      </c>
      <c r="AD76" s="215">
        <f t="shared" si="11"/>
        <v>1441799.6366059692</v>
      </c>
      <c r="AE76" s="215">
        <f t="shared" si="11"/>
        <v>1020789.6978531574</v>
      </c>
      <c r="AF76" s="215">
        <f t="shared" si="11"/>
        <v>3079668.4859226141</v>
      </c>
      <c r="AG76" s="215">
        <f t="shared" si="11"/>
        <v>974611.02670963167</v>
      </c>
      <c r="AH76" s="215">
        <f t="shared" si="11"/>
        <v>-3391.6835277816754</v>
      </c>
      <c r="AI76" s="215">
        <f t="shared" si="11"/>
        <v>0</v>
      </c>
      <c r="AJ76" s="215">
        <f t="shared" si="11"/>
        <v>-175952.16082931106</v>
      </c>
      <c r="AK76" s="215">
        <f t="shared" si="11"/>
        <v>0</v>
      </c>
      <c r="AL76" s="215">
        <f t="shared" si="11"/>
        <v>-16025.300307535783</v>
      </c>
      <c r="AM76" s="215">
        <f t="shared" si="11"/>
        <v>0</v>
      </c>
      <c r="AN76" s="215">
        <f t="shared" si="11"/>
        <v>-2205036.0737757711</v>
      </c>
      <c r="AO76" s="215">
        <f t="shared" si="11"/>
        <v>0</v>
      </c>
    </row>
    <row r="77" spans="2:43" x14ac:dyDescent="0.3">
      <c r="D77" s="88"/>
      <c r="F77" t="s">
        <v>160</v>
      </c>
      <c r="G77" t="s">
        <v>279</v>
      </c>
      <c r="H77" s="89">
        <f t="shared" si="8"/>
        <v>8184151.2181285517</v>
      </c>
      <c r="I77" s="63"/>
      <c r="J77" s="215">
        <f t="shared" ref="J77" si="12">J55 * thousand * J42 / hundred</f>
        <v>4330540.1581149176</v>
      </c>
      <c r="K77" s="215">
        <f t="shared" ref="K77:AO77" si="13">K55 * thousand * K42 / hundred</f>
        <v>9221.4452883165886</v>
      </c>
      <c r="L77" s="215">
        <f t="shared" si="13"/>
        <v>0</v>
      </c>
      <c r="M77" s="215">
        <f t="shared" si="13"/>
        <v>35577.594175031212</v>
      </c>
      <c r="N77" s="215">
        <f t="shared" si="13"/>
        <v>163749.73831273837</v>
      </c>
      <c r="O77" s="215">
        <f t="shared" si="13"/>
        <v>202679.85452795829</v>
      </c>
      <c r="P77" s="215">
        <f t="shared" si="13"/>
        <v>718798.39251101867</v>
      </c>
      <c r="Q77" s="215">
        <f t="shared" si="13"/>
        <v>1417.0338000082584</v>
      </c>
      <c r="R77" s="215">
        <f t="shared" si="13"/>
        <v>0</v>
      </c>
      <c r="S77" s="215">
        <f t="shared" si="13"/>
        <v>140453.39075620074</v>
      </c>
      <c r="T77" s="215">
        <f t="shared" si="13"/>
        <v>254569.69383867289</v>
      </c>
      <c r="U77" s="215">
        <f t="shared" si="13"/>
        <v>162039.88000507266</v>
      </c>
      <c r="V77" s="215">
        <f t="shared" si="13"/>
        <v>282660.06367780006</v>
      </c>
      <c r="W77" s="215">
        <f t="shared" si="13"/>
        <v>0</v>
      </c>
      <c r="X77" s="215">
        <f t="shared" si="13"/>
        <v>622.84810216421761</v>
      </c>
      <c r="Y77" s="215">
        <f t="shared" si="13"/>
        <v>1230.9450377207315</v>
      </c>
      <c r="Z77" s="215">
        <f t="shared" si="13"/>
        <v>2605.5861170333824</v>
      </c>
      <c r="AA77" s="215">
        <f t="shared" si="13"/>
        <v>37447.312854456388</v>
      </c>
      <c r="AB77" s="215">
        <f t="shared" si="13"/>
        <v>0</v>
      </c>
      <c r="AC77" s="215">
        <f t="shared" si="13"/>
        <v>57584.300403310874</v>
      </c>
      <c r="AD77" s="215">
        <f t="shared" si="13"/>
        <v>140850.88512096868</v>
      </c>
      <c r="AE77" s="215">
        <f t="shared" si="13"/>
        <v>99721.992442336123</v>
      </c>
      <c r="AF77" s="215">
        <f t="shared" si="13"/>
        <v>300855.97270815528</v>
      </c>
      <c r="AG77" s="215">
        <f t="shared" si="13"/>
        <v>1432590.7327248733</v>
      </c>
      <c r="AH77" s="215">
        <f t="shared" si="13"/>
        <v>-139.74405137457725</v>
      </c>
      <c r="AI77" s="215">
        <f t="shared" si="13"/>
        <v>0</v>
      </c>
      <c r="AJ77" s="215">
        <f t="shared" si="13"/>
        <v>-13172.606150083635</v>
      </c>
      <c r="AK77" s="215">
        <f t="shared" si="13"/>
        <v>0</v>
      </c>
      <c r="AL77" s="215">
        <f t="shared" si="13"/>
        <v>-1956.0327322659366</v>
      </c>
      <c r="AM77" s="215">
        <f t="shared" si="13"/>
        <v>0</v>
      </c>
      <c r="AN77" s="215">
        <f t="shared" si="13"/>
        <v>-175798.21945647965</v>
      </c>
      <c r="AO77" s="215">
        <f t="shared" si="13"/>
        <v>0</v>
      </c>
    </row>
    <row r="78" spans="2:43" x14ac:dyDescent="0.3">
      <c r="D78" s="88"/>
      <c r="F78" t="s">
        <v>161</v>
      </c>
      <c r="G78" t="s">
        <v>279</v>
      </c>
      <c r="H78" s="89">
        <f t="shared" si="8"/>
        <v>40209280.520736456</v>
      </c>
      <c r="I78" s="63"/>
      <c r="J78" s="322">
        <f t="shared" ref="J78" si="14">J56 * J43 * days_in_year / hundred</f>
        <v>33398693.801242493</v>
      </c>
      <c r="K78" s="322">
        <f t="shared" ref="K78:AO78" si="15">K56 * K43 * days_in_year / hundred</f>
        <v>0</v>
      </c>
      <c r="L78" s="322">
        <f t="shared" si="15"/>
        <v>0</v>
      </c>
      <c r="M78" s="322">
        <f t="shared" si="15"/>
        <v>1803931.3869141964</v>
      </c>
      <c r="N78" s="322">
        <f t="shared" si="15"/>
        <v>1568680.2773790366</v>
      </c>
      <c r="O78" s="322">
        <f t="shared" si="15"/>
        <v>778875.2650508139</v>
      </c>
      <c r="P78" s="322">
        <f t="shared" si="15"/>
        <v>886273.10920489894</v>
      </c>
      <c r="Q78" s="322">
        <f t="shared" si="15"/>
        <v>0</v>
      </c>
      <c r="R78" s="322">
        <f t="shared" si="15"/>
        <v>0</v>
      </c>
      <c r="S78" s="322">
        <f t="shared" si="15"/>
        <v>228498.40764710124</v>
      </c>
      <c r="T78" s="322">
        <f t="shared" si="15"/>
        <v>240412.26594153995</v>
      </c>
      <c r="U78" s="322">
        <f t="shared" si="15"/>
        <v>97659.476413552708</v>
      </c>
      <c r="V78" s="322">
        <f t="shared" si="15"/>
        <v>93303.872305908459</v>
      </c>
      <c r="W78" s="322">
        <f t="shared" si="15"/>
        <v>0</v>
      </c>
      <c r="X78" s="322">
        <f t="shared" si="15"/>
        <v>472.05985905236071</v>
      </c>
      <c r="Y78" s="322">
        <f t="shared" si="15"/>
        <v>1274.5616194413735</v>
      </c>
      <c r="Z78" s="322">
        <f t="shared" si="15"/>
        <v>1652.2095066832624</v>
      </c>
      <c r="AA78" s="322">
        <f t="shared" si="15"/>
        <v>13878.559856139404</v>
      </c>
      <c r="AB78" s="322">
        <f t="shared" si="15"/>
        <v>0</v>
      </c>
      <c r="AC78" s="322">
        <f t="shared" si="15"/>
        <v>464455.18498280027</v>
      </c>
      <c r="AD78" s="322">
        <f t="shared" si="15"/>
        <v>323476.45972117642</v>
      </c>
      <c r="AE78" s="322">
        <f t="shared" si="15"/>
        <v>103487.67964259861</v>
      </c>
      <c r="AF78" s="322">
        <f t="shared" si="15"/>
        <v>119909.3773104361</v>
      </c>
      <c r="AG78" s="322">
        <f t="shared" si="15"/>
        <v>0</v>
      </c>
      <c r="AH78" s="322">
        <f t="shared" si="15"/>
        <v>0</v>
      </c>
      <c r="AI78" s="322">
        <f t="shared" si="15"/>
        <v>0</v>
      </c>
      <c r="AJ78" s="322">
        <f t="shared" si="15"/>
        <v>0</v>
      </c>
      <c r="AK78" s="322">
        <f t="shared" si="15"/>
        <v>0</v>
      </c>
      <c r="AL78" s="322">
        <f t="shared" si="15"/>
        <v>0</v>
      </c>
      <c r="AM78" s="322">
        <f t="shared" si="15"/>
        <v>0</v>
      </c>
      <c r="AN78" s="322">
        <f t="shared" si="15"/>
        <v>84346.566138603259</v>
      </c>
      <c r="AO78" s="322">
        <f t="shared" si="15"/>
        <v>0</v>
      </c>
    </row>
    <row r="79" spans="2:43" x14ac:dyDescent="0.3">
      <c r="D79" s="88"/>
      <c r="F79" t="s">
        <v>738</v>
      </c>
      <c r="G79" t="s">
        <v>279</v>
      </c>
      <c r="H79" s="89">
        <f t="shared" si="8"/>
        <v>70269717.980781972</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2831267.175957086</v>
      </c>
      <c r="T79" s="401">
        <f t="shared" si="17"/>
        <v>7343322.2958590779</v>
      </c>
      <c r="U79" s="401">
        <f t="shared" si="17"/>
        <v>4631374.2803990664</v>
      </c>
      <c r="V79" s="401">
        <f t="shared" si="17"/>
        <v>7709901.6106785107</v>
      </c>
      <c r="W79" s="401">
        <f t="shared" si="17"/>
        <v>0</v>
      </c>
      <c r="X79" s="401">
        <f t="shared" si="17"/>
        <v>1548.2948122824278</v>
      </c>
      <c r="Y79" s="401">
        <f t="shared" si="17"/>
        <v>69838.616087277653</v>
      </c>
      <c r="Z79" s="401">
        <f t="shared" si="17"/>
        <v>132746.29281799891</v>
      </c>
      <c r="AA79" s="401">
        <f t="shared" si="17"/>
        <v>3044361.0932758683</v>
      </c>
      <c r="AB79" s="401">
        <f t="shared" si="17"/>
        <v>0</v>
      </c>
      <c r="AC79" s="401">
        <f t="shared" si="17"/>
        <v>5004522.5889321826</v>
      </c>
      <c r="AD79" s="401">
        <f t="shared" si="17"/>
        <v>11179695.966106314</v>
      </c>
      <c r="AE79" s="401">
        <f t="shared" si="17"/>
        <v>7480064.0770243052</v>
      </c>
      <c r="AF79" s="401">
        <f t="shared" si="17"/>
        <v>20841075.688832007</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254</v>
      </c>
      <c r="G80" t="s">
        <v>279</v>
      </c>
      <c r="H80" s="89">
        <f t="shared" si="8"/>
        <v>1570707.7039692681</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91798.966946997418</v>
      </c>
      <c r="T80" s="323">
        <f t="shared" si="19"/>
        <v>238094.59115805262</v>
      </c>
      <c r="U80" s="323">
        <f t="shared" si="19"/>
        <v>150164.34269994588</v>
      </c>
      <c r="V80" s="323">
        <f t="shared" si="19"/>
        <v>249980.29473641116</v>
      </c>
      <c r="W80" s="323">
        <f t="shared" si="19"/>
        <v>0</v>
      </c>
      <c r="X80" s="323">
        <f t="shared" si="19"/>
        <v>12.752297158120022</v>
      </c>
      <c r="Y80" s="323">
        <f t="shared" si="19"/>
        <v>575.21524866697632</v>
      </c>
      <c r="Z80" s="323">
        <f t="shared" si="19"/>
        <v>1093.3448586309319</v>
      </c>
      <c r="AA80" s="323">
        <f t="shared" si="19"/>
        <v>25074.421880186022</v>
      </c>
      <c r="AB80" s="323">
        <f t="shared" si="19"/>
        <v>0</v>
      </c>
      <c r="AC80" s="323">
        <f t="shared" si="19"/>
        <v>91522.684499552459</v>
      </c>
      <c r="AD80" s="323">
        <f t="shared" si="19"/>
        <v>204454.22485847687</v>
      </c>
      <c r="AE80" s="323">
        <f t="shared" si="19"/>
        <v>136795.37506174066</v>
      </c>
      <c r="AF80" s="323">
        <f t="shared" si="19"/>
        <v>381141.48972344922</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217</v>
      </c>
      <c r="G81" s="67" t="s">
        <v>279</v>
      </c>
      <c r="H81" s="82">
        <f t="shared" si="8"/>
        <v>934196.38609360904</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91631.345335117396</v>
      </c>
      <c r="T81" s="323">
        <f t="shared" si="21"/>
        <v>166080.45845241888</v>
      </c>
      <c r="U81" s="323">
        <f t="shared" si="21"/>
        <v>105714.30225261609</v>
      </c>
      <c r="V81" s="323">
        <f t="shared" si="21"/>
        <v>184406.52637760062</v>
      </c>
      <c r="W81" s="323">
        <f t="shared" si="21"/>
        <v>0</v>
      </c>
      <c r="X81" s="323">
        <f t="shared" si="21"/>
        <v>567.97289270986698</v>
      </c>
      <c r="Y81" s="323">
        <f t="shared" si="21"/>
        <v>1122.494250864341</v>
      </c>
      <c r="Z81" s="323">
        <f t="shared" si="21"/>
        <v>2376.0243933535094</v>
      </c>
      <c r="AA81" s="323">
        <f t="shared" si="21"/>
        <v>34148.066811559882</v>
      </c>
      <c r="AB81" s="323">
        <f t="shared" si="21"/>
        <v>0</v>
      </c>
      <c r="AC81" s="323">
        <f t="shared" si="21"/>
        <v>30748.53408437235</v>
      </c>
      <c r="AD81" s="323">
        <f t="shared" si="21"/>
        <v>75210.746881056271</v>
      </c>
      <c r="AE81" s="323">
        <f t="shared" si="21"/>
        <v>53248.976927718191</v>
      </c>
      <c r="AF81" s="323">
        <f t="shared" si="21"/>
        <v>160649.34481294526</v>
      </c>
      <c r="AG81" s="323">
        <f t="shared" si="21"/>
        <v>0</v>
      </c>
      <c r="AH81" s="323">
        <f t="shared" si="21"/>
        <v>0</v>
      </c>
      <c r="AI81" s="323">
        <f t="shared" si="21"/>
        <v>0</v>
      </c>
      <c r="AJ81" s="323">
        <f t="shared" si="21"/>
        <v>5820.6504220676861</v>
      </c>
      <c r="AK81" s="323">
        <f t="shared" si="21"/>
        <v>0</v>
      </c>
      <c r="AL81" s="323">
        <f t="shared" si="21"/>
        <v>519.05697014602788</v>
      </c>
      <c r="AM81" s="323">
        <f t="shared" si="21"/>
        <v>0</v>
      </c>
      <c r="AN81" s="323">
        <f t="shared" si="21"/>
        <v>21951.885229062791</v>
      </c>
      <c r="AO81" s="323">
        <f t="shared" si="21"/>
        <v>0</v>
      </c>
    </row>
    <row r="82" spans="1:43" x14ac:dyDescent="0.3">
      <c r="D82"/>
      <c r="E82" s="29"/>
      <c r="F82" s="108" t="s">
        <v>102</v>
      </c>
      <c r="G82" s="152" t="s">
        <v>279</v>
      </c>
      <c r="H82" s="167">
        <f t="shared" si="8"/>
        <v>295682354.62048954</v>
      </c>
      <c r="I82" s="168"/>
      <c r="J82" s="216">
        <f t="shared" ref="J82" si="22">SUM(J75:J81)</f>
        <v>141236046.37202322</v>
      </c>
      <c r="K82" s="216">
        <f t="shared" ref="K82:AO82" si="23">SUM(K75:K81)</f>
        <v>141376.85618474515</v>
      </c>
      <c r="L82" s="216">
        <f t="shared" si="23"/>
        <v>0</v>
      </c>
      <c r="M82" s="216">
        <f t="shared" si="23"/>
        <v>2884562.2882040413</v>
      </c>
      <c r="N82" s="216">
        <f t="shared" si="23"/>
        <v>6542401.2779704286</v>
      </c>
      <c r="O82" s="216">
        <f t="shared" si="23"/>
        <v>6935056.3939466691</v>
      </c>
      <c r="P82" s="216">
        <f t="shared" si="23"/>
        <v>22718996.000007067</v>
      </c>
      <c r="Q82" s="216">
        <f t="shared" si="23"/>
        <v>9021.5734914867098</v>
      </c>
      <c r="R82" s="216">
        <f t="shared" si="23"/>
        <v>0</v>
      </c>
      <c r="S82" s="216">
        <f t="shared" si="23"/>
        <v>7579439.1603685375</v>
      </c>
      <c r="T82" s="216">
        <f t="shared" si="23"/>
        <v>15847286.407556655</v>
      </c>
      <c r="U82" s="216">
        <f t="shared" si="23"/>
        <v>9987599.3035656326</v>
      </c>
      <c r="V82" s="216">
        <f t="shared" si="23"/>
        <v>16964208.234564099</v>
      </c>
      <c r="W82" s="216">
        <f t="shared" si="23"/>
        <v>0</v>
      </c>
      <c r="X82" s="216">
        <f t="shared" si="23"/>
        <v>23215.349141122759</v>
      </c>
      <c r="Y82" s="216">
        <f t="shared" si="23"/>
        <v>113551.20958691668</v>
      </c>
      <c r="Z82" s="216">
        <f t="shared" si="23"/>
        <v>224104.39322923752</v>
      </c>
      <c r="AA82" s="216">
        <f t="shared" si="23"/>
        <v>4356847.777436791</v>
      </c>
      <c r="AB82" s="216">
        <f t="shared" si="23"/>
        <v>0</v>
      </c>
      <c r="AC82" s="216">
        <f t="shared" si="23"/>
        <v>7387437.5884904359</v>
      </c>
      <c r="AD82" s="216">
        <f t="shared" si="23"/>
        <v>16176304.919403076</v>
      </c>
      <c r="AE82" s="216">
        <f t="shared" si="23"/>
        <v>10884157.5696788</v>
      </c>
      <c r="AF82" s="216">
        <f t="shared" si="23"/>
        <v>30887175.180161212</v>
      </c>
      <c r="AG82" s="216">
        <f t="shared" si="23"/>
        <v>4133785.878741215</v>
      </c>
      <c r="AH82" s="216">
        <f t="shared" si="23"/>
        <v>-6448.2624972814619</v>
      </c>
      <c r="AI82" s="216">
        <f t="shared" si="23"/>
        <v>0</v>
      </c>
      <c r="AJ82" s="216">
        <f t="shared" si="23"/>
        <v>-382092.7252705564</v>
      </c>
      <c r="AK82" s="216">
        <f t="shared" si="23"/>
        <v>0</v>
      </c>
      <c r="AL82" s="216">
        <f t="shared" si="23"/>
        <v>-40964.855779185986</v>
      </c>
      <c r="AM82" s="216">
        <f t="shared" si="23"/>
        <v>0</v>
      </c>
      <c r="AN82" s="216">
        <f t="shared" si="23"/>
        <v>-8920713.2697148342</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743</v>
      </c>
      <c r="G84" t="s">
        <v>279</v>
      </c>
      <c r="H84" s="98">
        <f>H67 - H82</f>
        <v>231754382.78027606</v>
      </c>
      <c r="I84" s="210" t="s">
        <v>156</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1155</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943</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1151</v>
      </c>
      <c r="E90"/>
      <c r="I90" t="s">
        <v>156</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1149</v>
      </c>
    </row>
    <row r="91" spans="1:43" x14ac:dyDescent="0.3">
      <c r="A91" s="320"/>
      <c r="B91" s="320"/>
      <c r="C91" s="29"/>
      <c r="D91" s="29" t="s">
        <v>1125</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1033</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1000</v>
      </c>
      <c r="G94" s="23" t="s">
        <v>151</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1001</v>
      </c>
      <c r="G95" s="311" t="s">
        <v>151</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1002</v>
      </c>
      <c r="G96" s="311" t="s">
        <v>151</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1003</v>
      </c>
      <c r="G97" s="311" t="s">
        <v>151</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1004</v>
      </c>
      <c r="G98" s="311" t="s">
        <v>151</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1005</v>
      </c>
      <c r="G99" s="311" t="s">
        <v>151</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1006</v>
      </c>
      <c r="G100" s="311" t="s">
        <v>151</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1007</v>
      </c>
      <c r="G101" s="37" t="s">
        <v>151</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1022</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1000</v>
      </c>
      <c r="G104" s="23" t="s">
        <v>151</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1001</v>
      </c>
      <c r="G105" s="311" t="s">
        <v>151</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1002</v>
      </c>
      <c r="G106" s="311" t="s">
        <v>151</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1003</v>
      </c>
      <c r="G107" s="311" t="s">
        <v>151</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1004</v>
      </c>
      <c r="G108" s="311" t="s">
        <v>151</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1005</v>
      </c>
      <c r="G109" s="311" t="s">
        <v>151</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1006</v>
      </c>
      <c r="G110" s="311" t="s">
        <v>151</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1007</v>
      </c>
      <c r="G111" s="37" t="s">
        <v>151</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1023</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1000</v>
      </c>
      <c r="G114" s="23" t="s">
        <v>214</v>
      </c>
      <c r="H114" s="23"/>
      <c r="I114" s="23"/>
      <c r="J114" s="361">
        <f t="shared" ref="J114:J121" si="50">SUMIF($J104:$AO104, J104, $J$56:$AO$56)</f>
        <v>2559230.0756873167</v>
      </c>
      <c r="K114" s="360"/>
      <c r="L114" s="360"/>
      <c r="M114" s="361">
        <f t="shared" ref="M114:P121" si="51">SUMIF($J104:$AO104, M104, $J$56:$AO$56)</f>
        <v>67322.669349880758</v>
      </c>
      <c r="N114" s="361">
        <f t="shared" si="51"/>
        <v>58543.104463812582</v>
      </c>
      <c r="O114" s="361">
        <f t="shared" si="51"/>
        <v>29067.603299210616</v>
      </c>
      <c r="P114" s="361">
        <f t="shared" si="51"/>
        <v>33075.687865688313</v>
      </c>
      <c r="Q114" s="360"/>
      <c r="R114" s="360"/>
      <c r="S114" s="361">
        <f t="shared" ref="S114:V121" si="52">SUMIF($J104:$AO104, S104, $J$56:$AO$56)</f>
        <v>5505.1173950906996</v>
      </c>
      <c r="T114" s="361">
        <f t="shared" si="52"/>
        <v>5816.0983431508384</v>
      </c>
      <c r="U114" s="361">
        <f t="shared" si="52"/>
        <v>2397.5177247579095</v>
      </c>
      <c r="V114" s="361">
        <f t="shared" si="52"/>
        <v>2669.2136733880802</v>
      </c>
      <c r="W114" s="360"/>
      <c r="X114" s="361">
        <f t="shared" ref="X114:AA121" si="53">SUMIF($J104:$AO104, X104, $J$56:$AO$56)</f>
        <v>5505.1173950906996</v>
      </c>
      <c r="Y114" s="361">
        <f t="shared" si="53"/>
        <v>5816.0983431508384</v>
      </c>
      <c r="Z114" s="361">
        <f t="shared" si="53"/>
        <v>2397.5177247579095</v>
      </c>
      <c r="AA114" s="361">
        <f t="shared" si="53"/>
        <v>2669.2136733880802</v>
      </c>
      <c r="AB114" s="360"/>
      <c r="AC114" s="361">
        <f t="shared" ref="AC114:AG121" si="54">SUMIF($J104:$AO104, AC104, $J$56:$AO$56)</f>
        <v>1548.6689527111448</v>
      </c>
      <c r="AD114" s="361">
        <f t="shared" si="54"/>
        <v>1078.5926528555271</v>
      </c>
      <c r="AE114" s="361">
        <f t="shared" si="54"/>
        <v>345.06699813577211</v>
      </c>
      <c r="AF114" s="361">
        <f t="shared" si="54"/>
        <v>399.82313855851442</v>
      </c>
      <c r="AG114" s="361">
        <f t="shared" si="54"/>
        <v>37.113907471596569</v>
      </c>
      <c r="AH114" s="360"/>
      <c r="AI114" s="360"/>
      <c r="AJ114" s="360"/>
      <c r="AK114" s="360"/>
      <c r="AL114" s="360"/>
      <c r="AM114" s="360"/>
      <c r="AN114" s="360"/>
      <c r="AO114" s="360"/>
    </row>
    <row r="115" spans="1:41" x14ac:dyDescent="0.3">
      <c r="A115" s="320"/>
      <c r="B115" s="320"/>
      <c r="C115" s="29"/>
      <c r="D115"/>
      <c r="E115"/>
      <c r="F115" s="311" t="s">
        <v>1001</v>
      </c>
      <c r="G115" s="311" t="s">
        <v>214</v>
      </c>
      <c r="H115" s="311"/>
      <c r="I115" s="311"/>
      <c r="J115" s="362">
        <f t="shared" si="50"/>
        <v>2559230.0756873167</v>
      </c>
      <c r="K115" s="356"/>
      <c r="L115" s="356"/>
      <c r="M115" s="362">
        <f t="shared" si="51"/>
        <v>125865.77381369335</v>
      </c>
      <c r="N115" s="362">
        <f t="shared" si="51"/>
        <v>125865.77381369335</v>
      </c>
      <c r="O115" s="362">
        <f t="shared" si="51"/>
        <v>29067.603299210616</v>
      </c>
      <c r="P115" s="362">
        <f t="shared" si="51"/>
        <v>33075.687865688313</v>
      </c>
      <c r="Q115" s="356"/>
      <c r="R115" s="356"/>
      <c r="S115" s="362">
        <f t="shared" si="52"/>
        <v>11321.215738241537</v>
      </c>
      <c r="T115" s="362">
        <f t="shared" si="52"/>
        <v>11321.215738241537</v>
      </c>
      <c r="U115" s="362">
        <f t="shared" si="52"/>
        <v>2397.5177247579095</v>
      </c>
      <c r="V115" s="362">
        <f t="shared" si="52"/>
        <v>2669.2136733880802</v>
      </c>
      <c r="W115" s="356"/>
      <c r="X115" s="362">
        <f t="shared" si="53"/>
        <v>11321.215738241537</v>
      </c>
      <c r="Y115" s="362">
        <f t="shared" si="53"/>
        <v>11321.215738241537</v>
      </c>
      <c r="Z115" s="362">
        <f t="shared" si="53"/>
        <v>2397.5177247579095</v>
      </c>
      <c r="AA115" s="362">
        <f t="shared" si="53"/>
        <v>2669.2136733880802</v>
      </c>
      <c r="AB115" s="356"/>
      <c r="AC115" s="362">
        <f t="shared" si="54"/>
        <v>2627.2616055666722</v>
      </c>
      <c r="AD115" s="362">
        <f t="shared" si="54"/>
        <v>2627.2616055666722</v>
      </c>
      <c r="AE115" s="362">
        <f t="shared" si="54"/>
        <v>345.06699813577211</v>
      </c>
      <c r="AF115" s="362">
        <f t="shared" si="54"/>
        <v>399.82313855851442</v>
      </c>
      <c r="AG115" s="362">
        <f t="shared" si="54"/>
        <v>37.113907471596569</v>
      </c>
      <c r="AH115" s="356"/>
      <c r="AI115" s="356"/>
      <c r="AJ115" s="356"/>
      <c r="AK115" s="356"/>
      <c r="AL115" s="356"/>
      <c r="AM115" s="356"/>
      <c r="AN115" s="356"/>
      <c r="AO115" s="356"/>
    </row>
    <row r="116" spans="1:41" x14ac:dyDescent="0.3">
      <c r="A116" s="320"/>
      <c r="B116" s="320"/>
      <c r="C116" s="29"/>
      <c r="D116"/>
      <c r="E116"/>
      <c r="F116" s="311" t="s">
        <v>1002</v>
      </c>
      <c r="G116" s="311" t="s">
        <v>214</v>
      </c>
      <c r="H116" s="311"/>
      <c r="I116" s="311"/>
      <c r="J116" s="362">
        <f t="shared" si="50"/>
        <v>2559230.0756873167</v>
      </c>
      <c r="K116" s="356"/>
      <c r="L116" s="356"/>
      <c r="M116" s="362">
        <f t="shared" si="51"/>
        <v>67322.669349880758</v>
      </c>
      <c r="N116" s="362">
        <f t="shared" si="51"/>
        <v>87610.707763023194</v>
      </c>
      <c r="O116" s="362">
        <f t="shared" si="51"/>
        <v>87610.707763023194</v>
      </c>
      <c r="P116" s="362">
        <f t="shared" si="51"/>
        <v>33075.687865688313</v>
      </c>
      <c r="Q116" s="356"/>
      <c r="R116" s="356"/>
      <c r="S116" s="362">
        <f t="shared" si="52"/>
        <v>5505.1173950906996</v>
      </c>
      <c r="T116" s="362">
        <f t="shared" si="52"/>
        <v>8213.6160679087479</v>
      </c>
      <c r="U116" s="362">
        <f t="shared" si="52"/>
        <v>8213.6160679087479</v>
      </c>
      <c r="V116" s="362">
        <f t="shared" si="52"/>
        <v>2669.2136733880802</v>
      </c>
      <c r="W116" s="356"/>
      <c r="X116" s="362">
        <f t="shared" si="53"/>
        <v>5505.1173950906996</v>
      </c>
      <c r="Y116" s="362">
        <f t="shared" si="53"/>
        <v>8213.6160679087479</v>
      </c>
      <c r="Z116" s="362">
        <f t="shared" si="53"/>
        <v>8213.6160679087479</v>
      </c>
      <c r="AA116" s="362">
        <f t="shared" si="53"/>
        <v>2669.2136733880802</v>
      </c>
      <c r="AB116" s="356"/>
      <c r="AC116" s="362">
        <f t="shared" si="54"/>
        <v>1548.6689527111448</v>
      </c>
      <c r="AD116" s="362">
        <f t="shared" si="54"/>
        <v>1423.6596509912993</v>
      </c>
      <c r="AE116" s="362">
        <f t="shared" si="54"/>
        <v>1423.6596509912993</v>
      </c>
      <c r="AF116" s="362">
        <f t="shared" si="54"/>
        <v>399.82313855851442</v>
      </c>
      <c r="AG116" s="362">
        <f t="shared" si="54"/>
        <v>37.113907471596569</v>
      </c>
      <c r="AH116" s="356"/>
      <c r="AI116" s="356"/>
      <c r="AJ116" s="356"/>
      <c r="AK116" s="356"/>
      <c r="AL116" s="356"/>
      <c r="AM116" s="356"/>
      <c r="AN116" s="356"/>
      <c r="AO116" s="356"/>
    </row>
    <row r="117" spans="1:41" x14ac:dyDescent="0.3">
      <c r="A117" s="320"/>
      <c r="B117" s="320"/>
      <c r="C117" s="29"/>
      <c r="D117"/>
      <c r="E117"/>
      <c r="F117" s="311" t="s">
        <v>1003</v>
      </c>
      <c r="G117" s="311" t="s">
        <v>214</v>
      </c>
      <c r="H117" s="311"/>
      <c r="I117" s="311"/>
      <c r="J117" s="362">
        <f t="shared" si="50"/>
        <v>2559230.0756873167</v>
      </c>
      <c r="K117" s="356"/>
      <c r="L117" s="356"/>
      <c r="M117" s="362">
        <f t="shared" si="51"/>
        <v>67322.669349880758</v>
      </c>
      <c r="N117" s="362">
        <f t="shared" si="51"/>
        <v>58543.104463812582</v>
      </c>
      <c r="O117" s="362">
        <f t="shared" si="51"/>
        <v>62143.291164898925</v>
      </c>
      <c r="P117" s="362">
        <f t="shared" si="51"/>
        <v>62143.291164898925</v>
      </c>
      <c r="Q117" s="356"/>
      <c r="R117" s="356"/>
      <c r="S117" s="362">
        <f t="shared" si="52"/>
        <v>5505.1173950906996</v>
      </c>
      <c r="T117" s="362">
        <f t="shared" si="52"/>
        <v>5816.0983431508384</v>
      </c>
      <c r="U117" s="362">
        <f t="shared" si="52"/>
        <v>5066.7313981459893</v>
      </c>
      <c r="V117" s="362">
        <f t="shared" si="52"/>
        <v>5066.7313981459893</v>
      </c>
      <c r="W117" s="356"/>
      <c r="X117" s="362">
        <f t="shared" si="53"/>
        <v>5505.1173950906996</v>
      </c>
      <c r="Y117" s="362">
        <f t="shared" si="53"/>
        <v>5816.0983431508384</v>
      </c>
      <c r="Z117" s="362">
        <f t="shared" si="53"/>
        <v>5066.7313981459893</v>
      </c>
      <c r="AA117" s="362">
        <f t="shared" si="53"/>
        <v>5066.7313981459893</v>
      </c>
      <c r="AB117" s="356"/>
      <c r="AC117" s="362">
        <f t="shared" si="54"/>
        <v>1548.6689527111448</v>
      </c>
      <c r="AD117" s="362">
        <f t="shared" si="54"/>
        <v>1078.5926528555271</v>
      </c>
      <c r="AE117" s="362">
        <f t="shared" si="54"/>
        <v>744.89013669428653</v>
      </c>
      <c r="AF117" s="362">
        <f t="shared" si="54"/>
        <v>744.89013669428653</v>
      </c>
      <c r="AG117" s="362">
        <f t="shared" si="54"/>
        <v>37.113907471596569</v>
      </c>
      <c r="AH117" s="356"/>
      <c r="AI117" s="356"/>
      <c r="AJ117" s="356"/>
      <c r="AK117" s="356"/>
      <c r="AL117" s="356"/>
      <c r="AM117" s="356"/>
      <c r="AN117" s="356"/>
      <c r="AO117" s="356"/>
    </row>
    <row r="118" spans="1:41" x14ac:dyDescent="0.3">
      <c r="A118" s="320"/>
      <c r="B118" s="320"/>
      <c r="C118" s="29"/>
      <c r="D118"/>
      <c r="E118"/>
      <c r="F118" s="311" t="s">
        <v>1004</v>
      </c>
      <c r="G118" s="311" t="s">
        <v>214</v>
      </c>
      <c r="H118" s="311"/>
      <c r="I118" s="311"/>
      <c r="J118" s="362">
        <f t="shared" si="50"/>
        <v>2559230.0756873167</v>
      </c>
      <c r="K118" s="356"/>
      <c r="L118" s="356"/>
      <c r="M118" s="362">
        <f t="shared" si="51"/>
        <v>125865.77381369335</v>
      </c>
      <c r="N118" s="362">
        <f t="shared" si="51"/>
        <v>125865.77381369335</v>
      </c>
      <c r="O118" s="362">
        <f t="shared" si="51"/>
        <v>62143.291164898925</v>
      </c>
      <c r="P118" s="362">
        <f t="shared" si="51"/>
        <v>62143.291164898925</v>
      </c>
      <c r="Q118" s="356"/>
      <c r="R118" s="356"/>
      <c r="S118" s="362">
        <f t="shared" si="52"/>
        <v>11321.215738241537</v>
      </c>
      <c r="T118" s="362">
        <f t="shared" si="52"/>
        <v>11321.215738241537</v>
      </c>
      <c r="U118" s="362">
        <f t="shared" si="52"/>
        <v>5066.7313981459893</v>
      </c>
      <c r="V118" s="362">
        <f t="shared" si="52"/>
        <v>5066.7313981459893</v>
      </c>
      <c r="W118" s="356"/>
      <c r="X118" s="362">
        <f t="shared" si="53"/>
        <v>11321.215738241537</v>
      </c>
      <c r="Y118" s="362">
        <f t="shared" si="53"/>
        <v>11321.215738241537</v>
      </c>
      <c r="Z118" s="362">
        <f t="shared" si="53"/>
        <v>5066.7313981459893</v>
      </c>
      <c r="AA118" s="362">
        <f t="shared" si="53"/>
        <v>5066.7313981459893</v>
      </c>
      <c r="AB118" s="356"/>
      <c r="AC118" s="362">
        <f t="shared" si="54"/>
        <v>2627.2616055666722</v>
      </c>
      <c r="AD118" s="362">
        <f t="shared" si="54"/>
        <v>2627.2616055666722</v>
      </c>
      <c r="AE118" s="362">
        <f t="shared" si="54"/>
        <v>744.89013669428653</v>
      </c>
      <c r="AF118" s="362">
        <f t="shared" si="54"/>
        <v>744.89013669428653</v>
      </c>
      <c r="AG118" s="362">
        <f t="shared" si="54"/>
        <v>37.113907471596569</v>
      </c>
      <c r="AH118" s="356"/>
      <c r="AI118" s="356"/>
      <c r="AJ118" s="356"/>
      <c r="AK118" s="356"/>
      <c r="AL118" s="356"/>
      <c r="AM118" s="356"/>
      <c r="AN118" s="356"/>
      <c r="AO118" s="356"/>
    </row>
    <row r="119" spans="1:41" x14ac:dyDescent="0.3">
      <c r="A119" s="320"/>
      <c r="B119" s="320"/>
      <c r="C119" s="29"/>
      <c r="D119"/>
      <c r="E119"/>
      <c r="F119" s="311" t="s">
        <v>1005</v>
      </c>
      <c r="G119" s="311" t="s">
        <v>214</v>
      </c>
      <c r="H119" s="311"/>
      <c r="I119" s="311"/>
      <c r="J119" s="362">
        <f t="shared" si="50"/>
        <v>2559230.0756873167</v>
      </c>
      <c r="K119" s="356"/>
      <c r="L119" s="356"/>
      <c r="M119" s="362">
        <f t="shared" si="51"/>
        <v>154933.37711290395</v>
      </c>
      <c r="N119" s="362">
        <f t="shared" si="51"/>
        <v>154933.37711290395</v>
      </c>
      <c r="O119" s="362">
        <f t="shared" si="51"/>
        <v>154933.37711290395</v>
      </c>
      <c r="P119" s="362">
        <f t="shared" si="51"/>
        <v>33075.687865688313</v>
      </c>
      <c r="Q119" s="356"/>
      <c r="R119" s="356"/>
      <c r="S119" s="362">
        <f t="shared" si="52"/>
        <v>13718.733462999448</v>
      </c>
      <c r="T119" s="362">
        <f t="shared" si="52"/>
        <v>13718.733462999448</v>
      </c>
      <c r="U119" s="362">
        <f t="shared" si="52"/>
        <v>13718.733462999448</v>
      </c>
      <c r="V119" s="362">
        <f t="shared" si="52"/>
        <v>2669.2136733880802</v>
      </c>
      <c r="W119" s="356"/>
      <c r="X119" s="362">
        <f t="shared" si="53"/>
        <v>13718.733462999448</v>
      </c>
      <c r="Y119" s="362">
        <f t="shared" si="53"/>
        <v>13718.733462999448</v>
      </c>
      <c r="Z119" s="362">
        <f t="shared" si="53"/>
        <v>13718.733462999448</v>
      </c>
      <c r="AA119" s="362">
        <f t="shared" si="53"/>
        <v>2669.2136733880802</v>
      </c>
      <c r="AB119" s="356"/>
      <c r="AC119" s="362">
        <f t="shared" si="54"/>
        <v>2972.3286037024445</v>
      </c>
      <c r="AD119" s="362">
        <f t="shared" si="54"/>
        <v>2972.3286037024445</v>
      </c>
      <c r="AE119" s="362">
        <f t="shared" si="54"/>
        <v>2972.3286037024445</v>
      </c>
      <c r="AF119" s="362">
        <f t="shared" si="54"/>
        <v>399.82313855851442</v>
      </c>
      <c r="AG119" s="362">
        <f t="shared" si="54"/>
        <v>37.113907471596569</v>
      </c>
      <c r="AH119" s="356"/>
      <c r="AI119" s="356"/>
      <c r="AJ119" s="356"/>
      <c r="AK119" s="356"/>
      <c r="AL119" s="356"/>
      <c r="AM119" s="356"/>
      <c r="AN119" s="356"/>
      <c r="AO119" s="356"/>
    </row>
    <row r="120" spans="1:41" x14ac:dyDescent="0.3">
      <c r="A120" s="320"/>
      <c r="B120" s="320"/>
      <c r="C120" s="29"/>
      <c r="D120"/>
      <c r="E120"/>
      <c r="F120" s="311" t="s">
        <v>1006</v>
      </c>
      <c r="G120" s="311" t="s">
        <v>214</v>
      </c>
      <c r="H120" s="311"/>
      <c r="I120" s="311"/>
      <c r="J120" s="362">
        <f t="shared" si="50"/>
        <v>2559230.0756873167</v>
      </c>
      <c r="K120" s="356"/>
      <c r="L120" s="356"/>
      <c r="M120" s="362">
        <f t="shared" si="51"/>
        <v>67322.669349880758</v>
      </c>
      <c r="N120" s="362">
        <f t="shared" si="51"/>
        <v>120686.3956287115</v>
      </c>
      <c r="O120" s="362">
        <f t="shared" si="51"/>
        <v>120686.3956287115</v>
      </c>
      <c r="P120" s="362">
        <f t="shared" si="51"/>
        <v>120686.3956287115</v>
      </c>
      <c r="Q120" s="356"/>
      <c r="R120" s="356"/>
      <c r="S120" s="362">
        <f t="shared" si="52"/>
        <v>5505.1173950906996</v>
      </c>
      <c r="T120" s="362">
        <f t="shared" si="52"/>
        <v>10882.829741296828</v>
      </c>
      <c r="U120" s="362">
        <f t="shared" si="52"/>
        <v>10882.829741296828</v>
      </c>
      <c r="V120" s="362">
        <f t="shared" si="52"/>
        <v>10882.829741296828</v>
      </c>
      <c r="W120" s="356"/>
      <c r="X120" s="362">
        <f t="shared" si="53"/>
        <v>5505.1173950906996</v>
      </c>
      <c r="Y120" s="362">
        <f t="shared" si="53"/>
        <v>10882.829741296828</v>
      </c>
      <c r="Z120" s="362">
        <f t="shared" si="53"/>
        <v>10882.829741296828</v>
      </c>
      <c r="AA120" s="362">
        <f t="shared" si="53"/>
        <v>10882.829741296828</v>
      </c>
      <c r="AB120" s="356"/>
      <c r="AC120" s="362">
        <f t="shared" si="54"/>
        <v>1548.6689527111448</v>
      </c>
      <c r="AD120" s="362">
        <f t="shared" si="54"/>
        <v>1823.4827895498138</v>
      </c>
      <c r="AE120" s="362">
        <f t="shared" si="54"/>
        <v>1823.4827895498138</v>
      </c>
      <c r="AF120" s="362">
        <f t="shared" si="54"/>
        <v>1823.4827895498138</v>
      </c>
      <c r="AG120" s="362">
        <f t="shared" si="54"/>
        <v>37.113907471596569</v>
      </c>
      <c r="AH120" s="356"/>
      <c r="AI120" s="356"/>
      <c r="AJ120" s="356"/>
      <c r="AK120" s="356"/>
      <c r="AL120" s="356"/>
      <c r="AM120" s="356"/>
      <c r="AN120" s="356"/>
      <c r="AO120" s="356"/>
    </row>
    <row r="121" spans="1:41" x14ac:dyDescent="0.3">
      <c r="A121" s="320"/>
      <c r="B121" s="320"/>
      <c r="C121" s="29"/>
      <c r="D121"/>
      <c r="E121"/>
      <c r="F121" s="37" t="s">
        <v>1007</v>
      </c>
      <c r="G121" s="37" t="s">
        <v>214</v>
      </c>
      <c r="H121" s="37"/>
      <c r="I121" s="37"/>
      <c r="J121" s="363">
        <f t="shared" si="50"/>
        <v>2559230.0756873167</v>
      </c>
      <c r="K121" s="358"/>
      <c r="L121" s="358"/>
      <c r="M121" s="363">
        <f t="shared" si="51"/>
        <v>188009.06497859227</v>
      </c>
      <c r="N121" s="363">
        <f t="shared" si="51"/>
        <v>188009.06497859227</v>
      </c>
      <c r="O121" s="363">
        <f t="shared" si="51"/>
        <v>188009.06497859227</v>
      </c>
      <c r="P121" s="363">
        <f t="shared" si="51"/>
        <v>188009.06497859227</v>
      </c>
      <c r="Q121" s="358"/>
      <c r="R121" s="358"/>
      <c r="S121" s="363">
        <f t="shared" si="52"/>
        <v>16387.947136387527</v>
      </c>
      <c r="T121" s="363">
        <f t="shared" si="52"/>
        <v>16387.947136387527</v>
      </c>
      <c r="U121" s="363">
        <f t="shared" si="52"/>
        <v>16387.947136387527</v>
      </c>
      <c r="V121" s="363">
        <f t="shared" si="52"/>
        <v>16387.947136387527</v>
      </c>
      <c r="W121" s="358"/>
      <c r="X121" s="363">
        <f t="shared" si="53"/>
        <v>16387.947136387527</v>
      </c>
      <c r="Y121" s="363">
        <f t="shared" si="53"/>
        <v>16387.947136387527</v>
      </c>
      <c r="Z121" s="363">
        <f t="shared" si="53"/>
        <v>16387.947136387527</v>
      </c>
      <c r="AA121" s="363">
        <f t="shared" si="53"/>
        <v>16387.947136387527</v>
      </c>
      <c r="AB121" s="358"/>
      <c r="AC121" s="363">
        <f t="shared" si="54"/>
        <v>3372.1517422609591</v>
      </c>
      <c r="AD121" s="363">
        <f t="shared" si="54"/>
        <v>3372.1517422609591</v>
      </c>
      <c r="AE121" s="363">
        <f t="shared" si="54"/>
        <v>3372.1517422609591</v>
      </c>
      <c r="AF121" s="363">
        <f t="shared" si="54"/>
        <v>3372.1517422609591</v>
      </c>
      <c r="AG121" s="363">
        <f t="shared" si="54"/>
        <v>37.113907471596569</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1015</v>
      </c>
      <c r="G123" t="s">
        <v>151</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1024</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1000</v>
      </c>
      <c r="G126" s="23" t="s">
        <v>914</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1001</v>
      </c>
      <c r="G127" s="311" t="s">
        <v>914</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1002</v>
      </c>
      <c r="G128" s="311" t="s">
        <v>914</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1003</v>
      </c>
      <c r="G129" s="311" t="s">
        <v>914</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1004</v>
      </c>
      <c r="G130" s="311" t="s">
        <v>914</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1005</v>
      </c>
      <c r="G131" s="311" t="s">
        <v>914</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1006</v>
      </c>
      <c r="G132" s="311" t="s">
        <v>914</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1007</v>
      </c>
      <c r="G133" s="37" t="s">
        <v>914</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1124</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1000</v>
      </c>
      <c r="G136" s="23" t="s">
        <v>151</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1001</v>
      </c>
      <c r="G137" s="311" t="s">
        <v>151</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1002</v>
      </c>
      <c r="G138" s="311" t="s">
        <v>151</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1003</v>
      </c>
      <c r="G139" s="311" t="s">
        <v>151</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1004</v>
      </c>
      <c r="G140" s="311" t="s">
        <v>151</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1005</v>
      </c>
      <c r="G141" s="311" t="s">
        <v>151</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1006</v>
      </c>
      <c r="G142" s="311" t="s">
        <v>151</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1007</v>
      </c>
      <c r="G143" s="37" t="s">
        <v>151</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1017</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1016</v>
      </c>
      <c r="G147" t="s">
        <v>151</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1025</v>
      </c>
      <c r="G149" t="s">
        <v>151</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1034</v>
      </c>
      <c r="G153" t="s">
        <v>214</v>
      </c>
      <c r="J153" s="163">
        <f t="shared" ref="J153:AO153" si="98">IF(J32, J56, 0)</f>
        <v>2559230.0756873167</v>
      </c>
      <c r="K153" s="163">
        <f t="shared" si="98"/>
        <v>0</v>
      </c>
      <c r="L153" s="163">
        <f t="shared" si="98"/>
        <v>0</v>
      </c>
      <c r="M153" s="163">
        <f t="shared" si="98"/>
        <v>67322.669349880758</v>
      </c>
      <c r="N153" s="163">
        <f t="shared" si="98"/>
        <v>58543.104463812582</v>
      </c>
      <c r="O153" s="163">
        <f t="shared" si="98"/>
        <v>29067.603299210616</v>
      </c>
      <c r="P153" s="163">
        <f t="shared" si="98"/>
        <v>33075.687865688313</v>
      </c>
      <c r="Q153" s="163">
        <f t="shared" si="98"/>
        <v>0</v>
      </c>
      <c r="R153" s="163">
        <f t="shared" si="98"/>
        <v>0</v>
      </c>
      <c r="S153" s="163">
        <f t="shared" si="98"/>
        <v>5490.5862475307358</v>
      </c>
      <c r="T153" s="163">
        <f t="shared" si="98"/>
        <v>5776.8642447389366</v>
      </c>
      <c r="U153" s="163">
        <f t="shared" si="98"/>
        <v>2346.6587082980363</v>
      </c>
      <c r="V153" s="163">
        <f t="shared" si="98"/>
        <v>2241.9979351251463</v>
      </c>
      <c r="W153" s="163">
        <f t="shared" si="98"/>
        <v>0</v>
      </c>
      <c r="X153" s="163">
        <f t="shared" si="98"/>
        <v>14.531147559963742</v>
      </c>
      <c r="Y153" s="163">
        <f t="shared" si="98"/>
        <v>39.234098411902103</v>
      </c>
      <c r="Z153" s="163">
        <f t="shared" si="98"/>
        <v>50.859016459873096</v>
      </c>
      <c r="AA153" s="163">
        <f t="shared" si="98"/>
        <v>427.21573826293405</v>
      </c>
      <c r="AB153" s="163">
        <f t="shared" si="98"/>
        <v>0</v>
      </c>
      <c r="AC153" s="163">
        <f t="shared" si="98"/>
        <v>1548.6689527111448</v>
      </c>
      <c r="AD153" s="163">
        <f t="shared" si="98"/>
        <v>1078.5926528555271</v>
      </c>
      <c r="AE153" s="163">
        <f t="shared" si="98"/>
        <v>345.06699813577211</v>
      </c>
      <c r="AF153" s="163">
        <f t="shared" si="98"/>
        <v>399.82313855851442</v>
      </c>
      <c r="AG153" s="163">
        <f t="shared" si="98"/>
        <v>37.113907471596569</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1031</v>
      </c>
      <c r="G155" t="s">
        <v>214</v>
      </c>
      <c r="J155" s="163">
        <f t="shared" ref="J155:AO155" si="99">SUMIF($J$149:$AO$149,J149,$J$153:$AO$153)</f>
        <v>2559230.0756873167</v>
      </c>
      <c r="K155" s="163">
        <f t="shared" si="99"/>
        <v>0</v>
      </c>
      <c r="L155" s="163">
        <f t="shared" si="99"/>
        <v>0</v>
      </c>
      <c r="M155" s="163">
        <f t="shared" si="99"/>
        <v>67322.669349880758</v>
      </c>
      <c r="N155" s="163">
        <f t="shared" si="99"/>
        <v>58543.104463812582</v>
      </c>
      <c r="O155" s="163">
        <f t="shared" si="99"/>
        <v>29067.603299210616</v>
      </c>
      <c r="P155" s="163">
        <f t="shared" si="99"/>
        <v>33075.687865688313</v>
      </c>
      <c r="Q155" s="163">
        <f t="shared" si="99"/>
        <v>0</v>
      </c>
      <c r="R155" s="163">
        <f t="shared" si="99"/>
        <v>0</v>
      </c>
      <c r="S155" s="163">
        <f t="shared" si="99"/>
        <v>5505.1173950906996</v>
      </c>
      <c r="T155" s="163">
        <f t="shared" si="99"/>
        <v>5816.0983431508384</v>
      </c>
      <c r="U155" s="163">
        <f t="shared" si="99"/>
        <v>2397.5177247579095</v>
      </c>
      <c r="V155" s="163">
        <f t="shared" si="99"/>
        <v>2669.2136733880802</v>
      </c>
      <c r="W155" s="163">
        <f t="shared" si="99"/>
        <v>0</v>
      </c>
      <c r="X155" s="163">
        <f t="shared" si="99"/>
        <v>5505.1173950906996</v>
      </c>
      <c r="Y155" s="163">
        <f t="shared" si="99"/>
        <v>5816.0983431508384</v>
      </c>
      <c r="Z155" s="163">
        <f t="shared" si="99"/>
        <v>2397.5177247579095</v>
      </c>
      <c r="AA155" s="163">
        <f t="shared" si="99"/>
        <v>2669.2136733880802</v>
      </c>
      <c r="AB155" s="163">
        <f t="shared" si="99"/>
        <v>0</v>
      </c>
      <c r="AC155" s="163">
        <f t="shared" si="99"/>
        <v>1548.6689527111448</v>
      </c>
      <c r="AD155" s="163">
        <f t="shared" si="99"/>
        <v>1078.5926528555271</v>
      </c>
      <c r="AE155" s="163">
        <f t="shared" si="99"/>
        <v>345.06699813577211</v>
      </c>
      <c r="AF155" s="163">
        <f t="shared" si="99"/>
        <v>399.82313855851442</v>
      </c>
      <c r="AG155" s="163">
        <f t="shared" si="99"/>
        <v>37.113907471596569</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1140</v>
      </c>
      <c r="G157" t="s">
        <v>169</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0.99736042912128953</v>
      </c>
      <c r="T157" s="402">
        <f t="shared" si="100"/>
        <v>0.99325422369136784</v>
      </c>
      <c r="U157" s="402">
        <f t="shared" si="100"/>
        <v>0.97878680272738816</v>
      </c>
      <c r="V157" s="402">
        <f t="shared" si="100"/>
        <v>0.83994696920585554</v>
      </c>
      <c r="W157" s="402">
        <f t="shared" si="100"/>
        <v>0</v>
      </c>
      <c r="X157" s="402">
        <f t="shared" si="100"/>
        <v>2.6395708787104503E-3</v>
      </c>
      <c r="Y157" s="402">
        <f t="shared" si="100"/>
        <v>6.745776308632232E-3</v>
      </c>
      <c r="Z157" s="402">
        <f t="shared" si="100"/>
        <v>2.1213197272611867E-2</v>
      </c>
      <c r="AA157" s="402">
        <f t="shared" si="100"/>
        <v>0.16005303079414454</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1152</v>
      </c>
      <c r="I161" t="s">
        <v>156</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1147</v>
      </c>
    </row>
    <row r="162" spans="3:43" x14ac:dyDescent="0.3">
      <c r="C162" s="29"/>
      <c r="D162" s="29" t="s">
        <v>1126</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1026</v>
      </c>
      <c r="G164" t="s">
        <v>209</v>
      </c>
      <c r="J164" s="163">
        <f t="shared" ref="J164:AO164" si="101">SUM(J53:J55)</f>
        <v>8828570.6008045338</v>
      </c>
      <c r="K164" s="163">
        <f t="shared" si="101"/>
        <v>17120.816451148163</v>
      </c>
      <c r="L164" s="163">
        <f t="shared" si="101"/>
        <v>0</v>
      </c>
      <c r="M164" s="163">
        <f t="shared" si="101"/>
        <v>97736.657811328914</v>
      </c>
      <c r="N164" s="163">
        <f t="shared" si="101"/>
        <v>449843.57462255878</v>
      </c>
      <c r="O164" s="163">
        <f t="shared" si="101"/>
        <v>556790.08225776418</v>
      </c>
      <c r="P164" s="163">
        <f t="shared" si="101"/>
        <v>1974640.3362340641</v>
      </c>
      <c r="Q164" s="163">
        <f t="shared" si="101"/>
        <v>2366.1753523585303</v>
      </c>
      <c r="R164" s="163">
        <f t="shared" si="101"/>
        <v>0</v>
      </c>
      <c r="S164" s="163">
        <f t="shared" si="101"/>
        <v>556876.62514964025</v>
      </c>
      <c r="T164" s="163">
        <f t="shared" si="101"/>
        <v>1009330.6484592559</v>
      </c>
      <c r="U164" s="163">
        <f t="shared" si="101"/>
        <v>642463.81686512474</v>
      </c>
      <c r="V164" s="163">
        <f t="shared" si="101"/>
        <v>1120704.7510779055</v>
      </c>
      <c r="W164" s="163">
        <f t="shared" si="101"/>
        <v>0</v>
      </c>
      <c r="X164" s="163">
        <f t="shared" si="101"/>
        <v>3912.8824069800776</v>
      </c>
      <c r="Y164" s="163">
        <f t="shared" si="101"/>
        <v>7733.0944179179151</v>
      </c>
      <c r="Z164" s="163">
        <f t="shared" si="101"/>
        <v>16368.922120474554</v>
      </c>
      <c r="AA164" s="163">
        <f t="shared" si="101"/>
        <v>235253.07558575273</v>
      </c>
      <c r="AB164" s="163">
        <f t="shared" si="101"/>
        <v>0</v>
      </c>
      <c r="AC164" s="163">
        <f t="shared" si="101"/>
        <v>663944.00324774534</v>
      </c>
      <c r="AD164" s="163">
        <f t="shared" si="101"/>
        <v>1624003.415396662</v>
      </c>
      <c r="AE164" s="163">
        <f t="shared" si="101"/>
        <v>1149789.4115285501</v>
      </c>
      <c r="AF164" s="163">
        <f t="shared" si="101"/>
        <v>3468853.7938608374</v>
      </c>
      <c r="AG164" s="163">
        <f t="shared" si="101"/>
        <v>218528.52945732241</v>
      </c>
      <c r="AH164" s="163">
        <f t="shared" si="101"/>
        <v>787.37767145309772</v>
      </c>
      <c r="AI164" s="163">
        <f t="shared" si="101"/>
        <v>0</v>
      </c>
      <c r="AJ164" s="163">
        <f t="shared" si="101"/>
        <v>52916.10534456365</v>
      </c>
      <c r="AK164" s="163">
        <f t="shared" si="101"/>
        <v>0</v>
      </c>
      <c r="AL164" s="163">
        <f t="shared" si="101"/>
        <v>7384.4042853173005</v>
      </c>
      <c r="AM164" s="163">
        <f t="shared" si="101"/>
        <v>0</v>
      </c>
      <c r="AN164" s="163">
        <f t="shared" si="101"/>
        <v>1551393.3850069167</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1027</v>
      </c>
      <c r="G166" t="s">
        <v>209</v>
      </c>
      <c r="J166" s="163">
        <f t="shared" ref="J166:AO166" si="102">IF(J32,J164, 0)</f>
        <v>8828570.6008045338</v>
      </c>
      <c r="K166" s="163">
        <f t="shared" si="102"/>
        <v>0</v>
      </c>
      <c r="L166" s="163">
        <f t="shared" si="102"/>
        <v>0</v>
      </c>
      <c r="M166" s="163">
        <f t="shared" si="102"/>
        <v>97736.657811328914</v>
      </c>
      <c r="N166" s="163">
        <f t="shared" si="102"/>
        <v>449843.57462255878</v>
      </c>
      <c r="O166" s="163">
        <f t="shared" si="102"/>
        <v>556790.08225776418</v>
      </c>
      <c r="P166" s="163">
        <f t="shared" si="102"/>
        <v>1974640.3362340641</v>
      </c>
      <c r="Q166" s="163">
        <f t="shared" si="102"/>
        <v>0</v>
      </c>
      <c r="R166" s="163">
        <f t="shared" si="102"/>
        <v>0</v>
      </c>
      <c r="S166" s="163">
        <f t="shared" si="102"/>
        <v>556876.62514964025</v>
      </c>
      <c r="T166" s="163">
        <f t="shared" si="102"/>
        <v>1009330.6484592559</v>
      </c>
      <c r="U166" s="163">
        <f t="shared" si="102"/>
        <v>642463.81686512474</v>
      </c>
      <c r="V166" s="163">
        <f t="shared" si="102"/>
        <v>1120704.7510779055</v>
      </c>
      <c r="W166" s="163">
        <f t="shared" si="102"/>
        <v>0</v>
      </c>
      <c r="X166" s="163">
        <f t="shared" si="102"/>
        <v>3912.8824069800776</v>
      </c>
      <c r="Y166" s="163">
        <f t="shared" si="102"/>
        <v>7733.0944179179151</v>
      </c>
      <c r="Z166" s="163">
        <f t="shared" si="102"/>
        <v>16368.922120474554</v>
      </c>
      <c r="AA166" s="163">
        <f t="shared" si="102"/>
        <v>235253.07558575273</v>
      </c>
      <c r="AB166" s="163">
        <f t="shared" si="102"/>
        <v>0</v>
      </c>
      <c r="AC166" s="163">
        <f t="shared" si="102"/>
        <v>663944.00324774534</v>
      </c>
      <c r="AD166" s="163">
        <f t="shared" si="102"/>
        <v>1624003.415396662</v>
      </c>
      <c r="AE166" s="163">
        <f t="shared" si="102"/>
        <v>1149789.4115285501</v>
      </c>
      <c r="AF166" s="163">
        <f t="shared" si="102"/>
        <v>3468853.7938608374</v>
      </c>
      <c r="AG166" s="163">
        <f t="shared" si="102"/>
        <v>218528.52945732241</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1036</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1021</v>
      </c>
      <c r="G170" t="s">
        <v>169</v>
      </c>
      <c r="J170" s="383">
        <v>1</v>
      </c>
      <c r="K170" s="66"/>
      <c r="L170" s="79"/>
      <c r="M170" s="426">
        <f>'Volume adjustments'!K689</f>
        <v>3.1742877466807089E-2</v>
      </c>
      <c r="N170" s="426">
        <f>'Volume adjustments'!L689</f>
        <v>0.14610003849363484</v>
      </c>
      <c r="O170" s="426">
        <f>'Volume adjustments'!M689</f>
        <v>0.18083408775814511</v>
      </c>
      <c r="P170" s="426">
        <f>'Volume adjustments'!N689</f>
        <v>0.64132299628141309</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997</v>
      </c>
      <c r="G172" t="s">
        <v>209</v>
      </c>
      <c r="J172" s="163">
        <f>J170*$K164</f>
        <v>17120.816451148163</v>
      </c>
      <c r="K172" s="79"/>
      <c r="L172" s="79"/>
      <c r="M172" s="163">
        <f>M170*$Q164</f>
        <v>75.109214274895919</v>
      </c>
      <c r="N172" s="163">
        <f>N170*$Q164</f>
        <v>345.69831006227128</v>
      </c>
      <c r="O172" s="163">
        <f>O170*$Q164</f>
        <v>427.88516131956237</v>
      </c>
      <c r="P172" s="163">
        <f>P170*$Q164</f>
        <v>1517.482666701801</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1028</v>
      </c>
      <c r="G174" t="s">
        <v>209</v>
      </c>
      <c r="J174" s="163">
        <f t="shared" ref="J174:AO174" si="103">J166+J172</f>
        <v>8845691.4172556829</v>
      </c>
      <c r="K174" s="163">
        <f t="shared" si="103"/>
        <v>0</v>
      </c>
      <c r="L174" s="163">
        <f t="shared" si="103"/>
        <v>0</v>
      </c>
      <c r="M174" s="163">
        <f t="shared" si="103"/>
        <v>97811.767025603811</v>
      </c>
      <c r="N174" s="163">
        <f t="shared" si="103"/>
        <v>450189.27293262107</v>
      </c>
      <c r="O174" s="163">
        <f t="shared" si="103"/>
        <v>557217.9674190837</v>
      </c>
      <c r="P174" s="163">
        <f t="shared" si="103"/>
        <v>1976157.8189007659</v>
      </c>
      <c r="Q174" s="163">
        <f t="shared" si="103"/>
        <v>0</v>
      </c>
      <c r="R174" s="163">
        <f t="shared" si="103"/>
        <v>0</v>
      </c>
      <c r="S174" s="163">
        <f t="shared" si="103"/>
        <v>556876.62514964025</v>
      </c>
      <c r="T174" s="163">
        <f t="shared" si="103"/>
        <v>1009330.6484592559</v>
      </c>
      <c r="U174" s="163">
        <f t="shared" si="103"/>
        <v>642463.81686512474</v>
      </c>
      <c r="V174" s="163">
        <f t="shared" si="103"/>
        <v>1120704.7510779055</v>
      </c>
      <c r="W174" s="163">
        <f t="shared" si="103"/>
        <v>0</v>
      </c>
      <c r="X174" s="163">
        <f t="shared" si="103"/>
        <v>3912.8824069800776</v>
      </c>
      <c r="Y174" s="163">
        <f t="shared" si="103"/>
        <v>7733.0944179179151</v>
      </c>
      <c r="Z174" s="163">
        <f t="shared" si="103"/>
        <v>16368.922120474554</v>
      </c>
      <c r="AA174" s="163">
        <f t="shared" si="103"/>
        <v>235253.07558575273</v>
      </c>
      <c r="AB174" s="163">
        <f t="shared" si="103"/>
        <v>0</v>
      </c>
      <c r="AC174" s="163">
        <f t="shared" si="103"/>
        <v>663944.00324774534</v>
      </c>
      <c r="AD174" s="163">
        <f t="shared" si="103"/>
        <v>1624003.415396662</v>
      </c>
      <c r="AE174" s="163">
        <f t="shared" si="103"/>
        <v>1149789.4115285501</v>
      </c>
      <c r="AF174" s="163">
        <f t="shared" si="103"/>
        <v>3468853.7938608374</v>
      </c>
      <c r="AG174" s="163">
        <f t="shared" si="103"/>
        <v>218528.52945732241</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1127</v>
      </c>
      <c r="I178" t="s">
        <v>156</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1147</v>
      </c>
    </row>
    <row r="179" spans="3:43" x14ac:dyDescent="0.3">
      <c r="C179" s="29"/>
      <c r="D179" s="29" t="s">
        <v>1128</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1129</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1030</v>
      </c>
      <c r="F182" s="320"/>
      <c r="G182" t="s">
        <v>209</v>
      </c>
      <c r="J182" s="163">
        <f t="shared" ref="J182:AO182" si="104">SUMIF($J$149:$AO$149,J149,$J$174:$AO$174)</f>
        <v>8845691.4172556829</v>
      </c>
      <c r="K182" s="163">
        <f t="shared" si="104"/>
        <v>0</v>
      </c>
      <c r="L182" s="163">
        <f t="shared" si="104"/>
        <v>0</v>
      </c>
      <c r="M182" s="163">
        <f t="shared" si="104"/>
        <v>97811.767025603811</v>
      </c>
      <c r="N182" s="163">
        <f t="shared" si="104"/>
        <v>450189.27293262107</v>
      </c>
      <c r="O182" s="163">
        <f t="shared" si="104"/>
        <v>557217.9674190837</v>
      </c>
      <c r="P182" s="163">
        <f t="shared" si="104"/>
        <v>1976157.8189007659</v>
      </c>
      <c r="Q182" s="163">
        <f t="shared" si="104"/>
        <v>0</v>
      </c>
      <c r="R182" s="163">
        <f t="shared" si="104"/>
        <v>0</v>
      </c>
      <c r="S182" s="163">
        <f t="shared" si="104"/>
        <v>560789.50755662029</v>
      </c>
      <c r="T182" s="163">
        <f t="shared" si="104"/>
        <v>1017063.7428771738</v>
      </c>
      <c r="U182" s="163">
        <f t="shared" si="104"/>
        <v>658832.73898559925</v>
      </c>
      <c r="V182" s="163">
        <f t="shared" si="104"/>
        <v>1355957.8266636583</v>
      </c>
      <c r="W182" s="163">
        <f t="shared" si="104"/>
        <v>0</v>
      </c>
      <c r="X182" s="163">
        <f t="shared" si="104"/>
        <v>560789.50755662029</v>
      </c>
      <c r="Y182" s="163">
        <f t="shared" si="104"/>
        <v>1017063.7428771738</v>
      </c>
      <c r="Z182" s="163">
        <f t="shared" si="104"/>
        <v>658832.73898559925</v>
      </c>
      <c r="AA182" s="163">
        <f t="shared" si="104"/>
        <v>1355957.8266636583</v>
      </c>
      <c r="AB182" s="163">
        <f t="shared" si="104"/>
        <v>0</v>
      </c>
      <c r="AC182" s="163">
        <f t="shared" si="104"/>
        <v>663944.00324774534</v>
      </c>
      <c r="AD182" s="163">
        <f t="shared" si="104"/>
        <v>1624003.415396662</v>
      </c>
      <c r="AE182" s="163">
        <f t="shared" si="104"/>
        <v>1149789.4115285501</v>
      </c>
      <c r="AF182" s="163">
        <f t="shared" si="104"/>
        <v>3468853.7938608374</v>
      </c>
      <c r="AG182" s="163">
        <f t="shared" si="104"/>
        <v>218528.52945732241</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1032</v>
      </c>
      <c r="F184" s="320"/>
      <c r="G184" t="s">
        <v>209</v>
      </c>
      <c r="J184" s="163">
        <f>J157*J182</f>
        <v>8845691.4172556829</v>
      </c>
      <c r="K184" s="163">
        <f t="shared" ref="K184:AO184" si="105">K157*K182</f>
        <v>0</v>
      </c>
      <c r="L184" s="163">
        <f t="shared" si="105"/>
        <v>0</v>
      </c>
      <c r="M184" s="163">
        <f t="shared" si="105"/>
        <v>97811.767025603811</v>
      </c>
      <c r="N184" s="163">
        <f t="shared" si="105"/>
        <v>450189.27293262107</v>
      </c>
      <c r="O184" s="163">
        <f t="shared" si="105"/>
        <v>557217.9674190837</v>
      </c>
      <c r="P184" s="163">
        <f t="shared" si="105"/>
        <v>1976157.8189007659</v>
      </c>
      <c r="Q184" s="163">
        <f t="shared" si="105"/>
        <v>0</v>
      </c>
      <c r="R184" s="163">
        <f t="shared" si="105"/>
        <v>0</v>
      </c>
      <c r="S184" s="163">
        <f t="shared" si="105"/>
        <v>559309.26390338747</v>
      </c>
      <c r="T184" s="163">
        <f t="shared" si="105"/>
        <v>1010202.8583761043</v>
      </c>
      <c r="U184" s="163">
        <f t="shared" si="105"/>
        <v>644856.79012384254</v>
      </c>
      <c r="V184" s="163">
        <f t="shared" si="105"/>
        <v>1138932.6668770986</v>
      </c>
      <c r="W184" s="163">
        <f t="shared" si="105"/>
        <v>0</v>
      </c>
      <c r="X184" s="163">
        <f t="shared" si="105"/>
        <v>1480.2436532328288</v>
      </c>
      <c r="Y184" s="163">
        <f t="shared" si="105"/>
        <v>6860.8845010696632</v>
      </c>
      <c r="Z184" s="163">
        <f t="shared" si="105"/>
        <v>13975.94886175672</v>
      </c>
      <c r="AA184" s="163">
        <f t="shared" si="105"/>
        <v>217025.15978655979</v>
      </c>
      <c r="AB184" s="163">
        <f t="shared" si="105"/>
        <v>0</v>
      </c>
      <c r="AC184" s="163">
        <f t="shared" si="105"/>
        <v>663944.00324774534</v>
      </c>
      <c r="AD184" s="163">
        <f t="shared" si="105"/>
        <v>1624003.415396662</v>
      </c>
      <c r="AE184" s="163">
        <f t="shared" si="105"/>
        <v>1149789.4115285501</v>
      </c>
      <c r="AF184" s="163">
        <f t="shared" si="105"/>
        <v>3468853.7938608374</v>
      </c>
      <c r="AG184" s="163">
        <f t="shared" si="105"/>
        <v>218528.52945732241</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457</v>
      </c>
      <c r="G186" t="s">
        <v>209</v>
      </c>
      <c r="H186" s="163">
        <f>SUM($J$184:$AO$184)</f>
        <v>22644831.213107925</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1044</v>
      </c>
      <c r="G188" t="s">
        <v>169</v>
      </c>
      <c r="J188" s="335">
        <f>J184/$H186</f>
        <v>0.39062739457008488</v>
      </c>
      <c r="K188" s="335">
        <f t="shared" ref="K188:AO188" si="106">K184/$H186</f>
        <v>0</v>
      </c>
      <c r="L188" s="335">
        <f t="shared" si="106"/>
        <v>0</v>
      </c>
      <c r="M188" s="335">
        <f t="shared" si="106"/>
        <v>4.3193860049169025E-3</v>
      </c>
      <c r="N188" s="335">
        <f t="shared" si="106"/>
        <v>1.9880442856735878E-2</v>
      </c>
      <c r="O188" s="335">
        <f t="shared" si="106"/>
        <v>2.460685010964175E-2</v>
      </c>
      <c r="P188" s="335">
        <f t="shared" si="106"/>
        <v>8.7267500486242086E-2</v>
      </c>
      <c r="Q188" s="335">
        <f t="shared" si="106"/>
        <v>0</v>
      </c>
      <c r="R188" s="335">
        <f t="shared" si="106"/>
        <v>0</v>
      </c>
      <c r="S188" s="335">
        <f t="shared" si="106"/>
        <v>2.4699202155219958E-2</v>
      </c>
      <c r="T188" s="335">
        <f t="shared" si="106"/>
        <v>4.4610747983466974E-2</v>
      </c>
      <c r="U188" s="335">
        <f t="shared" si="106"/>
        <v>2.847699698245347E-2</v>
      </c>
      <c r="V188" s="335">
        <f t="shared" si="106"/>
        <v>5.0295480507614877E-2</v>
      </c>
      <c r="W188" s="335">
        <f t="shared" si="106"/>
        <v>0</v>
      </c>
      <c r="X188" s="335">
        <f t="shared" si="106"/>
        <v>6.5367837777302229E-5</v>
      </c>
      <c r="Y188" s="335">
        <f t="shared" si="106"/>
        <v>3.0297794832307036E-4</v>
      </c>
      <c r="Z188" s="335">
        <f t="shared" si="106"/>
        <v>6.1718052699225967E-4</v>
      </c>
      <c r="AA188" s="335">
        <f t="shared" si="106"/>
        <v>9.5838718224110723E-3</v>
      </c>
      <c r="AB188" s="335">
        <f t="shared" si="106"/>
        <v>0</v>
      </c>
      <c r="AC188" s="335">
        <f t="shared" si="106"/>
        <v>2.9319891899367411E-2</v>
      </c>
      <c r="AD188" s="335">
        <f t="shared" si="106"/>
        <v>7.1716295878443567E-2</v>
      </c>
      <c r="AE188" s="335">
        <f t="shared" si="106"/>
        <v>5.0774916390765423E-2</v>
      </c>
      <c r="AF188" s="335">
        <f t="shared" si="106"/>
        <v>0.1531852351300767</v>
      </c>
      <c r="AG188" s="335">
        <f t="shared" si="106"/>
        <v>9.6502609094665064E-3</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939</v>
      </c>
      <c r="G190" t="s">
        <v>279</v>
      </c>
      <c r="J190" s="163">
        <f>$H$84 * J188</f>
        <v>90529610.725657389</v>
      </c>
      <c r="K190" s="163">
        <f t="shared" ref="K190:AO190" si="107">$H$84 * K188</f>
        <v>0</v>
      </c>
      <c r="L190" s="163">
        <f t="shared" si="107"/>
        <v>0</v>
      </c>
      <c r="M190" s="163">
        <f t="shared" si="107"/>
        <v>1001036.6375592792</v>
      </c>
      <c r="N190" s="163">
        <f t="shared" si="107"/>
        <v>4607379.7636613715</v>
      </c>
      <c r="O190" s="163">
        <f t="shared" si="107"/>
        <v>5702745.3593267919</v>
      </c>
      <c r="P190" s="163">
        <f t="shared" si="107"/>
        <v>20224625.711966477</v>
      </c>
      <c r="Q190" s="163">
        <f t="shared" si="107"/>
        <v>0</v>
      </c>
      <c r="R190" s="163">
        <f t="shared" si="107"/>
        <v>0</v>
      </c>
      <c r="S190" s="163">
        <f t="shared" si="107"/>
        <v>5724148.3506482653</v>
      </c>
      <c r="T190" s="163">
        <f t="shared" si="107"/>
        <v>10338736.364274833</v>
      </c>
      <c r="U190" s="163">
        <f t="shared" si="107"/>
        <v>6599668.8591042878</v>
      </c>
      <c r="V190" s="163">
        <f t="shared" si="107"/>
        <v>11656198.041679692</v>
      </c>
      <c r="W190" s="163">
        <f t="shared" si="107"/>
        <v>0</v>
      </c>
      <c r="X190" s="163">
        <f t="shared" si="107"/>
        <v>15149.282897759891</v>
      </c>
      <c r="Y190" s="163">
        <f t="shared" si="107"/>
        <v>70216.46740964755</v>
      </c>
      <c r="Z190" s="163">
        <f t="shared" si="107"/>
        <v>143034.29209709665</v>
      </c>
      <c r="AA190" s="163">
        <f t="shared" si="107"/>
        <v>2221104.2988481577</v>
      </c>
      <c r="AB190" s="163">
        <f t="shared" si="107"/>
        <v>0</v>
      </c>
      <c r="AC190" s="163">
        <f t="shared" si="107"/>
        <v>6795013.4503223104</v>
      </c>
      <c r="AD190" s="163">
        <f t="shared" si="107"/>
        <v>16620565.886596344</v>
      </c>
      <c r="AE190" s="163">
        <f t="shared" si="107"/>
        <v>11767309.408861963</v>
      </c>
      <c r="AF190" s="163">
        <f t="shared" si="107"/>
        <v>35501349.618622385</v>
      </c>
      <c r="AG190" s="163">
        <f t="shared" si="107"/>
        <v>2236490.2607420357</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1042</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940</v>
      </c>
      <c r="G196" t="s">
        <v>1141</v>
      </c>
      <c r="I196" t="s">
        <v>156</v>
      </c>
      <c r="J196" s="163">
        <f t="shared" ref="J196:AO196" si="108">IF(J33, J190/J153, 0)</f>
        <v>35.373767910000986</v>
      </c>
      <c r="K196" s="163">
        <f t="shared" si="108"/>
        <v>0</v>
      </c>
      <c r="L196" s="163">
        <f t="shared" si="108"/>
        <v>0</v>
      </c>
      <c r="M196" s="163">
        <f t="shared" si="108"/>
        <v>14.869235685780962</v>
      </c>
      <c r="N196" s="163">
        <f t="shared" si="108"/>
        <v>78.700639569077595</v>
      </c>
      <c r="O196" s="163">
        <f t="shared" si="108"/>
        <v>196.18904595005466</v>
      </c>
      <c r="P196" s="163">
        <f t="shared" si="108"/>
        <v>611.46500698922341</v>
      </c>
      <c r="Q196" s="163">
        <f t="shared" si="108"/>
        <v>0</v>
      </c>
      <c r="R196" s="163">
        <f t="shared" si="108"/>
        <v>0</v>
      </c>
      <c r="S196" s="163">
        <f t="shared" si="108"/>
        <v>1042.5386457088382</v>
      </c>
      <c r="T196" s="163">
        <f t="shared" si="108"/>
        <v>1789.6796473433578</v>
      </c>
      <c r="U196" s="163">
        <f t="shared" si="108"/>
        <v>2812.3684265492689</v>
      </c>
      <c r="V196" s="163">
        <f t="shared" si="108"/>
        <v>5199.022648086896</v>
      </c>
      <c r="W196" s="163">
        <f t="shared" si="108"/>
        <v>0</v>
      </c>
      <c r="X196" s="163">
        <f t="shared" si="108"/>
        <v>1042.5386457088384</v>
      </c>
      <c r="Y196" s="163">
        <f t="shared" si="108"/>
        <v>1789.6796473433578</v>
      </c>
      <c r="Z196" s="163">
        <f t="shared" si="108"/>
        <v>2812.3684265492684</v>
      </c>
      <c r="AA196" s="163">
        <f t="shared" si="108"/>
        <v>5199.022648086896</v>
      </c>
      <c r="AB196" s="163">
        <f t="shared" si="108"/>
        <v>0</v>
      </c>
      <c r="AC196" s="163">
        <f t="shared" si="108"/>
        <v>4387.6474945964164</v>
      </c>
      <c r="AD196" s="163">
        <f t="shared" si="108"/>
        <v>15409.492956023869</v>
      </c>
      <c r="AE196" s="163">
        <f t="shared" si="108"/>
        <v>34101.520784180953</v>
      </c>
      <c r="AF196" s="163">
        <f t="shared" si="108"/>
        <v>88792.634029675435</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1156</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940</v>
      </c>
      <c r="G198" t="s">
        <v>272</v>
      </c>
      <c r="I198" t="s">
        <v>156</v>
      </c>
      <c r="J198" s="163">
        <f t="shared" ref="J198:AO198" si="109">J196 * hundred / days_in_year</f>
        <v>9.6914432630139675</v>
      </c>
      <c r="K198" s="163">
        <f t="shared" si="109"/>
        <v>0</v>
      </c>
      <c r="L198" s="163">
        <f t="shared" si="109"/>
        <v>0</v>
      </c>
      <c r="M198" s="163">
        <f t="shared" si="109"/>
        <v>4.0737632015838248</v>
      </c>
      <c r="N198" s="163">
        <f t="shared" si="109"/>
        <v>21.561819060021257</v>
      </c>
      <c r="O198" s="163">
        <f t="shared" si="109"/>
        <v>53.750423547960189</v>
      </c>
      <c r="P198" s="163">
        <f t="shared" si="109"/>
        <v>167.5246594491023</v>
      </c>
      <c r="Q198" s="163">
        <f t="shared" si="109"/>
        <v>0</v>
      </c>
      <c r="R198" s="163">
        <f t="shared" si="109"/>
        <v>0</v>
      </c>
      <c r="S198" s="163">
        <f t="shared" si="109"/>
        <v>285.62702622159952</v>
      </c>
      <c r="T198" s="163">
        <f t="shared" si="109"/>
        <v>490.32319105297472</v>
      </c>
      <c r="U198" s="163">
        <f t="shared" si="109"/>
        <v>770.51189768473114</v>
      </c>
      <c r="V198" s="163">
        <f t="shared" si="109"/>
        <v>1424.3897665991497</v>
      </c>
      <c r="W198" s="163">
        <f t="shared" si="109"/>
        <v>0</v>
      </c>
      <c r="X198" s="163">
        <f t="shared" si="109"/>
        <v>285.62702622159958</v>
      </c>
      <c r="Y198" s="163">
        <f t="shared" si="109"/>
        <v>490.32319105297472</v>
      </c>
      <c r="Z198" s="163">
        <f t="shared" si="109"/>
        <v>770.51189768473103</v>
      </c>
      <c r="AA198" s="163">
        <f t="shared" si="109"/>
        <v>1424.3897665991497</v>
      </c>
      <c r="AB198" s="163">
        <f t="shared" si="109"/>
        <v>0</v>
      </c>
      <c r="AC198" s="163">
        <f t="shared" si="109"/>
        <v>1202.0952039990182</v>
      </c>
      <c r="AD198" s="163">
        <f t="shared" si="109"/>
        <v>4221.7788920613339</v>
      </c>
      <c r="AE198" s="163">
        <f t="shared" si="109"/>
        <v>9342.8824066249181</v>
      </c>
      <c r="AF198" s="163">
        <f t="shared" si="109"/>
        <v>24326.74904922615</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1157</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1038</v>
      </c>
      <c r="E202"/>
      <c r="I202" t="s">
        <v>156</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1148</v>
      </c>
    </row>
    <row r="203" spans="3:43" x14ac:dyDescent="0.3">
      <c r="C203" s="29"/>
      <c r="D203" s="29" t="s">
        <v>1039</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941</v>
      </c>
      <c r="G205" t="s">
        <v>942</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10.23431707656648</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941</v>
      </c>
      <c r="G207" t="s">
        <v>271</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1.0234317076566479</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1045</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1046</v>
      </c>
      <c r="I211" t="s">
        <v>156</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1130</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1047</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1048</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1049</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1153</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1050</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1051</v>
      </c>
      <c r="G222" t="s">
        <v>272</v>
      </c>
      <c r="J222" s="163">
        <f t="array" ref="J222">MIN(IF($J149:$AO149=J149,$J43:$AO43+$J48:$AO48))</f>
        <v>3.6416673370455088</v>
      </c>
      <c r="K222" s="163">
        <f t="array" ref="K222">MIN(IF($J149:$AO149=K149,$J43:$AO43+$J48:$AO48))</f>
        <v>0</v>
      </c>
      <c r="L222" s="163">
        <f t="array" ref="L222">MIN(IF($J149:$AO149=L149,$J43:$AO43+$J48:$AO48))</f>
        <v>0</v>
      </c>
      <c r="M222" s="163">
        <f t="array" ref="M222">MIN(IF($J149:$AO149=M149,$J43:$AO43+$J48:$AO48))</f>
        <v>7.382442845694948</v>
      </c>
      <c r="N222" s="163">
        <f t="array" ref="N222">MIN(IF($J149:$AO149=N149,$J43:$AO43+$J48:$AO48))</f>
        <v>7.382442845694948</v>
      </c>
      <c r="O222" s="163">
        <f t="array" ref="O222">MIN(IF($J149:$AO149=O149,$J43:$AO43+$J48:$AO48))</f>
        <v>7.382442845694948</v>
      </c>
      <c r="P222" s="163">
        <f t="array" ref="P222">MIN(IF($J149:$AO149=P149,$J43:$AO43+$J48:$AO48))</f>
        <v>7.382442845694948</v>
      </c>
      <c r="Q222" s="163">
        <f t="array" ref="Q222">MIN(IF($J149:$AO149=Q149,$J43:$AO43+$J48:$AO48))</f>
        <v>0</v>
      </c>
      <c r="R222" s="163">
        <f t="array" ref="R222">MIN(IF($J149:$AO149=R149,$J43:$AO43+$J48:$AO48))</f>
        <v>0</v>
      </c>
      <c r="S222" s="163">
        <f t="array" ref="S222">MIN(IF($J149:$AO149=S149,$J43:$AO43+$J48:$AO48))</f>
        <v>8.9415565013657261</v>
      </c>
      <c r="T222" s="163">
        <f t="array" ref="T222">MIN(IF($J149:$AO149=T149,$J43:$AO43+$J48:$AO48))</f>
        <v>8.9415565013657261</v>
      </c>
      <c r="U222" s="163">
        <f t="array" ref="U222">MIN(IF($J149:$AO149=U149,$J43:$AO43+$J48:$AO48))</f>
        <v>8.9415565013657261</v>
      </c>
      <c r="V222" s="163">
        <f t="array" ref="V222">MIN(IF($J149:$AO149=V149,$J43:$AO43+$J48:$AO48))</f>
        <v>8.9415565013657261</v>
      </c>
      <c r="W222" s="163">
        <f t="array" ref="W222">MIN(IF($J149:$AO149=W149,$J43:$AO43+$J48:$AO48))</f>
        <v>0</v>
      </c>
      <c r="X222" s="163">
        <f t="array" ref="X222">MIN(IF($J149:$AO149=X149,$J43:$AO43+$J48:$AO48))</f>
        <v>8.9415565013657261</v>
      </c>
      <c r="Y222" s="163">
        <f t="array" ref="Y222">MIN(IF($J149:$AO149=Y149,$J43:$AO43+$J48:$AO48))</f>
        <v>8.9415565013657261</v>
      </c>
      <c r="Z222" s="163">
        <f t="array" ref="Z222">MIN(IF($J149:$AO149=Z149,$J43:$AO43+$J48:$AO48))</f>
        <v>8.9415565013657261</v>
      </c>
      <c r="AA222" s="163">
        <f t="array" ref="AA222">MIN(IF($J149:$AO149=AA149,$J43:$AO43+$J48:$AO48))</f>
        <v>8.9415565013657261</v>
      </c>
      <c r="AB222" s="163">
        <f t="array" ref="AB222">MIN(IF($J149:$AO149=AB149,$J43:$AO43+$J48:$AO48))</f>
        <v>0</v>
      </c>
      <c r="AC222" s="163">
        <f t="array" ref="AC222">MIN(IF($J149:$AO149=AC149,$J43:$AO43+$J48:$AO48))</f>
        <v>82.207304183057587</v>
      </c>
      <c r="AD222" s="163">
        <f t="array" ref="AD222">MIN(IF($J149:$AO149=AD149,$J43:$AO43+$J48:$AO48))</f>
        <v>82.207304183057587</v>
      </c>
      <c r="AE222" s="163">
        <f t="array" ref="AE222">MIN(IF($J149:$AO149=AE149,$J43:$AO43+$J48:$AO48))</f>
        <v>82.207304183057587</v>
      </c>
      <c r="AF222" s="163">
        <f t="array" ref="AF222">MIN(IF($J149:$AO149=AF149,$J43:$AO43+$J48:$AO48))</f>
        <v>82.207304183057587</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1052</v>
      </c>
      <c r="G224" t="s">
        <v>272</v>
      </c>
      <c r="J224" s="163">
        <f>MAX(-J222,J198)</f>
        <v>9.6914432630139675</v>
      </c>
      <c r="K224" s="163">
        <f t="shared" ref="K224:AO224" si="112">MAX(-K222,K198)</f>
        <v>0</v>
      </c>
      <c r="L224" s="163">
        <f t="shared" si="112"/>
        <v>0</v>
      </c>
      <c r="M224" s="163">
        <f t="shared" si="112"/>
        <v>4.0737632015838248</v>
      </c>
      <c r="N224" s="163">
        <f t="shared" si="112"/>
        <v>21.561819060021257</v>
      </c>
      <c r="O224" s="163">
        <f t="shared" si="112"/>
        <v>53.750423547960189</v>
      </c>
      <c r="P224" s="163">
        <f t="shared" si="112"/>
        <v>167.5246594491023</v>
      </c>
      <c r="Q224" s="163">
        <f t="shared" si="112"/>
        <v>0</v>
      </c>
      <c r="R224" s="163">
        <f t="shared" si="112"/>
        <v>0</v>
      </c>
      <c r="S224" s="163">
        <f t="shared" si="112"/>
        <v>285.62702622159952</v>
      </c>
      <c r="T224" s="163">
        <f t="shared" si="112"/>
        <v>490.32319105297472</v>
      </c>
      <c r="U224" s="163">
        <f t="shared" si="112"/>
        <v>770.51189768473114</v>
      </c>
      <c r="V224" s="163">
        <f t="shared" si="112"/>
        <v>1424.3897665991497</v>
      </c>
      <c r="W224" s="163">
        <f t="shared" si="112"/>
        <v>0</v>
      </c>
      <c r="X224" s="163">
        <f t="shared" si="112"/>
        <v>285.62702622159958</v>
      </c>
      <c r="Y224" s="163">
        <f t="shared" si="112"/>
        <v>490.32319105297472</v>
      </c>
      <c r="Z224" s="163">
        <f t="shared" si="112"/>
        <v>770.51189768473103</v>
      </c>
      <c r="AA224" s="163">
        <f t="shared" si="112"/>
        <v>1424.3897665991497</v>
      </c>
      <c r="AB224" s="163">
        <f t="shared" si="112"/>
        <v>0</v>
      </c>
      <c r="AC224" s="163">
        <f t="shared" si="112"/>
        <v>1202.0952039990182</v>
      </c>
      <c r="AD224" s="163">
        <f t="shared" si="112"/>
        <v>4221.7788920613339</v>
      </c>
      <c r="AE224" s="163">
        <f t="shared" si="112"/>
        <v>9342.8824066249181</v>
      </c>
      <c r="AF224" s="163">
        <f t="shared" si="112"/>
        <v>24326.74904922615</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1053</v>
      </c>
      <c r="G226" t="s">
        <v>272</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1054</v>
      </c>
      <c r="G228" t="s">
        <v>938</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1055</v>
      </c>
      <c r="G230" t="s">
        <v>938</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1056</v>
      </c>
      <c r="I234" t="s">
        <v>156</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1130</v>
      </c>
    </row>
    <row r="235" spans="3:43" x14ac:dyDescent="0.3">
      <c r="C235" s="29"/>
      <c r="D235" s="29" t="s">
        <v>1057</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1058</v>
      </c>
      <c r="G237" t="s">
        <v>914</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1059</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1060</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1061</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1062</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1063</v>
      </c>
      <c r="G244" s="23" t="s">
        <v>151</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1064</v>
      </c>
      <c r="G245" t="s">
        <v>151</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1065</v>
      </c>
      <c r="G246" s="37" t="s">
        <v>151</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1066</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1063</v>
      </c>
      <c r="G249" s="23" t="s">
        <v>271</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1064</v>
      </c>
      <c r="G250" t="s">
        <v>271</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1065</v>
      </c>
      <c r="G251" s="37" t="s">
        <v>271</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1067</v>
      </c>
      <c r="I253" t="s">
        <v>156</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1158</v>
      </c>
    </row>
    <row r="254" spans="3:43" x14ac:dyDescent="0.3">
      <c r="C254" s="29"/>
      <c r="E254" s="2" t="s">
        <v>1068</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1069</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1063</v>
      </c>
      <c r="G257" s="23" t="s">
        <v>271</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1064</v>
      </c>
      <c r="G258" t="s">
        <v>271</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1065</v>
      </c>
      <c r="G259" s="37" t="s">
        <v>271</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1070</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1063</v>
      </c>
      <c r="G262" s="23" t="s">
        <v>271</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1064</v>
      </c>
      <c r="G263" t="s">
        <v>271</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1065</v>
      </c>
      <c r="G264" s="37" t="s">
        <v>271</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1071</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1063</v>
      </c>
      <c r="G267" s="23" t="s">
        <v>151</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1064</v>
      </c>
      <c r="G268" t="s">
        <v>151</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1065</v>
      </c>
      <c r="G269" s="37" t="s">
        <v>151</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1072</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1063</v>
      </c>
      <c r="G272" s="23" t="s">
        <v>209</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1064</v>
      </c>
      <c r="G273" t="s">
        <v>209</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1065</v>
      </c>
      <c r="G274" s="37" t="s">
        <v>209</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1073</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1063</v>
      </c>
      <c r="G277" s="23" t="s">
        <v>209</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1064</v>
      </c>
      <c r="G278" t="s">
        <v>209</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1065</v>
      </c>
      <c r="G279" s="37" t="s">
        <v>209</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1074</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1063</v>
      </c>
      <c r="G282" s="23" t="s">
        <v>209</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1064</v>
      </c>
      <c r="G283" t="s">
        <v>209</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1065</v>
      </c>
      <c r="G284" s="37" t="s">
        <v>209</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1075</v>
      </c>
      <c r="E288" s="32"/>
      <c r="I288" t="s">
        <v>156</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1130</v>
      </c>
    </row>
    <row r="289" spans="3:44" x14ac:dyDescent="0.3">
      <c r="C289" s="29"/>
      <c r="D289" s="29" t="s">
        <v>1076</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1077</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1078</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1079</v>
      </c>
      <c r="G293" t="s">
        <v>938</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1080</v>
      </c>
      <c r="G295" t="s">
        <v>938</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1028</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1081</v>
      </c>
      <c r="G298" t="s">
        <v>209</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1030</v>
      </c>
      <c r="G300" t="s">
        <v>209</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1032</v>
      </c>
      <c r="G302" t="s">
        <v>209</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1082</v>
      </c>
      <c r="G304" t="s">
        <v>271</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1083</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1063</v>
      </c>
      <c r="G307" s="23" t="s">
        <v>914</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1064</v>
      </c>
      <c r="G308" t="s">
        <v>914</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1065</v>
      </c>
      <c r="G309" s="37" t="s">
        <v>914</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1084</v>
      </c>
      <c r="G311" t="s">
        <v>914</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1154</v>
      </c>
      <c r="E315" s="32"/>
      <c r="I315" t="s">
        <v>156</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1130</v>
      </c>
    </row>
    <row r="316" spans="3:43" x14ac:dyDescent="0.3">
      <c r="C316" s="29"/>
      <c r="D316" s="29" t="s">
        <v>1085</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1086</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1087</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1088</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1089</v>
      </c>
      <c r="G321" t="s">
        <v>938</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1090</v>
      </c>
      <c r="G323" t="s">
        <v>938</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1079</v>
      </c>
      <c r="G325" t="s">
        <v>938</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1080</v>
      </c>
      <c r="G327" t="s">
        <v>938</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1028</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1091</v>
      </c>
      <c r="G330" t="s">
        <v>209</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1030</v>
      </c>
      <c r="G332" t="s">
        <v>209</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1032</v>
      </c>
      <c r="G334" t="s">
        <v>209</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1092</v>
      </c>
      <c r="G336" t="s">
        <v>271</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1093</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1063</v>
      </c>
      <c r="G339" s="23" t="s">
        <v>914</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1064</v>
      </c>
      <c r="G340" t="s">
        <v>914</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1065</v>
      </c>
      <c r="G341" s="37" t="s">
        <v>914</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1094</v>
      </c>
      <c r="G343" t="s">
        <v>914</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1154</v>
      </c>
      <c r="E347" s="32"/>
      <c r="I347" t="s">
        <v>156</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1130</v>
      </c>
    </row>
    <row r="348" spans="3:43" x14ac:dyDescent="0.3">
      <c r="C348" s="29"/>
      <c r="D348" s="29" t="s">
        <v>1095</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1086</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1087</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1096</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1097</v>
      </c>
      <c r="G353" t="s">
        <v>938</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1090</v>
      </c>
      <c r="G355" t="s">
        <v>938</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1079</v>
      </c>
      <c r="G357" t="s">
        <v>938</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1080</v>
      </c>
      <c r="G359" t="s">
        <v>938</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1028</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1091</v>
      </c>
      <c r="G362" t="s">
        <v>209</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1030</v>
      </c>
      <c r="G364" t="s">
        <v>209</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1032</v>
      </c>
      <c r="G366" t="s">
        <v>209</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1098</v>
      </c>
      <c r="G368" t="s">
        <v>271</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1099</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1063</v>
      </c>
      <c r="G371" s="23" t="s">
        <v>914</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1064</v>
      </c>
      <c r="G372" t="s">
        <v>914</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1065</v>
      </c>
      <c r="G373" s="37" t="s">
        <v>914</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1100</v>
      </c>
      <c r="G375" t="s">
        <v>914</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1150</v>
      </c>
      <c r="E379" s="32"/>
      <c r="I379" t="s">
        <v>156</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1130</v>
      </c>
    </row>
    <row r="380" spans="3:43" x14ac:dyDescent="0.3">
      <c r="C380" s="29"/>
      <c r="D380" s="29" t="s">
        <v>1101</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1102</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1103</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1104</v>
      </c>
      <c r="G384" s="23" t="s">
        <v>914</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1105</v>
      </c>
      <c r="G385" t="s">
        <v>914</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1106</v>
      </c>
      <c r="G386" s="37" t="s">
        <v>914</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1107</v>
      </c>
      <c r="G388" t="s">
        <v>151</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1108</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1104</v>
      </c>
      <c r="G391" s="23" t="s">
        <v>914</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1105</v>
      </c>
      <c r="G392" t="s">
        <v>914</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1106</v>
      </c>
      <c r="G393" s="37" t="s">
        <v>914</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1109</v>
      </c>
      <c r="G395" t="s">
        <v>271</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1110</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1063</v>
      </c>
      <c r="G398" s="23" t="s">
        <v>271</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1064</v>
      </c>
      <c r="G399" t="s">
        <v>271</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1065</v>
      </c>
      <c r="G400" s="37" t="s">
        <v>271</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1111</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158</v>
      </c>
      <c r="G403" s="23" t="s">
        <v>271</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159</v>
      </c>
      <c r="G404" t="s">
        <v>271</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160</v>
      </c>
      <c r="G405" s="37" t="s">
        <v>271</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1029</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945</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158</v>
      </c>
      <c r="G412" s="23" t="s">
        <v>271</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1.0234317076566479</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159</v>
      </c>
      <c r="G413" t="s">
        <v>271</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1.0234317076566479</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160</v>
      </c>
      <c r="G414" t="s">
        <v>271</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1.0234317076566479</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161</v>
      </c>
      <c r="G415" t="s">
        <v>272</v>
      </c>
      <c r="J415" s="199">
        <f t="shared" ref="J415:AO415" si="173">J224</f>
        <v>9.6914432630139675</v>
      </c>
      <c r="K415" s="199">
        <f t="shared" si="173"/>
        <v>0</v>
      </c>
      <c r="L415" s="199">
        <f t="shared" si="173"/>
        <v>0</v>
      </c>
      <c r="M415" s="199">
        <f t="shared" si="173"/>
        <v>4.0737632015838248</v>
      </c>
      <c r="N415" s="199">
        <f t="shared" si="173"/>
        <v>21.561819060021257</v>
      </c>
      <c r="O415" s="199">
        <f t="shared" si="173"/>
        <v>53.750423547960189</v>
      </c>
      <c r="P415" s="199">
        <f t="shared" si="173"/>
        <v>167.5246594491023</v>
      </c>
      <c r="Q415" s="199">
        <f t="shared" si="173"/>
        <v>0</v>
      </c>
      <c r="R415" s="199">
        <f t="shared" si="173"/>
        <v>0</v>
      </c>
      <c r="S415" s="199">
        <f t="shared" si="173"/>
        <v>285.62702622159952</v>
      </c>
      <c r="T415" s="199">
        <f t="shared" si="173"/>
        <v>490.32319105297472</v>
      </c>
      <c r="U415" s="199">
        <f t="shared" si="173"/>
        <v>770.51189768473114</v>
      </c>
      <c r="V415" s="199">
        <f t="shared" si="173"/>
        <v>1424.3897665991497</v>
      </c>
      <c r="W415" s="199">
        <f t="shared" si="173"/>
        <v>0</v>
      </c>
      <c r="X415" s="199">
        <f t="shared" si="173"/>
        <v>285.62702622159958</v>
      </c>
      <c r="Y415" s="199">
        <f t="shared" si="173"/>
        <v>490.32319105297472</v>
      </c>
      <c r="Z415" s="199">
        <f t="shared" si="173"/>
        <v>770.51189768473103</v>
      </c>
      <c r="AA415" s="199">
        <f t="shared" si="173"/>
        <v>1424.3897665991497</v>
      </c>
      <c r="AB415" s="199">
        <f t="shared" si="173"/>
        <v>0</v>
      </c>
      <c r="AC415" s="199">
        <f t="shared" si="173"/>
        <v>1202.0952039990182</v>
      </c>
      <c r="AD415" s="199">
        <f t="shared" si="173"/>
        <v>4221.7788920613339</v>
      </c>
      <c r="AE415" s="199">
        <f t="shared" si="173"/>
        <v>9342.8824066249181</v>
      </c>
      <c r="AF415" s="199">
        <f t="shared" si="173"/>
        <v>24326.74904922615</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162</v>
      </c>
      <c r="G416" t="s">
        <v>273</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163</v>
      </c>
      <c r="G417" t="s">
        <v>273</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164</v>
      </c>
      <c r="G418" s="37" t="s">
        <v>274</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233</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1112</v>
      </c>
      <c r="F422" s="28"/>
      <c r="G422" t="s">
        <v>938</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1113</v>
      </c>
      <c r="F424" s="28"/>
      <c r="G424" t="s">
        <v>938</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1114</v>
      </c>
      <c r="F426" s="28"/>
      <c r="G426" t="s">
        <v>914</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1115</v>
      </c>
      <c r="G428" s="6" t="s">
        <v>57</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234</v>
      </c>
      <c r="G430" s="6" t="s">
        <v>57</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944</v>
      </c>
      <c r="G432" s="6" t="s">
        <v>57</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108</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J5" s="114" t="s">
        <v>915</v>
      </c>
      <c r="K5" s="114" t="s">
        <v>833</v>
      </c>
      <c r="L5" s="114" t="s">
        <v>916</v>
      </c>
      <c r="M5" s="114" t="s">
        <v>917</v>
      </c>
      <c r="N5" s="114" t="s">
        <v>918</v>
      </c>
      <c r="O5" s="114" t="s">
        <v>919</v>
      </c>
      <c r="P5" s="114" t="s">
        <v>920</v>
      </c>
      <c r="Q5" s="114" t="s">
        <v>834</v>
      </c>
      <c r="R5" s="114" t="s">
        <v>921</v>
      </c>
      <c r="S5" s="114" t="s">
        <v>922</v>
      </c>
      <c r="T5" s="114" t="s">
        <v>923</v>
      </c>
      <c r="U5" s="114" t="s">
        <v>924</v>
      </c>
      <c r="V5" s="114" t="s">
        <v>925</v>
      </c>
      <c r="W5" s="114" t="s">
        <v>926</v>
      </c>
      <c r="X5" s="114" t="s">
        <v>927</v>
      </c>
      <c r="Y5" s="114" t="s">
        <v>928</v>
      </c>
      <c r="Z5" s="114" t="s">
        <v>929</v>
      </c>
      <c r="AA5" s="114" t="s">
        <v>930</v>
      </c>
      <c r="AB5" s="114" t="s">
        <v>931</v>
      </c>
      <c r="AC5" s="114" t="s">
        <v>932</v>
      </c>
      <c r="AD5" s="114" t="s">
        <v>933</v>
      </c>
      <c r="AE5" s="114" t="s">
        <v>934</v>
      </c>
      <c r="AF5" s="114" t="s">
        <v>935</v>
      </c>
      <c r="AG5" s="114" t="s">
        <v>843</v>
      </c>
      <c r="AH5" s="114" t="s">
        <v>835</v>
      </c>
      <c r="AI5" s="114" t="s">
        <v>836</v>
      </c>
      <c r="AJ5" s="114" t="s">
        <v>837</v>
      </c>
      <c r="AK5" s="114" t="s">
        <v>846</v>
      </c>
      <c r="AL5" s="114" t="s">
        <v>838</v>
      </c>
      <c r="AM5" s="114" t="s">
        <v>845</v>
      </c>
      <c r="AN5" s="114" t="s">
        <v>839</v>
      </c>
      <c r="AO5" s="114"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744</v>
      </c>
      <c r="E9"/>
    </row>
    <row r="10" spans="1:43" x14ac:dyDescent="0.3">
      <c r="C10" s="29" t="s">
        <v>745</v>
      </c>
      <c r="E10"/>
    </row>
    <row r="12" spans="1:43" x14ac:dyDescent="0.3">
      <c r="B12" s="30" t="s">
        <v>746</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747</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748</v>
      </c>
      <c r="F18" s="32"/>
    </row>
    <row r="19" spans="3:43" x14ac:dyDescent="0.3">
      <c r="E19" s="29" t="s">
        <v>749</v>
      </c>
      <c r="F19" s="2"/>
    </row>
    <row r="20" spans="3:43" x14ac:dyDescent="0.3">
      <c r="C20" s="88"/>
      <c r="F20" s="23" t="s">
        <v>158</v>
      </c>
      <c r="G20" s="23" t="s">
        <v>271</v>
      </c>
      <c r="H20" s="278"/>
      <c r="I20" s="266"/>
      <c r="J20" s="278">
        <f>'Revenue matching'!J40</f>
        <v>6.8031184945698344</v>
      </c>
      <c r="K20" s="278">
        <f>'Revenue matching'!K40</f>
        <v>6.8031184945698344</v>
      </c>
      <c r="L20" s="278">
        <f>'Revenue matching'!L40</f>
        <v>5.950137818851168</v>
      </c>
      <c r="M20" s="278">
        <f>'Revenue matching'!M40</f>
        <v>5.950137818851168</v>
      </c>
      <c r="N20" s="278">
        <f>'Revenue matching'!N40</f>
        <v>5.950137818851168</v>
      </c>
      <c r="O20" s="278">
        <f>'Revenue matching'!O40</f>
        <v>5.950137818851168</v>
      </c>
      <c r="P20" s="278">
        <f>'Revenue matching'!P40</f>
        <v>5.950137818851168</v>
      </c>
      <c r="Q20" s="278">
        <f>'Revenue matching'!Q40</f>
        <v>5.950137818851168</v>
      </c>
      <c r="R20" s="278">
        <f>'Revenue matching'!R40</f>
        <v>4.3014561753217393</v>
      </c>
      <c r="S20" s="278">
        <f>'Revenue matching'!S40</f>
        <v>4.3014561753217393</v>
      </c>
      <c r="T20" s="278">
        <f>'Revenue matching'!T40</f>
        <v>4.3014561753217393</v>
      </c>
      <c r="U20" s="278">
        <f>'Revenue matching'!U40</f>
        <v>4.3014561753217393</v>
      </c>
      <c r="V20" s="278">
        <f>'Revenue matching'!V40</f>
        <v>4.3014561753217393</v>
      </c>
      <c r="W20" s="278">
        <f>'Revenue matching'!W40</f>
        <v>2.9643341955680929</v>
      </c>
      <c r="X20" s="278">
        <f>'Revenue matching'!X40</f>
        <v>2.9643341955680929</v>
      </c>
      <c r="Y20" s="278">
        <f>'Revenue matching'!Y40</f>
        <v>2.9643341955680929</v>
      </c>
      <c r="Z20" s="278">
        <f>'Revenue matching'!Z40</f>
        <v>2.9643341955680929</v>
      </c>
      <c r="AA20" s="278">
        <f>'Revenue matching'!AA40</f>
        <v>2.9643341955680929</v>
      </c>
      <c r="AB20" s="278">
        <f>'Revenue matching'!AB40</f>
        <v>1.7784199069160906</v>
      </c>
      <c r="AC20" s="278">
        <f>'Revenue matching'!AC40</f>
        <v>1.7784199069160906</v>
      </c>
      <c r="AD20" s="278">
        <f>'Revenue matching'!AD40</f>
        <v>1.7784199069160906</v>
      </c>
      <c r="AE20" s="278">
        <f>'Revenue matching'!AE40</f>
        <v>1.7784199069160906</v>
      </c>
      <c r="AF20" s="278">
        <f>'Revenue matching'!AF40</f>
        <v>1.7784199069160906</v>
      </c>
      <c r="AG20" s="278">
        <f>'Revenue matching'!AG40</f>
        <v>19.584165953502431</v>
      </c>
      <c r="AH20" s="278">
        <f>'Revenue matching'!AH40</f>
        <v>-4.1547510698665358</v>
      </c>
      <c r="AI20" s="278">
        <f>'Revenue matching'!AI40</f>
        <v>-3.651777976005032</v>
      </c>
      <c r="AJ20" s="278">
        <f>'Revenue matching'!AJ40</f>
        <v>-4.1547510698665358</v>
      </c>
      <c r="AK20" s="278">
        <f>'Revenue matching'!AK40</f>
        <v>-4.1547510698665358</v>
      </c>
      <c r="AL20" s="278">
        <f>'Revenue matching'!AL40</f>
        <v>-3.651777976005032</v>
      </c>
      <c r="AM20" s="278">
        <f>'Revenue matching'!AM40</f>
        <v>-3.651777976005032</v>
      </c>
      <c r="AN20" s="278">
        <f>'Revenue matching'!AN40</f>
        <v>-2.3894293200408447</v>
      </c>
      <c r="AO20" s="278">
        <f>'Revenue matching'!AO40</f>
        <v>-2.3894293200408447</v>
      </c>
      <c r="AP20" s="267"/>
      <c r="AQ20" s="267"/>
    </row>
    <row r="21" spans="3:43" x14ac:dyDescent="0.3">
      <c r="C21" s="88"/>
      <c r="F21" t="s">
        <v>159</v>
      </c>
      <c r="G21" t="s">
        <v>271</v>
      </c>
      <c r="H21" s="279"/>
      <c r="I21" s="267"/>
      <c r="J21" s="279">
        <f>'Revenue matching'!J41</f>
        <v>1.2089336063668195</v>
      </c>
      <c r="K21" s="279">
        <f>'Revenue matching'!K41</f>
        <v>1.2089336063668195</v>
      </c>
      <c r="L21" s="279">
        <f>'Revenue matching'!L41</f>
        <v>1.0573565016492015</v>
      </c>
      <c r="M21" s="279">
        <f>'Revenue matching'!M41</f>
        <v>1.0573565016492015</v>
      </c>
      <c r="N21" s="279">
        <f>'Revenue matching'!N41</f>
        <v>1.0573565016492015</v>
      </c>
      <c r="O21" s="279">
        <f>'Revenue matching'!O41</f>
        <v>1.0573565016492015</v>
      </c>
      <c r="P21" s="279">
        <f>'Revenue matching'!P41</f>
        <v>1.0573565016492015</v>
      </c>
      <c r="Q21" s="279">
        <f>'Revenue matching'!Q41</f>
        <v>1.0573565016492015</v>
      </c>
      <c r="R21" s="279">
        <f>'Revenue matching'!R41</f>
        <v>0.73700946582715976</v>
      </c>
      <c r="S21" s="279">
        <f>'Revenue matching'!S41</f>
        <v>0.73700946582715976</v>
      </c>
      <c r="T21" s="279">
        <f>'Revenue matching'!T41</f>
        <v>0.73700946582715976</v>
      </c>
      <c r="U21" s="279">
        <f>'Revenue matching'!U41</f>
        <v>0.73700946582715976</v>
      </c>
      <c r="V21" s="279">
        <f>'Revenue matching'!V41</f>
        <v>0.73700946582715976</v>
      </c>
      <c r="W21" s="279">
        <f>'Revenue matching'!W41</f>
        <v>0.46633886885364767</v>
      </c>
      <c r="X21" s="279">
        <f>'Revenue matching'!X41</f>
        <v>0.46633886885364767</v>
      </c>
      <c r="Y21" s="279">
        <f>'Revenue matching'!Y41</f>
        <v>0.46633886885364767</v>
      </c>
      <c r="Z21" s="279">
        <f>'Revenue matching'!Z41</f>
        <v>0.46633886885364767</v>
      </c>
      <c r="AA21" s="279">
        <f>'Revenue matching'!AA41</f>
        <v>0.46633886885364767</v>
      </c>
      <c r="AB21" s="279">
        <f>'Revenue matching'!AB41</f>
        <v>0.23872608992625513</v>
      </c>
      <c r="AC21" s="279">
        <f>'Revenue matching'!AC41</f>
        <v>0.23872608992625513</v>
      </c>
      <c r="AD21" s="279">
        <f>'Revenue matching'!AD41</f>
        <v>0.23872608992625513</v>
      </c>
      <c r="AE21" s="279">
        <f>'Revenue matching'!AE41</f>
        <v>0.23872608992625513</v>
      </c>
      <c r="AF21" s="279">
        <f>'Revenue matching'!AF41</f>
        <v>0.23872608992625513</v>
      </c>
      <c r="AG21" s="279">
        <f>'Revenue matching'!AG41</f>
        <v>1.9648005165270588</v>
      </c>
      <c r="AH21" s="279">
        <f>'Revenue matching'!AH41</f>
        <v>-0.73831114340567561</v>
      </c>
      <c r="AI21" s="279">
        <f>'Revenue matching'!AI41</f>
        <v>-0.63476438779794908</v>
      </c>
      <c r="AJ21" s="279">
        <f>'Revenue matching'!AJ41</f>
        <v>-0.73831114340567561</v>
      </c>
      <c r="AK21" s="279">
        <f>'Revenue matching'!AK41</f>
        <v>-0.73831114340567561</v>
      </c>
      <c r="AL21" s="279">
        <f>'Revenue matching'!AL41</f>
        <v>-0.63476438779794908</v>
      </c>
      <c r="AM21" s="279">
        <f>'Revenue matching'!AM41</f>
        <v>-0.63476438779794908</v>
      </c>
      <c r="AN21" s="279">
        <f>'Revenue matching'!AN41</f>
        <v>-0.36745013544043381</v>
      </c>
      <c r="AO21" s="279">
        <f>'Revenue matching'!AO41</f>
        <v>-0.36745013544043381</v>
      </c>
      <c r="AP21" s="267"/>
      <c r="AQ21" s="267"/>
    </row>
    <row r="22" spans="3:43" x14ac:dyDescent="0.3">
      <c r="C22" s="88"/>
      <c r="F22" t="s">
        <v>160</v>
      </c>
      <c r="G22" t="s">
        <v>271</v>
      </c>
      <c r="H22" s="279"/>
      <c r="I22" s="267"/>
      <c r="J22" s="279">
        <f>'Revenue matching'!J42</f>
        <v>8.8763059232267655E-2</v>
      </c>
      <c r="K22" s="279">
        <f>'Revenue matching'!K42</f>
        <v>8.8763059232267655E-2</v>
      </c>
      <c r="L22" s="279">
        <f>'Revenue matching'!L42</f>
        <v>7.7633872771201456E-2</v>
      </c>
      <c r="M22" s="279">
        <f>'Revenue matching'!M42</f>
        <v>7.7633872771201456E-2</v>
      </c>
      <c r="N22" s="279">
        <f>'Revenue matching'!N42</f>
        <v>7.7633872771201456E-2</v>
      </c>
      <c r="O22" s="279">
        <f>'Revenue matching'!O42</f>
        <v>7.7633872771201456E-2</v>
      </c>
      <c r="P22" s="279">
        <f>'Revenue matching'!P42</f>
        <v>7.7633872771201456E-2</v>
      </c>
      <c r="Q22" s="279">
        <f>'Revenue matching'!Q42</f>
        <v>7.7633872771201456E-2</v>
      </c>
      <c r="R22" s="279">
        <f>'Revenue matching'!R42</f>
        <v>5.3701908503823358E-2</v>
      </c>
      <c r="S22" s="279">
        <f>'Revenue matching'!S42</f>
        <v>5.3701908503823358E-2</v>
      </c>
      <c r="T22" s="279">
        <f>'Revenue matching'!T42</f>
        <v>5.3701908503823358E-2</v>
      </c>
      <c r="U22" s="279">
        <f>'Revenue matching'!U42</f>
        <v>5.3701908503823358E-2</v>
      </c>
      <c r="V22" s="279">
        <f>'Revenue matching'!V42</f>
        <v>5.3701908503823358E-2</v>
      </c>
      <c r="W22" s="279">
        <f>'Revenue matching'!W42</f>
        <v>3.3331848570263833E-2</v>
      </c>
      <c r="X22" s="279">
        <f>'Revenue matching'!X42</f>
        <v>3.3331848570263833E-2</v>
      </c>
      <c r="Y22" s="279">
        <f>'Revenue matching'!Y42</f>
        <v>3.3331848570263833E-2</v>
      </c>
      <c r="Z22" s="279">
        <f>'Revenue matching'!Z42</f>
        <v>3.3331848570263833E-2</v>
      </c>
      <c r="AA22" s="279">
        <f>'Revenue matching'!AA42</f>
        <v>3.3331848570263833E-2</v>
      </c>
      <c r="AB22" s="279">
        <f>'Revenue matching'!AB42</f>
        <v>1.6340077606830157E-2</v>
      </c>
      <c r="AC22" s="279">
        <f>'Revenue matching'!AC42</f>
        <v>1.6340077606830157E-2</v>
      </c>
      <c r="AD22" s="279">
        <f>'Revenue matching'!AD42</f>
        <v>1.6340077606830157E-2</v>
      </c>
      <c r="AE22" s="279">
        <f>'Revenue matching'!AE42</f>
        <v>1.6340077606830157E-2</v>
      </c>
      <c r="AF22" s="279">
        <f>'Revenue matching'!AF42</f>
        <v>1.6340077606830157E-2</v>
      </c>
      <c r="AG22" s="279">
        <f>'Revenue matching'!AG42</f>
        <v>0.89476108730022752</v>
      </c>
      <c r="AH22" s="279">
        <f>'Revenue matching'!AH42</f>
        <v>-5.4208730246908546E-2</v>
      </c>
      <c r="AI22" s="279">
        <f>'Revenue matching'!AI42</f>
        <v>-4.6393202831544231E-2</v>
      </c>
      <c r="AJ22" s="279">
        <f>'Revenue matching'!AJ42</f>
        <v>-5.4208730246908546E-2</v>
      </c>
      <c r="AK22" s="279">
        <f>'Revenue matching'!AK42</f>
        <v>-5.4208730246908546E-2</v>
      </c>
      <c r="AL22" s="279">
        <f>'Revenue matching'!AL42</f>
        <v>-4.6393202831544231E-2</v>
      </c>
      <c r="AM22" s="279">
        <f>'Revenue matching'!AM42</f>
        <v>-4.6393202831544231E-2</v>
      </c>
      <c r="AN22" s="279">
        <f>'Revenue matching'!AN42</f>
        <v>-2.6115641118076221E-2</v>
      </c>
      <c r="AO22" s="279">
        <f>'Revenue matching'!AO42</f>
        <v>-2.6115641118076221E-2</v>
      </c>
      <c r="AP22" s="267"/>
      <c r="AQ22" s="267"/>
    </row>
    <row r="23" spans="3:43" x14ac:dyDescent="0.3">
      <c r="C23" s="88"/>
      <c r="F23" t="s">
        <v>161</v>
      </c>
      <c r="G23" t="s">
        <v>272</v>
      </c>
      <c r="H23" s="51"/>
      <c r="J23" s="120">
        <f>'Revenue matching'!J43</f>
        <v>3.575421825400404</v>
      </c>
      <c r="K23" s="120">
        <f>'Revenue matching'!K43</f>
        <v>0</v>
      </c>
      <c r="L23" s="120">
        <f>'Revenue matching'!L43</f>
        <v>7.3411791601463214</v>
      </c>
      <c r="M23" s="120">
        <f>'Revenue matching'!M43</f>
        <v>7.3411791601463214</v>
      </c>
      <c r="N23" s="120">
        <f>'Revenue matching'!N43</f>
        <v>7.3411791601463214</v>
      </c>
      <c r="O23" s="120">
        <f>'Revenue matching'!O43</f>
        <v>7.3411791601463214</v>
      </c>
      <c r="P23" s="120">
        <f>'Revenue matching'!P43</f>
        <v>7.3411791601463214</v>
      </c>
      <c r="Q23" s="120">
        <f>'Revenue matching'!Q43</f>
        <v>0</v>
      </c>
      <c r="R23" s="120">
        <f>'Revenue matching'!R43</f>
        <v>11.401752134048197</v>
      </c>
      <c r="S23" s="120">
        <f>'Revenue matching'!S43</f>
        <v>11.401752134048197</v>
      </c>
      <c r="T23" s="120">
        <f>'Revenue matching'!T43</f>
        <v>11.401752134048197</v>
      </c>
      <c r="U23" s="120">
        <f>'Revenue matching'!U43</f>
        <v>11.401752134048197</v>
      </c>
      <c r="V23" s="120">
        <f>'Revenue matching'!V43</f>
        <v>11.401752134048197</v>
      </c>
      <c r="W23" s="120">
        <f>'Revenue matching'!W43</f>
        <v>8.9002928158170995</v>
      </c>
      <c r="X23" s="120">
        <f>'Revenue matching'!X43</f>
        <v>8.9002928158170995</v>
      </c>
      <c r="Y23" s="120">
        <f>'Revenue matching'!Y43</f>
        <v>8.9002928158170995</v>
      </c>
      <c r="Z23" s="120">
        <f>'Revenue matching'!Z43</f>
        <v>8.9002928158170995</v>
      </c>
      <c r="AA23" s="120">
        <f>'Revenue matching'!AA43</f>
        <v>8.9002928158170995</v>
      </c>
      <c r="AB23" s="120">
        <f>'Revenue matching'!AB43</f>
        <v>82.166040497508959</v>
      </c>
      <c r="AC23" s="120">
        <f>'Revenue matching'!AC43</f>
        <v>82.166040497508959</v>
      </c>
      <c r="AD23" s="120">
        <f>'Revenue matching'!AD43</f>
        <v>82.166040497508959</v>
      </c>
      <c r="AE23" s="120">
        <f>'Revenue matching'!AE43</f>
        <v>82.166040497508959</v>
      </c>
      <c r="AF23" s="120">
        <f>'Revenue matching'!AF43</f>
        <v>82.166040497508959</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51.423015267650172</v>
      </c>
      <c r="AO23" s="120">
        <f>'Revenue matching'!AO43</f>
        <v>51.423015267650172</v>
      </c>
    </row>
    <row r="24" spans="3:43" x14ac:dyDescent="0.3">
      <c r="C24" s="88"/>
      <c r="F24" t="s">
        <v>162</v>
      </c>
      <c r="G24" t="s">
        <v>273</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2.9075555200524899</v>
      </c>
      <c r="S24" s="120">
        <f>'Revenue matching'!S44</f>
        <v>2.9075555200524899</v>
      </c>
      <c r="T24" s="120">
        <f>'Revenue matching'!T44</f>
        <v>2.9075555200524899</v>
      </c>
      <c r="U24" s="120">
        <f>'Revenue matching'!U44</f>
        <v>2.9075555200524899</v>
      </c>
      <c r="V24" s="120">
        <f>'Revenue matching'!V44</f>
        <v>2.9075555200524899</v>
      </c>
      <c r="W24" s="120">
        <f>'Revenue matching'!W44</f>
        <v>3.5582115304996851</v>
      </c>
      <c r="X24" s="120">
        <f>'Revenue matching'!X44</f>
        <v>3.5582115304996851</v>
      </c>
      <c r="Y24" s="120">
        <f>'Revenue matching'!Y44</f>
        <v>3.5582115304996851</v>
      </c>
      <c r="Z24" s="120">
        <f>'Revenue matching'!Z44</f>
        <v>3.5582115304996851</v>
      </c>
      <c r="AA24" s="120">
        <f>'Revenue matching'!AA44</f>
        <v>3.5582115304996851</v>
      </c>
      <c r="AB24" s="120">
        <f>'Revenue matching'!AB44</f>
        <v>4.3179340585099677</v>
      </c>
      <c r="AC24" s="120">
        <f>'Revenue matching'!AC44</f>
        <v>4.3179340585099677</v>
      </c>
      <c r="AD24" s="120">
        <f>'Revenue matching'!AD44</f>
        <v>4.3179340585099677</v>
      </c>
      <c r="AE24" s="120">
        <f>'Revenue matching'!AE44</f>
        <v>4.3179340585099677</v>
      </c>
      <c r="AF24" s="120">
        <f>'Revenue matching'!AF44</f>
        <v>4.3179340585099677</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163</v>
      </c>
      <c r="G25" t="s">
        <v>273</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5.7336183839854069</v>
      </c>
      <c r="S25" s="120">
        <f>'Revenue matching'!S45</f>
        <v>5.7336183839854069</v>
      </c>
      <c r="T25" s="120">
        <f>'Revenue matching'!T45</f>
        <v>5.7336183839854069</v>
      </c>
      <c r="U25" s="120">
        <f>'Revenue matching'!U45</f>
        <v>5.7336183839854069</v>
      </c>
      <c r="V25" s="120">
        <f>'Revenue matching'!V45</f>
        <v>5.7336183839854069</v>
      </c>
      <c r="W25" s="120">
        <f>'Revenue matching'!W45</f>
        <v>5.3582865650740166</v>
      </c>
      <c r="X25" s="120">
        <f>'Revenue matching'!X45</f>
        <v>5.3582865650740166</v>
      </c>
      <c r="Y25" s="120">
        <f>'Revenue matching'!Y45</f>
        <v>5.3582865650740166</v>
      </c>
      <c r="Z25" s="120">
        <f>'Revenue matching'!Z45</f>
        <v>5.3582865650740166</v>
      </c>
      <c r="AA25" s="120">
        <f>'Revenue matching'!AA45</f>
        <v>5.3582865650740166</v>
      </c>
      <c r="AB25" s="120">
        <f>'Revenue matching'!AB45</f>
        <v>6.2347042934179937</v>
      </c>
      <c r="AC25" s="120">
        <f>'Revenue matching'!AC45</f>
        <v>6.2347042934179937</v>
      </c>
      <c r="AD25" s="120">
        <f>'Revenue matching'!AD45</f>
        <v>6.2347042934179937</v>
      </c>
      <c r="AE25" s="120">
        <f>'Revenue matching'!AE45</f>
        <v>6.2347042934179937</v>
      </c>
      <c r="AF25" s="120">
        <f>'Revenue matching'!AF45</f>
        <v>6.2347042934179937</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164</v>
      </c>
      <c r="G26" s="37" t="s">
        <v>274</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0.15568707537334198</v>
      </c>
      <c r="S26" s="283">
        <f>'Revenue matching'!S46</f>
        <v>0.15568707537334198</v>
      </c>
      <c r="T26" s="283">
        <f>'Revenue matching'!T46</f>
        <v>0.15568707537334198</v>
      </c>
      <c r="U26" s="283">
        <f>'Revenue matching'!U46</f>
        <v>0.15568707537334198</v>
      </c>
      <c r="V26" s="283">
        <f>'Revenue matching'!V46</f>
        <v>0.15568707537334198</v>
      </c>
      <c r="W26" s="283">
        <f>'Revenue matching'!W46</f>
        <v>0.10900735503203039</v>
      </c>
      <c r="X26" s="283">
        <f>'Revenue matching'!X46</f>
        <v>0.10900735503203039</v>
      </c>
      <c r="Y26" s="283">
        <f>'Revenue matching'!Y46</f>
        <v>0.10900735503203039</v>
      </c>
      <c r="Z26" s="283">
        <f>'Revenue matching'!Z46</f>
        <v>0.10900735503203039</v>
      </c>
      <c r="AA26" s="283">
        <f>'Revenue matching'!AA46</f>
        <v>0.10900735503203039</v>
      </c>
      <c r="AB26" s="283">
        <f>'Revenue matching'!AB46</f>
        <v>5.6025475483680934E-2</v>
      </c>
      <c r="AC26" s="283">
        <f>'Revenue matching'!AC46</f>
        <v>5.6025475483680934E-2</v>
      </c>
      <c r="AD26" s="283">
        <f>'Revenue matching'!AD46</f>
        <v>5.6025475483680934E-2</v>
      </c>
      <c r="AE26" s="283">
        <f>'Revenue matching'!AE46</f>
        <v>5.6025475483680934E-2</v>
      </c>
      <c r="AF26" s="283">
        <f>'Revenue matching'!AF46</f>
        <v>5.6025475483680934E-2</v>
      </c>
      <c r="AG26" s="283">
        <f>'Revenue matching'!AG46</f>
        <v>0</v>
      </c>
      <c r="AH26" s="283">
        <f>'Revenue matching'!AH46</f>
        <v>0</v>
      </c>
      <c r="AI26" s="283">
        <f>'Revenue matching'!AI46</f>
        <v>0</v>
      </c>
      <c r="AJ26" s="283">
        <f>'Revenue matching'!AJ46</f>
        <v>0.15535543202154206</v>
      </c>
      <c r="AK26" s="283">
        <f>'Revenue matching'!AK46</f>
        <v>0</v>
      </c>
      <c r="AL26" s="283">
        <f>'Revenue matching'!AL46</f>
        <v>0.13056045785664669</v>
      </c>
      <c r="AM26" s="283">
        <f>'Revenue matching'!AM46</f>
        <v>0</v>
      </c>
      <c r="AN26" s="283">
        <f>'Revenue matching'!AN46</f>
        <v>0.10463528367439673</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1135</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1136</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158</v>
      </c>
      <c r="G32" s="23" t="s">
        <v>271</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1.0234317076566479</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159</v>
      </c>
      <c r="G33" t="s">
        <v>271</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1.0234317076566479</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160</v>
      </c>
      <c r="G34" t="s">
        <v>271</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1.0234317076566479</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161</v>
      </c>
      <c r="G35" t="s">
        <v>272</v>
      </c>
      <c r="H35" s="51"/>
      <c r="J35" s="272">
        <f>'Revenue matching'!J415</f>
        <v>9.6914432630139675</v>
      </c>
      <c r="K35" s="272">
        <f>'Revenue matching'!K415</f>
        <v>0</v>
      </c>
      <c r="L35" s="272">
        <f>'Revenue matching'!L415</f>
        <v>0</v>
      </c>
      <c r="M35" s="272">
        <f>'Revenue matching'!M415</f>
        <v>4.0737632015838248</v>
      </c>
      <c r="N35" s="272">
        <f>'Revenue matching'!N415</f>
        <v>21.561819060021257</v>
      </c>
      <c r="O35" s="272">
        <f>'Revenue matching'!O415</f>
        <v>53.750423547960189</v>
      </c>
      <c r="P35" s="272">
        <f>'Revenue matching'!P415</f>
        <v>167.5246594491023</v>
      </c>
      <c r="Q35" s="272">
        <f>'Revenue matching'!Q415</f>
        <v>0</v>
      </c>
      <c r="R35" s="272">
        <f>'Revenue matching'!R415</f>
        <v>0</v>
      </c>
      <c r="S35" s="272">
        <f>'Revenue matching'!S415</f>
        <v>285.62702622159952</v>
      </c>
      <c r="T35" s="272">
        <f>'Revenue matching'!T415</f>
        <v>490.32319105297472</v>
      </c>
      <c r="U35" s="272">
        <f>'Revenue matching'!U415</f>
        <v>770.51189768473114</v>
      </c>
      <c r="V35" s="272">
        <f>'Revenue matching'!V415</f>
        <v>1424.3897665991497</v>
      </c>
      <c r="W35" s="272">
        <f>'Revenue matching'!W415</f>
        <v>0</v>
      </c>
      <c r="X35" s="272">
        <f>'Revenue matching'!X415</f>
        <v>285.62702622159958</v>
      </c>
      <c r="Y35" s="272">
        <f>'Revenue matching'!Y415</f>
        <v>490.32319105297472</v>
      </c>
      <c r="Z35" s="272">
        <f>'Revenue matching'!Z415</f>
        <v>770.51189768473103</v>
      </c>
      <c r="AA35" s="272">
        <f>'Revenue matching'!AA415</f>
        <v>1424.3897665991497</v>
      </c>
      <c r="AB35" s="272">
        <f>'Revenue matching'!AB415</f>
        <v>0</v>
      </c>
      <c r="AC35" s="272">
        <f>'Revenue matching'!AC415</f>
        <v>1202.0952039990182</v>
      </c>
      <c r="AD35" s="272">
        <f>'Revenue matching'!AD415</f>
        <v>4221.7788920613339</v>
      </c>
      <c r="AE35" s="272">
        <f>'Revenue matching'!AE415</f>
        <v>9342.8824066249181</v>
      </c>
      <c r="AF35" s="272">
        <f>'Revenue matching'!AF415</f>
        <v>24326.74904922615</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162</v>
      </c>
      <c r="G36" t="s">
        <v>273</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163</v>
      </c>
      <c r="G37" t="s">
        <v>273</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164</v>
      </c>
      <c r="G38" s="37" t="s">
        <v>274</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879</v>
      </c>
    </row>
    <row r="43" spans="3:43" x14ac:dyDescent="0.3">
      <c r="E43" s="29" t="s">
        <v>891</v>
      </c>
    </row>
    <row r="44" spans="3:43" x14ac:dyDescent="0.3">
      <c r="E44" s="88"/>
      <c r="F44" s="23" t="s">
        <v>158</v>
      </c>
      <c r="G44" s="23" t="s">
        <v>271</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159</v>
      </c>
      <c r="G45" t="s">
        <v>271</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160</v>
      </c>
      <c r="G46" t="s">
        <v>271</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161</v>
      </c>
      <c r="G47" t="s">
        <v>272</v>
      </c>
      <c r="H47" s="51"/>
      <c r="J47" s="121">
        <f>'Revenue matching'!J48</f>
        <v>6.6245511645105018E-2</v>
      </c>
      <c r="K47" s="121">
        <f>'Revenue matching'!K48</f>
        <v>0</v>
      </c>
      <c r="L47" s="121">
        <f>'Revenue matching'!L48</f>
        <v>4.1263685548627027E-2</v>
      </c>
      <c r="M47" s="121">
        <f>'Revenue matching'!M48</f>
        <v>4.1263685548627027E-2</v>
      </c>
      <c r="N47" s="121">
        <f>'Revenue matching'!N48</f>
        <v>4.1263685548627027E-2</v>
      </c>
      <c r="O47" s="121">
        <f>'Revenue matching'!O48</f>
        <v>4.1263685548627027E-2</v>
      </c>
      <c r="P47" s="121">
        <f>'Revenue matching'!P48</f>
        <v>4.1263685548627027E-2</v>
      </c>
      <c r="Q47" s="121">
        <f>'Revenue matching'!Q48</f>
        <v>0</v>
      </c>
      <c r="R47" s="121">
        <f>'Revenue matching'!R48</f>
        <v>4.1263685548627027E-2</v>
      </c>
      <c r="S47" s="121">
        <f>'Revenue matching'!S48</f>
        <v>4.1263685548627027E-2</v>
      </c>
      <c r="T47" s="121">
        <f>'Revenue matching'!T48</f>
        <v>4.1263685548627027E-2</v>
      </c>
      <c r="U47" s="121">
        <f>'Revenue matching'!U48</f>
        <v>4.1263685548627027E-2</v>
      </c>
      <c r="V47" s="121">
        <f>'Revenue matching'!V48</f>
        <v>4.1263685548627027E-2</v>
      </c>
      <c r="W47" s="121">
        <f>'Revenue matching'!W48</f>
        <v>4.1263685548627027E-2</v>
      </c>
      <c r="X47" s="121">
        <f>'Revenue matching'!X48</f>
        <v>4.1263685548627027E-2</v>
      </c>
      <c r="Y47" s="121">
        <f>'Revenue matching'!Y48</f>
        <v>4.1263685548627027E-2</v>
      </c>
      <c r="Z47" s="121">
        <f>'Revenue matching'!Z48</f>
        <v>4.1263685548627027E-2</v>
      </c>
      <c r="AA47" s="121">
        <f>'Revenue matching'!AA48</f>
        <v>4.1263685548627027E-2</v>
      </c>
      <c r="AB47" s="121">
        <f>'Revenue matching'!AB48</f>
        <v>4.1263685548627027E-2</v>
      </c>
      <c r="AC47" s="121">
        <f>'Revenue matching'!AC48</f>
        <v>4.1263685548627027E-2</v>
      </c>
      <c r="AD47" s="121">
        <f>'Revenue matching'!AD48</f>
        <v>4.1263685548627027E-2</v>
      </c>
      <c r="AE47" s="121">
        <f>'Revenue matching'!AE48</f>
        <v>4.1263685548627027E-2</v>
      </c>
      <c r="AF47" s="121">
        <f>'Revenue matching'!AF48</f>
        <v>4.1263685548627027E-2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162</v>
      </c>
      <c r="G48" t="s">
        <v>273</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163</v>
      </c>
      <c r="G49" t="s">
        <v>273</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164</v>
      </c>
      <c r="G50" s="37" t="s">
        <v>274</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1012</v>
      </c>
      <c r="G54" s="378" t="s">
        <v>151</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750</v>
      </c>
      <c r="I56" t="s">
        <v>156</v>
      </c>
      <c r="J56" s="236" t="s">
        <v>831</v>
      </c>
      <c r="K56" s="236" t="s">
        <v>833</v>
      </c>
      <c r="L56" s="236" t="s">
        <v>832</v>
      </c>
      <c r="M56" s="236" t="s">
        <v>834</v>
      </c>
      <c r="N56" s="236" t="s">
        <v>840</v>
      </c>
      <c r="O56" s="236" t="s">
        <v>841</v>
      </c>
      <c r="P56" s="236" t="s">
        <v>842</v>
      </c>
      <c r="Q56" s="236" t="s">
        <v>843</v>
      </c>
      <c r="R56" s="236" t="s">
        <v>835</v>
      </c>
      <c r="S56" s="236" t="s">
        <v>836</v>
      </c>
      <c r="T56" s="236" t="s">
        <v>837</v>
      </c>
      <c r="U56" s="236" t="s">
        <v>846</v>
      </c>
      <c r="V56" s="236" t="s">
        <v>838</v>
      </c>
      <c r="W56" s="236" t="s">
        <v>845</v>
      </c>
      <c r="X56" s="236" t="s">
        <v>839</v>
      </c>
      <c r="Y56" s="236" t="s">
        <v>844</v>
      </c>
    </row>
    <row r="57" spans="3:43" x14ac:dyDescent="0.3">
      <c r="E57" s="88"/>
      <c r="F57" s="23" t="s">
        <v>158</v>
      </c>
      <c r="G57" s="23" t="s">
        <v>169</v>
      </c>
      <c r="H57" s="174"/>
      <c r="I57" s="23"/>
      <c r="J57" s="343">
        <f>'Volume adjustments'!J315</f>
        <v>0.30293723133621986</v>
      </c>
      <c r="K57" s="343">
        <f>'Volume adjustments'!K315</f>
        <v>0.30293723133621986</v>
      </c>
      <c r="L57" s="343">
        <f>'Volume adjustments'!L315</f>
        <v>0.30293723133621986</v>
      </c>
      <c r="M57" s="343">
        <f>'Volume adjustments'!M315</f>
        <v>0.30293723133621986</v>
      </c>
      <c r="N57" s="343">
        <f>'Volume adjustments'!N315</f>
        <v>0.30293723133621986</v>
      </c>
      <c r="O57" s="343">
        <f>'Volume adjustments'!O315</f>
        <v>0</v>
      </c>
      <c r="P57" s="343">
        <f>'Volume adjustments'!P315</f>
        <v>0</v>
      </c>
      <c r="Q57" s="343">
        <f>'Volume adjustments'!Q315</f>
        <v>0.30293723133621986</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159</v>
      </c>
      <c r="G58" t="s">
        <v>169</v>
      </c>
      <c r="H58" s="51"/>
      <c r="J58" s="344">
        <f>'Volume adjustments'!J316</f>
        <v>0.30293723133621986</v>
      </c>
      <c r="K58" s="344">
        <f>'Volume adjustments'!K316</f>
        <v>0.30293723133621986</v>
      </c>
      <c r="L58" s="344">
        <f>'Volume adjustments'!L316</f>
        <v>0.30293723133621986</v>
      </c>
      <c r="M58" s="344">
        <f>'Volume adjustments'!M316</f>
        <v>0.30293723133621986</v>
      </c>
      <c r="N58" s="344">
        <f>'Volume adjustments'!N316</f>
        <v>0.30293723133621986</v>
      </c>
      <c r="O58" s="344">
        <f>'Volume adjustments'!O316</f>
        <v>0</v>
      </c>
      <c r="P58" s="344">
        <f>'Volume adjustments'!P316</f>
        <v>0</v>
      </c>
      <c r="Q58" s="344">
        <f>'Volume adjustments'!Q316</f>
        <v>0.30293723133621986</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160</v>
      </c>
      <c r="G59" t="s">
        <v>169</v>
      </c>
      <c r="H59" s="51"/>
      <c r="J59" s="344">
        <f>'Volume adjustments'!J317</f>
        <v>0.30293723133621986</v>
      </c>
      <c r="K59" s="344">
        <f>'Volume adjustments'!K317</f>
        <v>0.30293723133621986</v>
      </c>
      <c r="L59" s="344">
        <f>'Volume adjustments'!L317</f>
        <v>0.30293723133621986</v>
      </c>
      <c r="M59" s="344">
        <f>'Volume adjustments'!M317</f>
        <v>0.30293723133621986</v>
      </c>
      <c r="N59" s="344">
        <f>'Volume adjustments'!N317</f>
        <v>0.30293723133621986</v>
      </c>
      <c r="O59" s="344">
        <f>'Volume adjustments'!O317</f>
        <v>0</v>
      </c>
      <c r="P59" s="344">
        <f>'Volume adjustments'!P317</f>
        <v>0</v>
      </c>
      <c r="Q59" s="344">
        <f>'Volume adjustments'!Q317</f>
        <v>0.30293723133621986</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161</v>
      </c>
      <c r="G60" t="s">
        <v>169</v>
      </c>
      <c r="H60" s="51"/>
      <c r="J60" s="344">
        <f>'Volume adjustments'!J318</f>
        <v>0.30293723133621986</v>
      </c>
      <c r="K60" s="344">
        <f>'Volume adjustments'!K318</f>
        <v>0.30293723133621986</v>
      </c>
      <c r="L60" s="344">
        <f>'Volume adjustments'!L318</f>
        <v>0.30293723133621986</v>
      </c>
      <c r="M60" s="344">
        <f>'Volume adjustments'!M318</f>
        <v>0.30293723133621986</v>
      </c>
      <c r="N60" s="344">
        <f>'Volume adjustments'!N318</f>
        <v>0.30293723133621986</v>
      </c>
      <c r="O60" s="344">
        <f>'Volume adjustments'!O318</f>
        <v>0</v>
      </c>
      <c r="P60" s="344">
        <f>'Volume adjustments'!P318</f>
        <v>0</v>
      </c>
      <c r="Q60" s="344">
        <f>'Volume adjustments'!Q318</f>
        <v>0.30293723133621986</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162</v>
      </c>
      <c r="G61" t="s">
        <v>169</v>
      </c>
      <c r="H61" s="51"/>
      <c r="J61" s="344">
        <f>'Volume adjustments'!J319</f>
        <v>0.30293723133621986</v>
      </c>
      <c r="K61" s="344">
        <f>'Volume adjustments'!K319</f>
        <v>0.30293723133621986</v>
      </c>
      <c r="L61" s="344">
        <f>'Volume adjustments'!L319</f>
        <v>0.30293723133621986</v>
      </c>
      <c r="M61" s="344">
        <f>'Volume adjustments'!M319</f>
        <v>0.30293723133621986</v>
      </c>
      <c r="N61" s="344">
        <f>'Volume adjustments'!N319</f>
        <v>0.30293723133621986</v>
      </c>
      <c r="O61" s="344">
        <f>'Volume adjustments'!O319</f>
        <v>0</v>
      </c>
      <c r="P61" s="344">
        <f>'Volume adjustments'!P319</f>
        <v>0</v>
      </c>
      <c r="Q61" s="344">
        <f>'Volume adjustments'!Q319</f>
        <v>0.30293723133621986</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163</v>
      </c>
      <c r="G62" t="s">
        <v>169</v>
      </c>
      <c r="H62" s="51"/>
      <c r="J62" s="344">
        <f>'Volume adjustments'!J320</f>
        <v>0.30293723133621986</v>
      </c>
      <c r="K62" s="344">
        <f>'Volume adjustments'!K320</f>
        <v>0.30293723133621986</v>
      </c>
      <c r="L62" s="344">
        <f>'Volume adjustments'!L320</f>
        <v>0.30293723133621986</v>
      </c>
      <c r="M62" s="344">
        <f>'Volume adjustments'!M320</f>
        <v>0.30293723133621986</v>
      </c>
      <c r="N62" s="344">
        <f>'Volume adjustments'!N320</f>
        <v>0.30293723133621986</v>
      </c>
      <c r="O62" s="344">
        <f>'Volume adjustments'!O320</f>
        <v>0</v>
      </c>
      <c r="P62" s="344">
        <f>'Volume adjustments'!P320</f>
        <v>0</v>
      </c>
      <c r="Q62" s="344">
        <f>'Volume adjustments'!Q320</f>
        <v>0.30293723133621986</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164</v>
      </c>
      <c r="G63" s="37" t="s">
        <v>169</v>
      </c>
      <c r="H63" s="211"/>
      <c r="I63" s="37"/>
      <c r="J63" s="345">
        <f>'Volume adjustments'!J321</f>
        <v>0.30293723133621986</v>
      </c>
      <c r="K63" s="345">
        <f>'Volume adjustments'!K321</f>
        <v>0.30293723133621986</v>
      </c>
      <c r="L63" s="345">
        <f>'Volume adjustments'!L321</f>
        <v>0.30293723133621986</v>
      </c>
      <c r="M63" s="345">
        <f>'Volume adjustments'!M321</f>
        <v>0.30293723133621986</v>
      </c>
      <c r="N63" s="345">
        <f>'Volume adjustments'!N321</f>
        <v>0.30293723133621986</v>
      </c>
      <c r="O63" s="345">
        <f>'Volume adjustments'!O321</f>
        <v>0</v>
      </c>
      <c r="P63" s="345">
        <f>'Volume adjustments'!P321</f>
        <v>0</v>
      </c>
      <c r="Q63" s="345">
        <f>'Volume adjustments'!Q321</f>
        <v>0.30293723133621986</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751</v>
      </c>
      <c r="I65" t="s">
        <v>156</v>
      </c>
      <c r="J65" s="236" t="s">
        <v>831</v>
      </c>
      <c r="K65" s="236" t="s">
        <v>833</v>
      </c>
      <c r="L65" s="236" t="s">
        <v>832</v>
      </c>
      <c r="M65" s="236" t="s">
        <v>834</v>
      </c>
      <c r="N65" s="236" t="s">
        <v>840</v>
      </c>
      <c r="O65" s="236" t="s">
        <v>841</v>
      </c>
      <c r="P65" s="236" t="s">
        <v>842</v>
      </c>
      <c r="Q65" s="236" t="s">
        <v>843</v>
      </c>
      <c r="R65" s="236" t="s">
        <v>835</v>
      </c>
      <c r="S65" s="236" t="s">
        <v>836</v>
      </c>
      <c r="T65" s="236" t="s">
        <v>837</v>
      </c>
      <c r="U65" s="236" t="s">
        <v>846</v>
      </c>
      <c r="V65" s="236" t="s">
        <v>838</v>
      </c>
      <c r="W65" s="236" t="s">
        <v>845</v>
      </c>
      <c r="X65" s="236" t="s">
        <v>839</v>
      </c>
      <c r="Y65" s="236" t="s">
        <v>844</v>
      </c>
    </row>
    <row r="66" spans="4:43" x14ac:dyDescent="0.3">
      <c r="E66" s="88"/>
      <c r="F66" s="23" t="s">
        <v>158</v>
      </c>
      <c r="G66" s="23" t="s">
        <v>169</v>
      </c>
      <c r="H66" s="174"/>
      <c r="I66" s="23"/>
      <c r="J66" s="343">
        <f>'Volume adjustments'!J324</f>
        <v>0.440304373746851</v>
      </c>
      <c r="K66" s="343">
        <f>'Volume adjustments'!K324</f>
        <v>0.440304373746851</v>
      </c>
      <c r="L66" s="343">
        <f>'Volume adjustments'!L324</f>
        <v>0.440304373746851</v>
      </c>
      <c r="M66" s="343">
        <f>'Volume adjustments'!M324</f>
        <v>0.440304373746851</v>
      </c>
      <c r="N66" s="343">
        <f>'Volume adjustments'!N324</f>
        <v>0.440304373746851</v>
      </c>
      <c r="O66" s="343">
        <f>'Volume adjustments'!O324</f>
        <v>0.1825428677643125</v>
      </c>
      <c r="P66" s="343">
        <f>'Volume adjustments'!P324</f>
        <v>7.3486631222764401E-2</v>
      </c>
      <c r="Q66" s="343">
        <f>'Volume adjustments'!Q324</f>
        <v>0.440304373746851</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159</v>
      </c>
      <c r="G67" t="s">
        <v>169</v>
      </c>
      <c r="H67" s="51"/>
      <c r="J67" s="344">
        <f>'Volume adjustments'!J325</f>
        <v>0.440304373746851</v>
      </c>
      <c r="K67" s="344">
        <f>'Volume adjustments'!K325</f>
        <v>0.440304373746851</v>
      </c>
      <c r="L67" s="344">
        <f>'Volume adjustments'!L325</f>
        <v>0.440304373746851</v>
      </c>
      <c r="M67" s="344">
        <f>'Volume adjustments'!M325</f>
        <v>0.440304373746851</v>
      </c>
      <c r="N67" s="344">
        <f>'Volume adjustments'!N325</f>
        <v>0.440304373746851</v>
      </c>
      <c r="O67" s="344">
        <f>'Volume adjustments'!O325</f>
        <v>0.1825428677643125</v>
      </c>
      <c r="P67" s="344">
        <f>'Volume adjustments'!P325</f>
        <v>7.3486631222764401E-2</v>
      </c>
      <c r="Q67" s="344">
        <f>'Volume adjustments'!Q325</f>
        <v>0.440304373746851</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160</v>
      </c>
      <c r="G68" t="s">
        <v>169</v>
      </c>
      <c r="H68" s="51"/>
      <c r="J68" s="344">
        <f>'Volume adjustments'!J326</f>
        <v>0.440304373746851</v>
      </c>
      <c r="K68" s="344">
        <f>'Volume adjustments'!K326</f>
        <v>0.440304373746851</v>
      </c>
      <c r="L68" s="344">
        <f>'Volume adjustments'!L326</f>
        <v>0.440304373746851</v>
      </c>
      <c r="M68" s="344">
        <f>'Volume adjustments'!M326</f>
        <v>0.440304373746851</v>
      </c>
      <c r="N68" s="344">
        <f>'Volume adjustments'!N326</f>
        <v>0.440304373746851</v>
      </c>
      <c r="O68" s="344">
        <f>'Volume adjustments'!O326</f>
        <v>0.1825428677643125</v>
      </c>
      <c r="P68" s="344">
        <f>'Volume adjustments'!P326</f>
        <v>7.3486631222764401E-2</v>
      </c>
      <c r="Q68" s="344">
        <f>'Volume adjustments'!Q326</f>
        <v>0.440304373746851</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161</v>
      </c>
      <c r="G69" t="s">
        <v>169</v>
      </c>
      <c r="H69" s="51"/>
      <c r="J69" s="344">
        <f>'Volume adjustments'!J327</f>
        <v>0.440304373746851</v>
      </c>
      <c r="K69" s="344">
        <f>'Volume adjustments'!K327</f>
        <v>0.440304373746851</v>
      </c>
      <c r="L69" s="344">
        <f>'Volume adjustments'!L327</f>
        <v>0.440304373746851</v>
      </c>
      <c r="M69" s="344">
        <f>'Volume adjustments'!M327</f>
        <v>0.440304373746851</v>
      </c>
      <c r="N69" s="344">
        <f>'Volume adjustments'!N327</f>
        <v>0.440304373746851</v>
      </c>
      <c r="O69" s="344">
        <f>'Volume adjustments'!O327</f>
        <v>0.1825428677643125</v>
      </c>
      <c r="P69" s="344">
        <f>'Volume adjustments'!P327</f>
        <v>7.3486631222764401E-2</v>
      </c>
      <c r="Q69" s="344">
        <f>'Volume adjustments'!Q327</f>
        <v>0.440304373746851</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162</v>
      </c>
      <c r="G70" t="s">
        <v>169</v>
      </c>
      <c r="H70" s="51"/>
      <c r="J70" s="344">
        <f>'Volume adjustments'!J328</f>
        <v>0.440304373746851</v>
      </c>
      <c r="K70" s="344">
        <f>'Volume adjustments'!K328</f>
        <v>0.440304373746851</v>
      </c>
      <c r="L70" s="344">
        <f>'Volume adjustments'!L328</f>
        <v>0.440304373746851</v>
      </c>
      <c r="M70" s="344">
        <f>'Volume adjustments'!M328</f>
        <v>0.440304373746851</v>
      </c>
      <c r="N70" s="344">
        <f>'Volume adjustments'!N328</f>
        <v>0.440304373746851</v>
      </c>
      <c r="O70" s="344">
        <f>'Volume adjustments'!O328</f>
        <v>0.1825428677643125</v>
      </c>
      <c r="P70" s="344">
        <f>'Volume adjustments'!P328</f>
        <v>7.3486631222764401E-2</v>
      </c>
      <c r="Q70" s="344">
        <f>'Volume adjustments'!Q328</f>
        <v>0.440304373746851</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163</v>
      </c>
      <c r="G71" t="s">
        <v>169</v>
      </c>
      <c r="H71" s="51"/>
      <c r="J71" s="344">
        <f>'Volume adjustments'!J329</f>
        <v>0.440304373746851</v>
      </c>
      <c r="K71" s="344">
        <f>'Volume adjustments'!K329</f>
        <v>0.440304373746851</v>
      </c>
      <c r="L71" s="344">
        <f>'Volume adjustments'!L329</f>
        <v>0.440304373746851</v>
      </c>
      <c r="M71" s="344">
        <f>'Volume adjustments'!M329</f>
        <v>0.440304373746851</v>
      </c>
      <c r="N71" s="344">
        <f>'Volume adjustments'!N329</f>
        <v>0.440304373746851</v>
      </c>
      <c r="O71" s="344">
        <f>'Volume adjustments'!O329</f>
        <v>0.1825428677643125</v>
      </c>
      <c r="P71" s="344">
        <f>'Volume adjustments'!P329</f>
        <v>7.3486631222764401E-2</v>
      </c>
      <c r="Q71" s="344">
        <f>'Volume adjustments'!Q329</f>
        <v>0.440304373746851</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164</v>
      </c>
      <c r="G72" s="37" t="s">
        <v>169</v>
      </c>
      <c r="H72" s="211"/>
      <c r="I72" s="37"/>
      <c r="J72" s="345">
        <f>'Volume adjustments'!J330</f>
        <v>0.440304373746851</v>
      </c>
      <c r="K72" s="345">
        <f>'Volume adjustments'!K330</f>
        <v>0.440304373746851</v>
      </c>
      <c r="L72" s="345">
        <f>'Volume adjustments'!L330</f>
        <v>0.440304373746851</v>
      </c>
      <c r="M72" s="345">
        <f>'Volume adjustments'!M330</f>
        <v>0.440304373746851</v>
      </c>
      <c r="N72" s="345">
        <f>'Volume adjustments'!N330</f>
        <v>0.440304373746851</v>
      </c>
      <c r="O72" s="345">
        <f>'Volume adjustments'!O330</f>
        <v>0.1825428677643125</v>
      </c>
      <c r="P72" s="345">
        <f>'Volume adjustments'!P330</f>
        <v>7.3486631222764401E-2</v>
      </c>
      <c r="Q72" s="345">
        <f>'Volume adjustments'!Q330</f>
        <v>0.440304373746851</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750</v>
      </c>
      <c r="I74" t="s">
        <v>156</v>
      </c>
      <c r="AQ74" t="s">
        <v>430</v>
      </c>
    </row>
    <row r="75" spans="4:43" x14ac:dyDescent="0.3">
      <c r="D75"/>
      <c r="E75" s="88"/>
      <c r="F75" s="23" t="s">
        <v>158</v>
      </c>
      <c r="G75" s="23" t="s">
        <v>169</v>
      </c>
      <c r="H75" s="174"/>
      <c r="I75" s="23"/>
      <c r="J75" s="154">
        <f>INDEX($J57:$Y57,J$54)</f>
        <v>0.30293723133621986</v>
      </c>
      <c r="K75" s="154">
        <f t="shared" ref="K75:AO75" si="0">INDEX($J57:$Y57,K$54)</f>
        <v>0.30293723133621986</v>
      </c>
      <c r="L75" s="154">
        <f t="shared" si="0"/>
        <v>0.30293723133621986</v>
      </c>
      <c r="M75" s="154">
        <f t="shared" si="0"/>
        <v>0.30293723133621986</v>
      </c>
      <c r="N75" s="154">
        <f t="shared" si="0"/>
        <v>0.30293723133621986</v>
      </c>
      <c r="O75" s="154">
        <f t="shared" si="0"/>
        <v>0.30293723133621986</v>
      </c>
      <c r="P75" s="154">
        <f t="shared" si="0"/>
        <v>0.30293723133621986</v>
      </c>
      <c r="Q75" s="154">
        <f t="shared" si="0"/>
        <v>0.30293723133621986</v>
      </c>
      <c r="R75" s="154">
        <f t="shared" si="0"/>
        <v>0.30293723133621986</v>
      </c>
      <c r="S75" s="154">
        <f t="shared" si="0"/>
        <v>0.30293723133621986</v>
      </c>
      <c r="T75" s="154">
        <f t="shared" si="0"/>
        <v>0.30293723133621986</v>
      </c>
      <c r="U75" s="154">
        <f t="shared" si="0"/>
        <v>0.30293723133621986</v>
      </c>
      <c r="V75" s="154">
        <f t="shared" si="0"/>
        <v>0.30293723133621986</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0.30293723133621986</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159</v>
      </c>
      <c r="G76" t="s">
        <v>169</v>
      </c>
      <c r="H76" s="51"/>
      <c r="J76" s="145">
        <f t="shared" ref="J76:AO76" si="1">INDEX($J58:$Y58,J$54)</f>
        <v>0.30293723133621986</v>
      </c>
      <c r="K76" s="145">
        <f t="shared" si="1"/>
        <v>0.30293723133621986</v>
      </c>
      <c r="L76" s="145">
        <f t="shared" si="1"/>
        <v>0.30293723133621986</v>
      </c>
      <c r="M76" s="145">
        <f t="shared" si="1"/>
        <v>0.30293723133621986</v>
      </c>
      <c r="N76" s="145">
        <f t="shared" si="1"/>
        <v>0.30293723133621986</v>
      </c>
      <c r="O76" s="145">
        <f t="shared" si="1"/>
        <v>0.30293723133621986</v>
      </c>
      <c r="P76" s="145">
        <f t="shared" si="1"/>
        <v>0.30293723133621986</v>
      </c>
      <c r="Q76" s="145">
        <f t="shared" si="1"/>
        <v>0.30293723133621986</v>
      </c>
      <c r="R76" s="145">
        <f t="shared" si="1"/>
        <v>0.30293723133621986</v>
      </c>
      <c r="S76" s="145">
        <f t="shared" si="1"/>
        <v>0.30293723133621986</v>
      </c>
      <c r="T76" s="145">
        <f t="shared" si="1"/>
        <v>0.30293723133621986</v>
      </c>
      <c r="U76" s="145">
        <f t="shared" si="1"/>
        <v>0.30293723133621986</v>
      </c>
      <c r="V76" s="145">
        <f t="shared" si="1"/>
        <v>0.30293723133621986</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0.30293723133621986</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160</v>
      </c>
      <c r="G77" t="s">
        <v>169</v>
      </c>
      <c r="H77" s="51"/>
      <c r="J77" s="145">
        <f t="shared" ref="J77:AO77" si="2">INDEX($J59:$Y59,J$54)</f>
        <v>0.30293723133621986</v>
      </c>
      <c r="K77" s="145">
        <f t="shared" si="2"/>
        <v>0.30293723133621986</v>
      </c>
      <c r="L77" s="145">
        <f t="shared" si="2"/>
        <v>0.30293723133621986</v>
      </c>
      <c r="M77" s="145">
        <f t="shared" si="2"/>
        <v>0.30293723133621986</v>
      </c>
      <c r="N77" s="145">
        <f t="shared" si="2"/>
        <v>0.30293723133621986</v>
      </c>
      <c r="O77" s="145">
        <f t="shared" si="2"/>
        <v>0.30293723133621986</v>
      </c>
      <c r="P77" s="145">
        <f t="shared" si="2"/>
        <v>0.30293723133621986</v>
      </c>
      <c r="Q77" s="145">
        <f t="shared" si="2"/>
        <v>0.30293723133621986</v>
      </c>
      <c r="R77" s="145">
        <f t="shared" si="2"/>
        <v>0.30293723133621986</v>
      </c>
      <c r="S77" s="145">
        <f t="shared" si="2"/>
        <v>0.30293723133621986</v>
      </c>
      <c r="T77" s="145">
        <f t="shared" si="2"/>
        <v>0.30293723133621986</v>
      </c>
      <c r="U77" s="145">
        <f t="shared" si="2"/>
        <v>0.30293723133621986</v>
      </c>
      <c r="V77" s="145">
        <f t="shared" si="2"/>
        <v>0.30293723133621986</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0.30293723133621986</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161</v>
      </c>
      <c r="G78" t="s">
        <v>169</v>
      </c>
      <c r="H78" s="51"/>
      <c r="J78" s="145">
        <f t="shared" ref="J78:AO78" si="3">INDEX($J60:$Y60,J$54)</f>
        <v>0.30293723133621986</v>
      </c>
      <c r="K78" s="145">
        <f t="shared" si="3"/>
        <v>0.30293723133621986</v>
      </c>
      <c r="L78" s="145">
        <f t="shared" si="3"/>
        <v>0.30293723133621986</v>
      </c>
      <c r="M78" s="145">
        <f t="shared" si="3"/>
        <v>0.30293723133621986</v>
      </c>
      <c r="N78" s="145">
        <f t="shared" si="3"/>
        <v>0.30293723133621986</v>
      </c>
      <c r="O78" s="145">
        <f t="shared" si="3"/>
        <v>0.30293723133621986</v>
      </c>
      <c r="P78" s="145">
        <f t="shared" si="3"/>
        <v>0.30293723133621986</v>
      </c>
      <c r="Q78" s="145">
        <f t="shared" si="3"/>
        <v>0.30293723133621986</v>
      </c>
      <c r="R78" s="145">
        <f t="shared" si="3"/>
        <v>0.30293723133621986</v>
      </c>
      <c r="S78" s="145">
        <f t="shared" si="3"/>
        <v>0.30293723133621986</v>
      </c>
      <c r="T78" s="145">
        <f t="shared" si="3"/>
        <v>0.30293723133621986</v>
      </c>
      <c r="U78" s="145">
        <f t="shared" si="3"/>
        <v>0.30293723133621986</v>
      </c>
      <c r="V78" s="145">
        <f t="shared" si="3"/>
        <v>0.30293723133621986</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0.30293723133621986</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162</v>
      </c>
      <c r="G79" t="s">
        <v>169</v>
      </c>
      <c r="H79" s="51"/>
      <c r="J79" s="145">
        <f t="shared" ref="J79:AO79" si="4">INDEX($J61:$Y61,J$54)</f>
        <v>0.30293723133621986</v>
      </c>
      <c r="K79" s="145">
        <f t="shared" si="4"/>
        <v>0.30293723133621986</v>
      </c>
      <c r="L79" s="145">
        <f t="shared" si="4"/>
        <v>0.30293723133621986</v>
      </c>
      <c r="M79" s="145">
        <f t="shared" si="4"/>
        <v>0.30293723133621986</v>
      </c>
      <c r="N79" s="145">
        <f t="shared" si="4"/>
        <v>0.30293723133621986</v>
      </c>
      <c r="O79" s="145">
        <f t="shared" si="4"/>
        <v>0.30293723133621986</v>
      </c>
      <c r="P79" s="145">
        <f t="shared" si="4"/>
        <v>0.30293723133621986</v>
      </c>
      <c r="Q79" s="145">
        <f t="shared" si="4"/>
        <v>0.30293723133621986</v>
      </c>
      <c r="R79" s="145">
        <f t="shared" si="4"/>
        <v>0.30293723133621986</v>
      </c>
      <c r="S79" s="145">
        <f t="shared" si="4"/>
        <v>0.30293723133621986</v>
      </c>
      <c r="T79" s="145">
        <f t="shared" si="4"/>
        <v>0.30293723133621986</v>
      </c>
      <c r="U79" s="145">
        <f t="shared" si="4"/>
        <v>0.30293723133621986</v>
      </c>
      <c r="V79" s="145">
        <f t="shared" si="4"/>
        <v>0.30293723133621986</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0.30293723133621986</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163</v>
      </c>
      <c r="G80" t="s">
        <v>169</v>
      </c>
      <c r="H80" s="51"/>
      <c r="J80" s="145">
        <f t="shared" ref="J80:AO80" si="5">INDEX($J62:$Y62,J$54)</f>
        <v>0.30293723133621986</v>
      </c>
      <c r="K80" s="145">
        <f t="shared" si="5"/>
        <v>0.30293723133621986</v>
      </c>
      <c r="L80" s="145">
        <f t="shared" si="5"/>
        <v>0.30293723133621986</v>
      </c>
      <c r="M80" s="145">
        <f t="shared" si="5"/>
        <v>0.30293723133621986</v>
      </c>
      <c r="N80" s="145">
        <f t="shared" si="5"/>
        <v>0.30293723133621986</v>
      </c>
      <c r="O80" s="145">
        <f t="shared" si="5"/>
        <v>0.30293723133621986</v>
      </c>
      <c r="P80" s="145">
        <f t="shared" si="5"/>
        <v>0.30293723133621986</v>
      </c>
      <c r="Q80" s="145">
        <f t="shared" si="5"/>
        <v>0.30293723133621986</v>
      </c>
      <c r="R80" s="145">
        <f t="shared" si="5"/>
        <v>0.30293723133621986</v>
      </c>
      <c r="S80" s="145">
        <f t="shared" si="5"/>
        <v>0.30293723133621986</v>
      </c>
      <c r="T80" s="145">
        <f t="shared" si="5"/>
        <v>0.30293723133621986</v>
      </c>
      <c r="U80" s="145">
        <f t="shared" si="5"/>
        <v>0.30293723133621986</v>
      </c>
      <c r="V80" s="145">
        <f t="shared" si="5"/>
        <v>0.30293723133621986</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0.30293723133621986</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164</v>
      </c>
      <c r="G81" s="37" t="s">
        <v>169</v>
      </c>
      <c r="H81" s="211"/>
      <c r="I81" s="37"/>
      <c r="J81" s="155">
        <f t="shared" ref="J81:AO81" si="6">INDEX($J63:$Y63,J$54)</f>
        <v>0.30293723133621986</v>
      </c>
      <c r="K81" s="155">
        <f t="shared" si="6"/>
        <v>0.30293723133621986</v>
      </c>
      <c r="L81" s="155">
        <f t="shared" si="6"/>
        <v>0.30293723133621986</v>
      </c>
      <c r="M81" s="155">
        <f t="shared" si="6"/>
        <v>0.30293723133621986</v>
      </c>
      <c r="N81" s="155">
        <f t="shared" si="6"/>
        <v>0.30293723133621986</v>
      </c>
      <c r="O81" s="155">
        <f t="shared" si="6"/>
        <v>0.30293723133621986</v>
      </c>
      <c r="P81" s="155">
        <f t="shared" si="6"/>
        <v>0.30293723133621986</v>
      </c>
      <c r="Q81" s="155">
        <f t="shared" si="6"/>
        <v>0.30293723133621986</v>
      </c>
      <c r="R81" s="155">
        <f t="shared" si="6"/>
        <v>0.30293723133621986</v>
      </c>
      <c r="S81" s="155">
        <f t="shared" si="6"/>
        <v>0.30293723133621986</v>
      </c>
      <c r="T81" s="155">
        <f t="shared" si="6"/>
        <v>0.30293723133621986</v>
      </c>
      <c r="U81" s="155">
        <f t="shared" si="6"/>
        <v>0.30293723133621986</v>
      </c>
      <c r="V81" s="155">
        <f t="shared" si="6"/>
        <v>0.30293723133621986</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0.30293723133621986</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751</v>
      </c>
      <c r="I83" t="s">
        <v>156</v>
      </c>
      <c r="AQ83" t="s">
        <v>430</v>
      </c>
    </row>
    <row r="84" spans="3:43" x14ac:dyDescent="0.3">
      <c r="D84"/>
      <c r="E84" s="88"/>
      <c r="F84" s="23" t="s">
        <v>158</v>
      </c>
      <c r="G84" s="23" t="s">
        <v>169</v>
      </c>
      <c r="H84" s="174"/>
      <c r="I84" s="23"/>
      <c r="J84" s="154">
        <f>INDEX($J66:$Y66,J$54)</f>
        <v>0.440304373746851</v>
      </c>
      <c r="K84" s="154">
        <f t="shared" ref="K84:AO84" si="7">INDEX($J66:$Y66,K$54)</f>
        <v>0.440304373746851</v>
      </c>
      <c r="L84" s="154">
        <f t="shared" si="7"/>
        <v>0.440304373746851</v>
      </c>
      <c r="M84" s="154">
        <f t="shared" si="7"/>
        <v>0.440304373746851</v>
      </c>
      <c r="N84" s="154">
        <f t="shared" si="7"/>
        <v>0.440304373746851</v>
      </c>
      <c r="O84" s="154">
        <f t="shared" si="7"/>
        <v>0.440304373746851</v>
      </c>
      <c r="P84" s="154">
        <f t="shared" si="7"/>
        <v>0.440304373746851</v>
      </c>
      <c r="Q84" s="154">
        <f t="shared" si="7"/>
        <v>0.440304373746851</v>
      </c>
      <c r="R84" s="154">
        <f t="shared" si="7"/>
        <v>0.440304373746851</v>
      </c>
      <c r="S84" s="154">
        <f t="shared" si="7"/>
        <v>0.440304373746851</v>
      </c>
      <c r="T84" s="154">
        <f t="shared" si="7"/>
        <v>0.440304373746851</v>
      </c>
      <c r="U84" s="154">
        <f t="shared" si="7"/>
        <v>0.440304373746851</v>
      </c>
      <c r="V84" s="154">
        <f t="shared" si="7"/>
        <v>0.440304373746851</v>
      </c>
      <c r="W84" s="154">
        <f t="shared" si="7"/>
        <v>0.1825428677643125</v>
      </c>
      <c r="X84" s="154">
        <f t="shared" si="7"/>
        <v>0.1825428677643125</v>
      </c>
      <c r="Y84" s="154">
        <f t="shared" si="7"/>
        <v>0.1825428677643125</v>
      </c>
      <c r="Z84" s="154">
        <f t="shared" si="7"/>
        <v>0.1825428677643125</v>
      </c>
      <c r="AA84" s="154">
        <f t="shared" si="7"/>
        <v>0.1825428677643125</v>
      </c>
      <c r="AB84" s="154">
        <f t="shared" si="7"/>
        <v>7.3486631222764401E-2</v>
      </c>
      <c r="AC84" s="154">
        <f t="shared" si="7"/>
        <v>7.3486631222764401E-2</v>
      </c>
      <c r="AD84" s="154">
        <f t="shared" si="7"/>
        <v>7.3486631222764401E-2</v>
      </c>
      <c r="AE84" s="154">
        <f t="shared" si="7"/>
        <v>7.3486631222764401E-2</v>
      </c>
      <c r="AF84" s="154">
        <f t="shared" si="7"/>
        <v>7.3486631222764401E-2</v>
      </c>
      <c r="AG84" s="154">
        <f t="shared" si="7"/>
        <v>0.440304373746851</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159</v>
      </c>
      <c r="G85" t="s">
        <v>169</v>
      </c>
      <c r="H85" s="51"/>
      <c r="J85" s="145">
        <f t="shared" ref="J85:AO85" si="8">INDEX($J67:$Y67,J$54)</f>
        <v>0.440304373746851</v>
      </c>
      <c r="K85" s="145">
        <f t="shared" si="8"/>
        <v>0.440304373746851</v>
      </c>
      <c r="L85" s="145">
        <f t="shared" si="8"/>
        <v>0.440304373746851</v>
      </c>
      <c r="M85" s="145">
        <f t="shared" si="8"/>
        <v>0.440304373746851</v>
      </c>
      <c r="N85" s="145">
        <f t="shared" si="8"/>
        <v>0.440304373746851</v>
      </c>
      <c r="O85" s="145">
        <f t="shared" si="8"/>
        <v>0.440304373746851</v>
      </c>
      <c r="P85" s="145">
        <f t="shared" si="8"/>
        <v>0.440304373746851</v>
      </c>
      <c r="Q85" s="145">
        <f t="shared" si="8"/>
        <v>0.440304373746851</v>
      </c>
      <c r="R85" s="145">
        <f t="shared" si="8"/>
        <v>0.440304373746851</v>
      </c>
      <c r="S85" s="145">
        <f t="shared" si="8"/>
        <v>0.440304373746851</v>
      </c>
      <c r="T85" s="145">
        <f t="shared" si="8"/>
        <v>0.440304373746851</v>
      </c>
      <c r="U85" s="145">
        <f t="shared" si="8"/>
        <v>0.440304373746851</v>
      </c>
      <c r="V85" s="145">
        <f t="shared" si="8"/>
        <v>0.440304373746851</v>
      </c>
      <c r="W85" s="145">
        <f t="shared" si="8"/>
        <v>0.1825428677643125</v>
      </c>
      <c r="X85" s="145">
        <f t="shared" si="8"/>
        <v>0.1825428677643125</v>
      </c>
      <c r="Y85" s="145">
        <f t="shared" si="8"/>
        <v>0.1825428677643125</v>
      </c>
      <c r="Z85" s="145">
        <f t="shared" si="8"/>
        <v>0.1825428677643125</v>
      </c>
      <c r="AA85" s="145">
        <f t="shared" si="8"/>
        <v>0.1825428677643125</v>
      </c>
      <c r="AB85" s="145">
        <f t="shared" si="8"/>
        <v>7.3486631222764401E-2</v>
      </c>
      <c r="AC85" s="145">
        <f t="shared" si="8"/>
        <v>7.3486631222764401E-2</v>
      </c>
      <c r="AD85" s="145">
        <f t="shared" si="8"/>
        <v>7.3486631222764401E-2</v>
      </c>
      <c r="AE85" s="145">
        <f t="shared" si="8"/>
        <v>7.3486631222764401E-2</v>
      </c>
      <c r="AF85" s="145">
        <f t="shared" si="8"/>
        <v>7.3486631222764401E-2</v>
      </c>
      <c r="AG85" s="145">
        <f t="shared" si="8"/>
        <v>0.440304373746851</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160</v>
      </c>
      <c r="G86" t="s">
        <v>169</v>
      </c>
      <c r="H86" s="51"/>
      <c r="J86" s="145">
        <f t="shared" ref="J86:AO86" si="9">INDEX($J68:$Y68,J$54)</f>
        <v>0.440304373746851</v>
      </c>
      <c r="K86" s="145">
        <f t="shared" si="9"/>
        <v>0.440304373746851</v>
      </c>
      <c r="L86" s="145">
        <f t="shared" si="9"/>
        <v>0.440304373746851</v>
      </c>
      <c r="M86" s="145">
        <f t="shared" si="9"/>
        <v>0.440304373746851</v>
      </c>
      <c r="N86" s="145">
        <f t="shared" si="9"/>
        <v>0.440304373746851</v>
      </c>
      <c r="O86" s="145">
        <f t="shared" si="9"/>
        <v>0.440304373746851</v>
      </c>
      <c r="P86" s="145">
        <f t="shared" si="9"/>
        <v>0.440304373746851</v>
      </c>
      <c r="Q86" s="145">
        <f t="shared" si="9"/>
        <v>0.440304373746851</v>
      </c>
      <c r="R86" s="145">
        <f t="shared" si="9"/>
        <v>0.440304373746851</v>
      </c>
      <c r="S86" s="145">
        <f t="shared" si="9"/>
        <v>0.440304373746851</v>
      </c>
      <c r="T86" s="145">
        <f t="shared" si="9"/>
        <v>0.440304373746851</v>
      </c>
      <c r="U86" s="145">
        <f t="shared" si="9"/>
        <v>0.440304373746851</v>
      </c>
      <c r="V86" s="145">
        <f t="shared" si="9"/>
        <v>0.440304373746851</v>
      </c>
      <c r="W86" s="145">
        <f t="shared" si="9"/>
        <v>0.1825428677643125</v>
      </c>
      <c r="X86" s="145">
        <f t="shared" si="9"/>
        <v>0.1825428677643125</v>
      </c>
      <c r="Y86" s="145">
        <f t="shared" si="9"/>
        <v>0.1825428677643125</v>
      </c>
      <c r="Z86" s="145">
        <f t="shared" si="9"/>
        <v>0.1825428677643125</v>
      </c>
      <c r="AA86" s="145">
        <f t="shared" si="9"/>
        <v>0.1825428677643125</v>
      </c>
      <c r="AB86" s="145">
        <f t="shared" si="9"/>
        <v>7.3486631222764401E-2</v>
      </c>
      <c r="AC86" s="145">
        <f t="shared" si="9"/>
        <v>7.3486631222764401E-2</v>
      </c>
      <c r="AD86" s="145">
        <f t="shared" si="9"/>
        <v>7.3486631222764401E-2</v>
      </c>
      <c r="AE86" s="145">
        <f t="shared" si="9"/>
        <v>7.3486631222764401E-2</v>
      </c>
      <c r="AF86" s="145">
        <f t="shared" si="9"/>
        <v>7.3486631222764401E-2</v>
      </c>
      <c r="AG86" s="145">
        <f t="shared" si="9"/>
        <v>0.440304373746851</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161</v>
      </c>
      <c r="G87" t="s">
        <v>169</v>
      </c>
      <c r="H87" s="51"/>
      <c r="J87" s="145">
        <f t="shared" ref="J87:AO87" si="10">INDEX($J69:$Y69,J$54)</f>
        <v>0.440304373746851</v>
      </c>
      <c r="K87" s="145">
        <f t="shared" si="10"/>
        <v>0.440304373746851</v>
      </c>
      <c r="L87" s="145">
        <f t="shared" si="10"/>
        <v>0.440304373746851</v>
      </c>
      <c r="M87" s="145">
        <f t="shared" si="10"/>
        <v>0.440304373746851</v>
      </c>
      <c r="N87" s="145">
        <f t="shared" si="10"/>
        <v>0.440304373746851</v>
      </c>
      <c r="O87" s="145">
        <f t="shared" si="10"/>
        <v>0.440304373746851</v>
      </c>
      <c r="P87" s="145">
        <f t="shared" si="10"/>
        <v>0.440304373746851</v>
      </c>
      <c r="Q87" s="145">
        <f t="shared" si="10"/>
        <v>0.440304373746851</v>
      </c>
      <c r="R87" s="145">
        <f t="shared" si="10"/>
        <v>0.440304373746851</v>
      </c>
      <c r="S87" s="145">
        <f t="shared" si="10"/>
        <v>0.440304373746851</v>
      </c>
      <c r="T87" s="145">
        <f t="shared" si="10"/>
        <v>0.440304373746851</v>
      </c>
      <c r="U87" s="145">
        <f t="shared" si="10"/>
        <v>0.440304373746851</v>
      </c>
      <c r="V87" s="145">
        <f t="shared" si="10"/>
        <v>0.440304373746851</v>
      </c>
      <c r="W87" s="145">
        <f t="shared" si="10"/>
        <v>0.1825428677643125</v>
      </c>
      <c r="X87" s="145">
        <f t="shared" si="10"/>
        <v>0.1825428677643125</v>
      </c>
      <c r="Y87" s="145">
        <f t="shared" si="10"/>
        <v>0.1825428677643125</v>
      </c>
      <c r="Z87" s="145">
        <f t="shared" si="10"/>
        <v>0.1825428677643125</v>
      </c>
      <c r="AA87" s="145">
        <f t="shared" si="10"/>
        <v>0.1825428677643125</v>
      </c>
      <c r="AB87" s="145">
        <f t="shared" si="10"/>
        <v>7.3486631222764401E-2</v>
      </c>
      <c r="AC87" s="145">
        <f t="shared" si="10"/>
        <v>7.3486631222764401E-2</v>
      </c>
      <c r="AD87" s="145">
        <f t="shared" si="10"/>
        <v>7.3486631222764401E-2</v>
      </c>
      <c r="AE87" s="145">
        <f t="shared" si="10"/>
        <v>7.3486631222764401E-2</v>
      </c>
      <c r="AF87" s="145">
        <f t="shared" si="10"/>
        <v>7.3486631222764401E-2</v>
      </c>
      <c r="AG87" s="145">
        <f t="shared" si="10"/>
        <v>0.440304373746851</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162</v>
      </c>
      <c r="G88" t="s">
        <v>169</v>
      </c>
      <c r="H88" s="51"/>
      <c r="J88" s="145">
        <f t="shared" ref="J88:AO88" si="11">INDEX($J70:$Y70,J$54)</f>
        <v>0.440304373746851</v>
      </c>
      <c r="K88" s="145">
        <f t="shared" si="11"/>
        <v>0.440304373746851</v>
      </c>
      <c r="L88" s="145">
        <f t="shared" si="11"/>
        <v>0.440304373746851</v>
      </c>
      <c r="M88" s="145">
        <f t="shared" si="11"/>
        <v>0.440304373746851</v>
      </c>
      <c r="N88" s="145">
        <f t="shared" si="11"/>
        <v>0.440304373746851</v>
      </c>
      <c r="O88" s="145">
        <f t="shared" si="11"/>
        <v>0.440304373746851</v>
      </c>
      <c r="P88" s="145">
        <f t="shared" si="11"/>
        <v>0.440304373746851</v>
      </c>
      <c r="Q88" s="145">
        <f t="shared" si="11"/>
        <v>0.440304373746851</v>
      </c>
      <c r="R88" s="145">
        <f t="shared" si="11"/>
        <v>0.440304373746851</v>
      </c>
      <c r="S88" s="145">
        <f t="shared" si="11"/>
        <v>0.440304373746851</v>
      </c>
      <c r="T88" s="145">
        <f t="shared" si="11"/>
        <v>0.440304373746851</v>
      </c>
      <c r="U88" s="145">
        <f t="shared" si="11"/>
        <v>0.440304373746851</v>
      </c>
      <c r="V88" s="145">
        <f t="shared" si="11"/>
        <v>0.440304373746851</v>
      </c>
      <c r="W88" s="145">
        <f t="shared" si="11"/>
        <v>0.1825428677643125</v>
      </c>
      <c r="X88" s="145">
        <f t="shared" si="11"/>
        <v>0.1825428677643125</v>
      </c>
      <c r="Y88" s="145">
        <f t="shared" si="11"/>
        <v>0.1825428677643125</v>
      </c>
      <c r="Z88" s="145">
        <f t="shared" si="11"/>
        <v>0.1825428677643125</v>
      </c>
      <c r="AA88" s="145">
        <f t="shared" si="11"/>
        <v>0.1825428677643125</v>
      </c>
      <c r="AB88" s="145">
        <f t="shared" si="11"/>
        <v>7.3486631222764401E-2</v>
      </c>
      <c r="AC88" s="145">
        <f t="shared" si="11"/>
        <v>7.3486631222764401E-2</v>
      </c>
      <c r="AD88" s="145">
        <f t="shared" si="11"/>
        <v>7.3486631222764401E-2</v>
      </c>
      <c r="AE88" s="145">
        <f t="shared" si="11"/>
        <v>7.3486631222764401E-2</v>
      </c>
      <c r="AF88" s="145">
        <f t="shared" si="11"/>
        <v>7.3486631222764401E-2</v>
      </c>
      <c r="AG88" s="145">
        <f t="shared" si="11"/>
        <v>0.440304373746851</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163</v>
      </c>
      <c r="G89" t="s">
        <v>169</v>
      </c>
      <c r="H89" s="51"/>
      <c r="J89" s="145">
        <f t="shared" ref="J89:AO89" si="12">INDEX($J71:$Y71,J$54)</f>
        <v>0.440304373746851</v>
      </c>
      <c r="K89" s="145">
        <f t="shared" si="12"/>
        <v>0.440304373746851</v>
      </c>
      <c r="L89" s="145">
        <f t="shared" si="12"/>
        <v>0.440304373746851</v>
      </c>
      <c r="M89" s="145">
        <f t="shared" si="12"/>
        <v>0.440304373746851</v>
      </c>
      <c r="N89" s="145">
        <f t="shared" si="12"/>
        <v>0.440304373746851</v>
      </c>
      <c r="O89" s="145">
        <f t="shared" si="12"/>
        <v>0.440304373746851</v>
      </c>
      <c r="P89" s="145">
        <f t="shared" si="12"/>
        <v>0.440304373746851</v>
      </c>
      <c r="Q89" s="145">
        <f t="shared" si="12"/>
        <v>0.440304373746851</v>
      </c>
      <c r="R89" s="145">
        <f t="shared" si="12"/>
        <v>0.440304373746851</v>
      </c>
      <c r="S89" s="145">
        <f t="shared" si="12"/>
        <v>0.440304373746851</v>
      </c>
      <c r="T89" s="145">
        <f t="shared" si="12"/>
        <v>0.440304373746851</v>
      </c>
      <c r="U89" s="145">
        <f t="shared" si="12"/>
        <v>0.440304373746851</v>
      </c>
      <c r="V89" s="145">
        <f t="shared" si="12"/>
        <v>0.440304373746851</v>
      </c>
      <c r="W89" s="145">
        <f t="shared" si="12"/>
        <v>0.1825428677643125</v>
      </c>
      <c r="X89" s="145">
        <f t="shared" si="12"/>
        <v>0.1825428677643125</v>
      </c>
      <c r="Y89" s="145">
        <f t="shared" si="12"/>
        <v>0.1825428677643125</v>
      </c>
      <c r="Z89" s="145">
        <f t="shared" si="12"/>
        <v>0.1825428677643125</v>
      </c>
      <c r="AA89" s="145">
        <f t="shared" si="12"/>
        <v>0.1825428677643125</v>
      </c>
      <c r="AB89" s="145">
        <f t="shared" si="12"/>
        <v>7.3486631222764401E-2</v>
      </c>
      <c r="AC89" s="145">
        <f t="shared" si="12"/>
        <v>7.3486631222764401E-2</v>
      </c>
      <c r="AD89" s="145">
        <f t="shared" si="12"/>
        <v>7.3486631222764401E-2</v>
      </c>
      <c r="AE89" s="145">
        <f t="shared" si="12"/>
        <v>7.3486631222764401E-2</v>
      </c>
      <c r="AF89" s="145">
        <f t="shared" si="12"/>
        <v>7.3486631222764401E-2</v>
      </c>
      <c r="AG89" s="145">
        <f t="shared" si="12"/>
        <v>0.440304373746851</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164</v>
      </c>
      <c r="G90" s="37" t="s">
        <v>169</v>
      </c>
      <c r="H90" s="211"/>
      <c r="I90" s="37"/>
      <c r="J90" s="155">
        <f t="shared" ref="J90:AO90" si="13">INDEX($J72:$Y72,J$54)</f>
        <v>0.440304373746851</v>
      </c>
      <c r="K90" s="155">
        <f t="shared" si="13"/>
        <v>0.440304373746851</v>
      </c>
      <c r="L90" s="155">
        <f t="shared" si="13"/>
        <v>0.440304373746851</v>
      </c>
      <c r="M90" s="155">
        <f t="shared" si="13"/>
        <v>0.440304373746851</v>
      </c>
      <c r="N90" s="155">
        <f t="shared" si="13"/>
        <v>0.440304373746851</v>
      </c>
      <c r="O90" s="155">
        <f t="shared" si="13"/>
        <v>0.440304373746851</v>
      </c>
      <c r="P90" s="155">
        <f t="shared" si="13"/>
        <v>0.440304373746851</v>
      </c>
      <c r="Q90" s="155">
        <f t="shared" si="13"/>
        <v>0.440304373746851</v>
      </c>
      <c r="R90" s="155">
        <f t="shared" si="13"/>
        <v>0.440304373746851</v>
      </c>
      <c r="S90" s="155">
        <f t="shared" si="13"/>
        <v>0.440304373746851</v>
      </c>
      <c r="T90" s="155">
        <f t="shared" si="13"/>
        <v>0.440304373746851</v>
      </c>
      <c r="U90" s="155">
        <f t="shared" si="13"/>
        <v>0.440304373746851</v>
      </c>
      <c r="V90" s="155">
        <f t="shared" si="13"/>
        <v>0.440304373746851</v>
      </c>
      <c r="W90" s="155">
        <f t="shared" si="13"/>
        <v>0.1825428677643125</v>
      </c>
      <c r="X90" s="155">
        <f t="shared" si="13"/>
        <v>0.1825428677643125</v>
      </c>
      <c r="Y90" s="155">
        <f t="shared" si="13"/>
        <v>0.1825428677643125</v>
      </c>
      <c r="Z90" s="155">
        <f t="shared" si="13"/>
        <v>0.1825428677643125</v>
      </c>
      <c r="AA90" s="155">
        <f t="shared" si="13"/>
        <v>0.1825428677643125</v>
      </c>
      <c r="AB90" s="155">
        <f t="shared" si="13"/>
        <v>7.3486631222764401E-2</v>
      </c>
      <c r="AC90" s="155">
        <f t="shared" si="13"/>
        <v>7.3486631222764401E-2</v>
      </c>
      <c r="AD90" s="155">
        <f t="shared" si="13"/>
        <v>7.3486631222764401E-2</v>
      </c>
      <c r="AE90" s="155">
        <f t="shared" si="13"/>
        <v>7.3486631222764401E-2</v>
      </c>
      <c r="AF90" s="155">
        <f t="shared" si="13"/>
        <v>7.3486631222764401E-2</v>
      </c>
      <c r="AG90" s="155">
        <f t="shared" si="13"/>
        <v>0.440304373746851</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752</v>
      </c>
      <c r="I94" t="s">
        <v>156</v>
      </c>
      <c r="AQ94" t="s">
        <v>157</v>
      </c>
    </row>
    <row r="95" spans="3:43" x14ac:dyDescent="0.3">
      <c r="C95" s="88"/>
      <c r="F95" s="23" t="s">
        <v>158</v>
      </c>
      <c r="G95" s="23" t="s">
        <v>151</v>
      </c>
      <c r="H95" s="174">
        <f>'Fixed inputs'!H25</f>
        <v>3</v>
      </c>
    </row>
    <row r="96" spans="3:43" x14ac:dyDescent="0.3">
      <c r="C96" s="88"/>
      <c r="F96" t="s">
        <v>159</v>
      </c>
      <c r="G96" t="s">
        <v>151</v>
      </c>
      <c r="H96" s="51">
        <f>'Fixed inputs'!H26</f>
        <v>3</v>
      </c>
    </row>
    <row r="97" spans="2:43" x14ac:dyDescent="0.3">
      <c r="C97" s="88"/>
      <c r="F97" t="s">
        <v>160</v>
      </c>
      <c r="G97" t="s">
        <v>151</v>
      </c>
      <c r="H97" s="51">
        <f>'Fixed inputs'!H27</f>
        <v>3</v>
      </c>
    </row>
    <row r="98" spans="2:43" x14ac:dyDescent="0.3">
      <c r="C98" s="88"/>
      <c r="F98" t="s">
        <v>161</v>
      </c>
      <c r="G98" t="s">
        <v>151</v>
      </c>
      <c r="H98" s="51">
        <f>'Fixed inputs'!H28</f>
        <v>2</v>
      </c>
    </row>
    <row r="99" spans="2:43" x14ac:dyDescent="0.3">
      <c r="C99" s="88"/>
      <c r="F99" t="s">
        <v>162</v>
      </c>
      <c r="G99" t="s">
        <v>151</v>
      </c>
      <c r="H99" s="51">
        <f>'Fixed inputs'!H29</f>
        <v>2</v>
      </c>
    </row>
    <row r="100" spans="2:43" x14ac:dyDescent="0.3">
      <c r="C100" s="88"/>
      <c r="F100" t="s">
        <v>163</v>
      </c>
      <c r="G100" t="s">
        <v>151</v>
      </c>
      <c r="H100" s="51">
        <f>'Fixed inputs'!H30</f>
        <v>2</v>
      </c>
    </row>
    <row r="101" spans="2:43" x14ac:dyDescent="0.3">
      <c r="C101" s="88"/>
      <c r="F101" s="37" t="s">
        <v>164</v>
      </c>
      <c r="G101" s="37" t="s">
        <v>151</v>
      </c>
      <c r="H101" s="211">
        <f>'Fixed inputs'!H31</f>
        <v>3</v>
      </c>
    </row>
    <row r="102" spans="2:43" x14ac:dyDescent="0.3">
      <c r="C102" s="88"/>
    </row>
    <row r="103" spans="2:43" x14ac:dyDescent="0.3">
      <c r="B103" s="30" t="s">
        <v>753</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754</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755</v>
      </c>
      <c r="F109" s="32"/>
    </row>
    <row r="110" spans="2:43" x14ac:dyDescent="0.3">
      <c r="D110"/>
      <c r="E110" s="88"/>
      <c r="F110" s="23" t="s">
        <v>158</v>
      </c>
      <c r="G110" s="23" t="s">
        <v>271</v>
      </c>
      <c r="H110" s="278"/>
      <c r="I110" s="266"/>
      <c r="J110" s="281">
        <f xml:space="preserve"> J20 + J32</f>
        <v>6.8031184945698344</v>
      </c>
      <c r="K110" s="281">
        <f t="shared" ref="K110:AO110" si="14" xml:space="preserve"> K20 + K32</f>
        <v>6.8031184945698344</v>
      </c>
      <c r="L110" s="281">
        <f t="shared" si="14"/>
        <v>5.950137818851168</v>
      </c>
      <c r="M110" s="281">
        <f t="shared" si="14"/>
        <v>5.950137818851168</v>
      </c>
      <c r="N110" s="281">
        <f t="shared" si="14"/>
        <v>5.950137818851168</v>
      </c>
      <c r="O110" s="281">
        <f t="shared" si="14"/>
        <v>5.950137818851168</v>
      </c>
      <c r="P110" s="281">
        <f t="shared" si="14"/>
        <v>5.950137818851168</v>
      </c>
      <c r="Q110" s="281">
        <f t="shared" si="14"/>
        <v>5.950137818851168</v>
      </c>
      <c r="R110" s="281">
        <f t="shared" si="14"/>
        <v>4.3014561753217393</v>
      </c>
      <c r="S110" s="281">
        <f t="shared" si="14"/>
        <v>4.3014561753217393</v>
      </c>
      <c r="T110" s="281">
        <f t="shared" si="14"/>
        <v>4.3014561753217393</v>
      </c>
      <c r="U110" s="281">
        <f t="shared" si="14"/>
        <v>4.3014561753217393</v>
      </c>
      <c r="V110" s="281">
        <f t="shared" si="14"/>
        <v>4.3014561753217393</v>
      </c>
      <c r="W110" s="281">
        <f t="shared" si="14"/>
        <v>2.9643341955680929</v>
      </c>
      <c r="X110" s="281">
        <f t="shared" si="14"/>
        <v>2.9643341955680929</v>
      </c>
      <c r="Y110" s="281">
        <f t="shared" si="14"/>
        <v>2.9643341955680929</v>
      </c>
      <c r="Z110" s="281">
        <f t="shared" si="14"/>
        <v>2.9643341955680929</v>
      </c>
      <c r="AA110" s="281">
        <f t="shared" si="14"/>
        <v>2.9643341955680929</v>
      </c>
      <c r="AB110" s="281">
        <f t="shared" si="14"/>
        <v>1.7784199069160906</v>
      </c>
      <c r="AC110" s="281">
        <f t="shared" si="14"/>
        <v>1.7784199069160906</v>
      </c>
      <c r="AD110" s="281">
        <f t="shared" si="14"/>
        <v>1.7784199069160906</v>
      </c>
      <c r="AE110" s="281">
        <f t="shared" si="14"/>
        <v>1.7784199069160906</v>
      </c>
      <c r="AF110" s="281">
        <f t="shared" si="14"/>
        <v>1.7784199069160906</v>
      </c>
      <c r="AG110" s="281">
        <f t="shared" si="14"/>
        <v>20.60759766115908</v>
      </c>
      <c r="AH110" s="281">
        <f t="shared" si="14"/>
        <v>-4.1547510698665358</v>
      </c>
      <c r="AI110" s="281">
        <f t="shared" si="14"/>
        <v>-3.651777976005032</v>
      </c>
      <c r="AJ110" s="281">
        <f t="shared" si="14"/>
        <v>-4.1547510698665358</v>
      </c>
      <c r="AK110" s="281">
        <f t="shared" si="14"/>
        <v>-4.1547510698665358</v>
      </c>
      <c r="AL110" s="281">
        <f t="shared" si="14"/>
        <v>-3.651777976005032</v>
      </c>
      <c r="AM110" s="281">
        <f t="shared" si="14"/>
        <v>-3.651777976005032</v>
      </c>
      <c r="AN110" s="281">
        <f t="shared" si="14"/>
        <v>-2.3894293200408447</v>
      </c>
      <c r="AO110" s="281">
        <f t="shared" si="14"/>
        <v>-2.3894293200408447</v>
      </c>
      <c r="AP110" s="267"/>
      <c r="AQ110" s="267"/>
    </row>
    <row r="111" spans="2:43" x14ac:dyDescent="0.3">
      <c r="D111"/>
      <c r="E111" s="88"/>
      <c r="F111" t="s">
        <v>159</v>
      </c>
      <c r="G111" t="s">
        <v>271</v>
      </c>
      <c r="H111" s="279"/>
      <c r="I111" s="267"/>
      <c r="J111" s="282">
        <f t="shared" ref="J111" si="15" xml:space="preserve"> J21 + J33</f>
        <v>1.2089336063668195</v>
      </c>
      <c r="K111" s="282">
        <f t="shared" ref="K111:AO111" si="16" xml:space="preserve"> K21 + K33</f>
        <v>1.2089336063668195</v>
      </c>
      <c r="L111" s="282">
        <f t="shared" si="16"/>
        <v>1.0573565016492015</v>
      </c>
      <c r="M111" s="282">
        <f t="shared" si="16"/>
        <v>1.0573565016492015</v>
      </c>
      <c r="N111" s="282">
        <f t="shared" si="16"/>
        <v>1.0573565016492015</v>
      </c>
      <c r="O111" s="282">
        <f t="shared" si="16"/>
        <v>1.0573565016492015</v>
      </c>
      <c r="P111" s="282">
        <f t="shared" si="16"/>
        <v>1.0573565016492015</v>
      </c>
      <c r="Q111" s="282">
        <f t="shared" si="16"/>
        <v>1.0573565016492015</v>
      </c>
      <c r="R111" s="282">
        <f t="shared" si="16"/>
        <v>0.73700946582715976</v>
      </c>
      <c r="S111" s="282">
        <f t="shared" si="16"/>
        <v>0.73700946582715976</v>
      </c>
      <c r="T111" s="282">
        <f t="shared" si="16"/>
        <v>0.73700946582715976</v>
      </c>
      <c r="U111" s="282">
        <f t="shared" si="16"/>
        <v>0.73700946582715976</v>
      </c>
      <c r="V111" s="282">
        <f t="shared" si="16"/>
        <v>0.73700946582715976</v>
      </c>
      <c r="W111" s="282">
        <f t="shared" si="16"/>
        <v>0.46633886885364767</v>
      </c>
      <c r="X111" s="282">
        <f t="shared" si="16"/>
        <v>0.46633886885364767</v>
      </c>
      <c r="Y111" s="282">
        <f t="shared" si="16"/>
        <v>0.46633886885364767</v>
      </c>
      <c r="Z111" s="282">
        <f t="shared" si="16"/>
        <v>0.46633886885364767</v>
      </c>
      <c r="AA111" s="282">
        <f t="shared" si="16"/>
        <v>0.46633886885364767</v>
      </c>
      <c r="AB111" s="282">
        <f t="shared" si="16"/>
        <v>0.23872608992625513</v>
      </c>
      <c r="AC111" s="282">
        <f t="shared" si="16"/>
        <v>0.23872608992625513</v>
      </c>
      <c r="AD111" s="282">
        <f t="shared" si="16"/>
        <v>0.23872608992625513</v>
      </c>
      <c r="AE111" s="282">
        <f t="shared" si="16"/>
        <v>0.23872608992625513</v>
      </c>
      <c r="AF111" s="282">
        <f t="shared" si="16"/>
        <v>0.23872608992625513</v>
      </c>
      <c r="AG111" s="282">
        <f t="shared" si="16"/>
        <v>2.9882322241837067</v>
      </c>
      <c r="AH111" s="282">
        <f t="shared" si="16"/>
        <v>-0.73831114340567561</v>
      </c>
      <c r="AI111" s="282">
        <f t="shared" si="16"/>
        <v>-0.63476438779794908</v>
      </c>
      <c r="AJ111" s="282">
        <f t="shared" si="16"/>
        <v>-0.73831114340567561</v>
      </c>
      <c r="AK111" s="282">
        <f t="shared" si="16"/>
        <v>-0.73831114340567561</v>
      </c>
      <c r="AL111" s="282">
        <f t="shared" si="16"/>
        <v>-0.63476438779794908</v>
      </c>
      <c r="AM111" s="282">
        <f t="shared" si="16"/>
        <v>-0.63476438779794908</v>
      </c>
      <c r="AN111" s="282">
        <f t="shared" si="16"/>
        <v>-0.36745013544043381</v>
      </c>
      <c r="AO111" s="282">
        <f t="shared" si="16"/>
        <v>-0.36745013544043381</v>
      </c>
      <c r="AP111" s="267"/>
      <c r="AQ111" s="267"/>
    </row>
    <row r="112" spans="2:43" x14ac:dyDescent="0.3">
      <c r="D112"/>
      <c r="E112" s="88"/>
      <c r="F112" t="s">
        <v>160</v>
      </c>
      <c r="G112" t="s">
        <v>271</v>
      </c>
      <c r="H112" s="279"/>
      <c r="I112" s="267"/>
      <c r="J112" s="282">
        <f t="shared" ref="J112" si="17" xml:space="preserve"> J22 + J34</f>
        <v>8.8763059232267655E-2</v>
      </c>
      <c r="K112" s="282">
        <f t="shared" ref="K112:AO112" si="18" xml:space="preserve"> K22 + K34</f>
        <v>8.8763059232267655E-2</v>
      </c>
      <c r="L112" s="282">
        <f t="shared" si="18"/>
        <v>7.7633872771201456E-2</v>
      </c>
      <c r="M112" s="282">
        <f t="shared" si="18"/>
        <v>7.7633872771201456E-2</v>
      </c>
      <c r="N112" s="282">
        <f t="shared" si="18"/>
        <v>7.7633872771201456E-2</v>
      </c>
      <c r="O112" s="282">
        <f t="shared" si="18"/>
        <v>7.7633872771201456E-2</v>
      </c>
      <c r="P112" s="282">
        <f t="shared" si="18"/>
        <v>7.7633872771201456E-2</v>
      </c>
      <c r="Q112" s="282">
        <f t="shared" si="18"/>
        <v>7.7633872771201456E-2</v>
      </c>
      <c r="R112" s="282">
        <f t="shared" si="18"/>
        <v>5.3701908503823358E-2</v>
      </c>
      <c r="S112" s="282">
        <f t="shared" si="18"/>
        <v>5.3701908503823358E-2</v>
      </c>
      <c r="T112" s="282">
        <f t="shared" si="18"/>
        <v>5.3701908503823358E-2</v>
      </c>
      <c r="U112" s="282">
        <f t="shared" si="18"/>
        <v>5.3701908503823358E-2</v>
      </c>
      <c r="V112" s="282">
        <f t="shared" si="18"/>
        <v>5.3701908503823358E-2</v>
      </c>
      <c r="W112" s="282">
        <f t="shared" si="18"/>
        <v>3.3331848570263833E-2</v>
      </c>
      <c r="X112" s="282">
        <f t="shared" si="18"/>
        <v>3.3331848570263833E-2</v>
      </c>
      <c r="Y112" s="282">
        <f t="shared" si="18"/>
        <v>3.3331848570263833E-2</v>
      </c>
      <c r="Z112" s="282">
        <f t="shared" si="18"/>
        <v>3.3331848570263833E-2</v>
      </c>
      <c r="AA112" s="282">
        <f t="shared" si="18"/>
        <v>3.3331848570263833E-2</v>
      </c>
      <c r="AB112" s="282">
        <f t="shared" si="18"/>
        <v>1.6340077606830157E-2</v>
      </c>
      <c r="AC112" s="282">
        <f t="shared" si="18"/>
        <v>1.6340077606830157E-2</v>
      </c>
      <c r="AD112" s="282">
        <f t="shared" si="18"/>
        <v>1.6340077606830157E-2</v>
      </c>
      <c r="AE112" s="282">
        <f t="shared" si="18"/>
        <v>1.6340077606830157E-2</v>
      </c>
      <c r="AF112" s="282">
        <f t="shared" si="18"/>
        <v>1.6340077606830157E-2</v>
      </c>
      <c r="AG112" s="282">
        <f t="shared" si="18"/>
        <v>1.9181927949568753</v>
      </c>
      <c r="AH112" s="282">
        <f t="shared" si="18"/>
        <v>-5.4208730246908546E-2</v>
      </c>
      <c r="AI112" s="282">
        <f t="shared" si="18"/>
        <v>-4.6393202831544231E-2</v>
      </c>
      <c r="AJ112" s="282">
        <f t="shared" si="18"/>
        <v>-5.4208730246908546E-2</v>
      </c>
      <c r="AK112" s="282">
        <f t="shared" si="18"/>
        <v>-5.4208730246908546E-2</v>
      </c>
      <c r="AL112" s="282">
        <f t="shared" si="18"/>
        <v>-4.6393202831544231E-2</v>
      </c>
      <c r="AM112" s="282">
        <f t="shared" si="18"/>
        <v>-4.6393202831544231E-2</v>
      </c>
      <c r="AN112" s="282">
        <f t="shared" si="18"/>
        <v>-2.6115641118076221E-2</v>
      </c>
      <c r="AO112" s="282">
        <f t="shared" si="18"/>
        <v>-2.6115641118076221E-2</v>
      </c>
      <c r="AP112" s="267"/>
      <c r="AQ112" s="267"/>
    </row>
    <row r="113" spans="3:43" x14ac:dyDescent="0.3">
      <c r="D113"/>
      <c r="E113" s="88"/>
      <c r="F113" t="s">
        <v>161</v>
      </c>
      <c r="G113" t="s">
        <v>272</v>
      </c>
      <c r="H113" s="51"/>
      <c r="J113" s="98">
        <f t="shared" ref="J113" si="19" xml:space="preserve"> J23 + J35</f>
        <v>13.266865088414372</v>
      </c>
      <c r="K113" s="98">
        <f t="shared" ref="K113:AO113" si="20" xml:space="preserve"> K23 + K35</f>
        <v>0</v>
      </c>
      <c r="L113" s="98">
        <f t="shared" si="20"/>
        <v>7.3411791601463214</v>
      </c>
      <c r="M113" s="98">
        <f t="shared" si="20"/>
        <v>11.414942361730146</v>
      </c>
      <c r="N113" s="98">
        <f t="shared" si="20"/>
        <v>28.902998220167579</v>
      </c>
      <c r="O113" s="98">
        <f t="shared" si="20"/>
        <v>61.091602708106507</v>
      </c>
      <c r="P113" s="98">
        <f t="shared" si="20"/>
        <v>174.86583860924861</v>
      </c>
      <c r="Q113" s="98">
        <f t="shared" si="20"/>
        <v>0</v>
      </c>
      <c r="R113" s="98">
        <f t="shared" si="20"/>
        <v>11.401752134048197</v>
      </c>
      <c r="S113" s="98">
        <f t="shared" si="20"/>
        <v>297.02877835564772</v>
      </c>
      <c r="T113" s="98">
        <f t="shared" si="20"/>
        <v>501.72494318702292</v>
      </c>
      <c r="U113" s="98">
        <f t="shared" si="20"/>
        <v>781.91364981877939</v>
      </c>
      <c r="V113" s="98">
        <f t="shared" si="20"/>
        <v>1435.7915187331978</v>
      </c>
      <c r="W113" s="98">
        <f t="shared" si="20"/>
        <v>8.9002928158170995</v>
      </c>
      <c r="X113" s="98">
        <f t="shared" si="20"/>
        <v>294.5273190374167</v>
      </c>
      <c r="Y113" s="98">
        <f t="shared" si="20"/>
        <v>499.22348386879185</v>
      </c>
      <c r="Z113" s="98">
        <f t="shared" si="20"/>
        <v>779.41219050054815</v>
      </c>
      <c r="AA113" s="98">
        <f t="shared" si="20"/>
        <v>1433.2900594149667</v>
      </c>
      <c r="AB113" s="98">
        <f t="shared" si="20"/>
        <v>82.166040497508959</v>
      </c>
      <c r="AC113" s="98">
        <f t="shared" si="20"/>
        <v>1284.2612444965271</v>
      </c>
      <c r="AD113" s="98">
        <f t="shared" si="20"/>
        <v>4303.944932558843</v>
      </c>
      <c r="AE113" s="98">
        <f t="shared" si="20"/>
        <v>9425.0484471224263</v>
      </c>
      <c r="AF113" s="98">
        <f t="shared" si="20"/>
        <v>24408.915089723658</v>
      </c>
      <c r="AG113" s="98">
        <f t="shared" si="20"/>
        <v>0</v>
      </c>
      <c r="AH113" s="98">
        <f t="shared" si="20"/>
        <v>0</v>
      </c>
      <c r="AI113" s="98">
        <f t="shared" si="20"/>
        <v>0</v>
      </c>
      <c r="AJ113" s="98">
        <f t="shared" si="20"/>
        <v>0</v>
      </c>
      <c r="AK113" s="98">
        <f t="shared" si="20"/>
        <v>0</v>
      </c>
      <c r="AL113" s="98">
        <f t="shared" si="20"/>
        <v>0</v>
      </c>
      <c r="AM113" s="98">
        <f t="shared" si="20"/>
        <v>0</v>
      </c>
      <c r="AN113" s="98">
        <f t="shared" si="20"/>
        <v>51.423015267650172</v>
      </c>
      <c r="AO113" s="98">
        <f t="shared" si="20"/>
        <v>51.423015267650172</v>
      </c>
    </row>
    <row r="114" spans="3:43" x14ac:dyDescent="0.3">
      <c r="D114"/>
      <c r="E114" s="88"/>
      <c r="F114" t="s">
        <v>162</v>
      </c>
      <c r="G114" t="s">
        <v>273</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2.9075555200524899</v>
      </c>
      <c r="S114" s="98">
        <f t="shared" si="22"/>
        <v>2.9075555200524899</v>
      </c>
      <c r="T114" s="98">
        <f t="shared" si="22"/>
        <v>2.9075555200524899</v>
      </c>
      <c r="U114" s="98">
        <f t="shared" si="22"/>
        <v>2.9075555200524899</v>
      </c>
      <c r="V114" s="98">
        <f t="shared" si="22"/>
        <v>2.9075555200524899</v>
      </c>
      <c r="W114" s="98">
        <f t="shared" si="22"/>
        <v>3.5582115304996851</v>
      </c>
      <c r="X114" s="98">
        <f t="shared" si="22"/>
        <v>3.5582115304996851</v>
      </c>
      <c r="Y114" s="98">
        <f t="shared" si="22"/>
        <v>3.5582115304996851</v>
      </c>
      <c r="Z114" s="98">
        <f t="shared" si="22"/>
        <v>3.5582115304996851</v>
      </c>
      <c r="AA114" s="98">
        <f t="shared" si="22"/>
        <v>3.5582115304996851</v>
      </c>
      <c r="AB114" s="98">
        <f t="shared" si="22"/>
        <v>4.3179340585099677</v>
      </c>
      <c r="AC114" s="98">
        <f t="shared" si="22"/>
        <v>4.3179340585099677</v>
      </c>
      <c r="AD114" s="98">
        <f t="shared" si="22"/>
        <v>4.3179340585099677</v>
      </c>
      <c r="AE114" s="98">
        <f t="shared" si="22"/>
        <v>4.3179340585099677</v>
      </c>
      <c r="AF114" s="98">
        <f t="shared" si="22"/>
        <v>4.3179340585099677</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163</v>
      </c>
      <c r="G115" t="s">
        <v>273</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5.7336183839854069</v>
      </c>
      <c r="S115" s="98">
        <f t="shared" si="24"/>
        <v>5.7336183839854069</v>
      </c>
      <c r="T115" s="98">
        <f t="shared" si="24"/>
        <v>5.7336183839854069</v>
      </c>
      <c r="U115" s="98">
        <f t="shared" si="24"/>
        <v>5.7336183839854069</v>
      </c>
      <c r="V115" s="98">
        <f t="shared" si="24"/>
        <v>5.7336183839854069</v>
      </c>
      <c r="W115" s="98">
        <f t="shared" si="24"/>
        <v>5.3582865650740166</v>
      </c>
      <c r="X115" s="98">
        <f t="shared" si="24"/>
        <v>5.3582865650740166</v>
      </c>
      <c r="Y115" s="98">
        <f t="shared" si="24"/>
        <v>5.3582865650740166</v>
      </c>
      <c r="Z115" s="98">
        <f t="shared" si="24"/>
        <v>5.3582865650740166</v>
      </c>
      <c r="AA115" s="98">
        <f t="shared" si="24"/>
        <v>5.3582865650740166</v>
      </c>
      <c r="AB115" s="98">
        <f t="shared" si="24"/>
        <v>6.2347042934179937</v>
      </c>
      <c r="AC115" s="98">
        <f t="shared" si="24"/>
        <v>6.2347042934179937</v>
      </c>
      <c r="AD115" s="98">
        <f t="shared" si="24"/>
        <v>6.2347042934179937</v>
      </c>
      <c r="AE115" s="98">
        <f t="shared" si="24"/>
        <v>6.2347042934179937</v>
      </c>
      <c r="AF115" s="98">
        <f t="shared" si="24"/>
        <v>6.2347042934179937</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164</v>
      </c>
      <c r="G116" s="37" t="s">
        <v>274</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0.15568707537334198</v>
      </c>
      <c r="S116" s="284">
        <f t="shared" si="26"/>
        <v>0.15568707537334198</v>
      </c>
      <c r="T116" s="284">
        <f t="shared" si="26"/>
        <v>0.15568707537334198</v>
      </c>
      <c r="U116" s="284">
        <f t="shared" si="26"/>
        <v>0.15568707537334198</v>
      </c>
      <c r="V116" s="284">
        <f t="shared" si="26"/>
        <v>0.15568707537334198</v>
      </c>
      <c r="W116" s="284">
        <f t="shared" si="26"/>
        <v>0.10900735503203039</v>
      </c>
      <c r="X116" s="284">
        <f t="shared" si="26"/>
        <v>0.10900735503203039</v>
      </c>
      <c r="Y116" s="284">
        <f t="shared" si="26"/>
        <v>0.10900735503203039</v>
      </c>
      <c r="Z116" s="284">
        <f t="shared" si="26"/>
        <v>0.10900735503203039</v>
      </c>
      <c r="AA116" s="284">
        <f t="shared" si="26"/>
        <v>0.10900735503203039</v>
      </c>
      <c r="AB116" s="284">
        <f t="shared" si="26"/>
        <v>5.6025475483680934E-2</v>
      </c>
      <c r="AC116" s="284">
        <f t="shared" si="26"/>
        <v>5.6025475483680934E-2</v>
      </c>
      <c r="AD116" s="284">
        <f t="shared" si="26"/>
        <v>5.6025475483680934E-2</v>
      </c>
      <c r="AE116" s="284">
        <f t="shared" si="26"/>
        <v>5.6025475483680934E-2</v>
      </c>
      <c r="AF116" s="284">
        <f t="shared" si="26"/>
        <v>5.6025475483680934E-2</v>
      </c>
      <c r="AG116" s="284">
        <f t="shared" si="26"/>
        <v>0</v>
      </c>
      <c r="AH116" s="284">
        <f t="shared" si="26"/>
        <v>0</v>
      </c>
      <c r="AI116" s="284">
        <f t="shared" si="26"/>
        <v>0</v>
      </c>
      <c r="AJ116" s="284">
        <f t="shared" si="26"/>
        <v>0.15535543202154206</v>
      </c>
      <c r="AK116" s="284">
        <f t="shared" si="26"/>
        <v>0</v>
      </c>
      <c r="AL116" s="284">
        <f t="shared" si="26"/>
        <v>0.13056045785664669</v>
      </c>
      <c r="AM116" s="284">
        <f t="shared" si="26"/>
        <v>0</v>
      </c>
      <c r="AN116" s="284">
        <f t="shared" si="26"/>
        <v>0.10463528367439673</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892</v>
      </c>
      <c r="F120" s="32"/>
      <c r="I120" t="s">
        <v>156</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901</v>
      </c>
    </row>
    <row r="121" spans="3:43" x14ac:dyDescent="0.3">
      <c r="E121" s="88"/>
      <c r="F121" s="23" t="s">
        <v>158</v>
      </c>
      <c r="G121" s="23" t="s">
        <v>271</v>
      </c>
      <c r="H121" s="278"/>
      <c r="I121" s="266"/>
      <c r="J121" s="328">
        <f xml:space="preserve"> J110 + J44</f>
        <v>6.8031184945698344</v>
      </c>
      <c r="K121" s="328">
        <f t="shared" ref="K121:AO121" si="27" xml:space="preserve"> K110 + K44</f>
        <v>6.8031184945698344</v>
      </c>
      <c r="L121" s="328">
        <f t="shared" si="27"/>
        <v>5.950137818851168</v>
      </c>
      <c r="M121" s="328">
        <f t="shared" si="27"/>
        <v>5.950137818851168</v>
      </c>
      <c r="N121" s="328">
        <f t="shared" si="27"/>
        <v>5.950137818851168</v>
      </c>
      <c r="O121" s="328">
        <f t="shared" si="27"/>
        <v>5.950137818851168</v>
      </c>
      <c r="P121" s="328">
        <f t="shared" si="27"/>
        <v>5.950137818851168</v>
      </c>
      <c r="Q121" s="328">
        <f t="shared" si="27"/>
        <v>5.950137818851168</v>
      </c>
      <c r="R121" s="328">
        <f t="shared" si="27"/>
        <v>4.3014561753217393</v>
      </c>
      <c r="S121" s="328">
        <f t="shared" si="27"/>
        <v>4.3014561753217393</v>
      </c>
      <c r="T121" s="328">
        <f t="shared" si="27"/>
        <v>4.3014561753217393</v>
      </c>
      <c r="U121" s="328">
        <f t="shared" si="27"/>
        <v>4.3014561753217393</v>
      </c>
      <c r="V121" s="328">
        <f t="shared" si="27"/>
        <v>4.3014561753217393</v>
      </c>
      <c r="W121" s="328">
        <f t="shared" si="27"/>
        <v>2.9643341955680929</v>
      </c>
      <c r="X121" s="328">
        <f t="shared" si="27"/>
        <v>2.9643341955680929</v>
      </c>
      <c r="Y121" s="328">
        <f t="shared" si="27"/>
        <v>2.9643341955680929</v>
      </c>
      <c r="Z121" s="328">
        <f t="shared" si="27"/>
        <v>2.9643341955680929</v>
      </c>
      <c r="AA121" s="328">
        <f t="shared" si="27"/>
        <v>2.9643341955680929</v>
      </c>
      <c r="AB121" s="328">
        <f t="shared" si="27"/>
        <v>1.7784199069160906</v>
      </c>
      <c r="AC121" s="328">
        <f t="shared" si="27"/>
        <v>1.7784199069160906</v>
      </c>
      <c r="AD121" s="328">
        <f t="shared" si="27"/>
        <v>1.7784199069160906</v>
      </c>
      <c r="AE121" s="328">
        <f t="shared" si="27"/>
        <v>1.7784199069160906</v>
      </c>
      <c r="AF121" s="328">
        <f t="shared" si="27"/>
        <v>1.7784199069160906</v>
      </c>
      <c r="AG121" s="328">
        <f t="shared" si="27"/>
        <v>20.60759766115908</v>
      </c>
      <c r="AH121" s="328">
        <f t="shared" si="27"/>
        <v>-4.1547510698665358</v>
      </c>
      <c r="AI121" s="328">
        <f t="shared" si="27"/>
        <v>-3.651777976005032</v>
      </c>
      <c r="AJ121" s="328">
        <f t="shared" si="27"/>
        <v>-4.1547510698665358</v>
      </c>
      <c r="AK121" s="328">
        <f t="shared" si="27"/>
        <v>-4.1547510698665358</v>
      </c>
      <c r="AL121" s="328">
        <f t="shared" si="27"/>
        <v>-3.651777976005032</v>
      </c>
      <c r="AM121" s="328">
        <f t="shared" si="27"/>
        <v>-3.651777976005032</v>
      </c>
      <c r="AN121" s="328">
        <f t="shared" si="27"/>
        <v>-2.3894293200408447</v>
      </c>
      <c r="AO121" s="328">
        <f t="shared" si="27"/>
        <v>-2.3894293200408447</v>
      </c>
      <c r="AP121" s="267"/>
      <c r="AQ121" s="267"/>
    </row>
    <row r="122" spans="3:43" x14ac:dyDescent="0.3">
      <c r="E122" s="88"/>
      <c r="F122" t="s">
        <v>159</v>
      </c>
      <c r="G122" t="s">
        <v>271</v>
      </c>
      <c r="H122" s="279"/>
      <c r="I122" s="267"/>
      <c r="J122" s="329">
        <f t="shared" ref="J122" si="28" xml:space="preserve"> J111 + J45</f>
        <v>1.2089336063668195</v>
      </c>
      <c r="K122" s="329">
        <f t="shared" ref="K122:AO122" si="29" xml:space="preserve"> K111 + K45</f>
        <v>1.2089336063668195</v>
      </c>
      <c r="L122" s="329">
        <f t="shared" si="29"/>
        <v>1.0573565016492015</v>
      </c>
      <c r="M122" s="329">
        <f t="shared" si="29"/>
        <v>1.0573565016492015</v>
      </c>
      <c r="N122" s="329">
        <f t="shared" si="29"/>
        <v>1.0573565016492015</v>
      </c>
      <c r="O122" s="329">
        <f t="shared" si="29"/>
        <v>1.0573565016492015</v>
      </c>
      <c r="P122" s="329">
        <f t="shared" si="29"/>
        <v>1.0573565016492015</v>
      </c>
      <c r="Q122" s="329">
        <f t="shared" si="29"/>
        <v>1.0573565016492015</v>
      </c>
      <c r="R122" s="329">
        <f t="shared" si="29"/>
        <v>0.73700946582715976</v>
      </c>
      <c r="S122" s="329">
        <f t="shared" si="29"/>
        <v>0.73700946582715976</v>
      </c>
      <c r="T122" s="329">
        <f t="shared" si="29"/>
        <v>0.73700946582715976</v>
      </c>
      <c r="U122" s="329">
        <f t="shared" si="29"/>
        <v>0.73700946582715976</v>
      </c>
      <c r="V122" s="329">
        <f t="shared" si="29"/>
        <v>0.73700946582715976</v>
      </c>
      <c r="W122" s="329">
        <f t="shared" si="29"/>
        <v>0.46633886885364767</v>
      </c>
      <c r="X122" s="329">
        <f t="shared" si="29"/>
        <v>0.46633886885364767</v>
      </c>
      <c r="Y122" s="329">
        <f t="shared" si="29"/>
        <v>0.46633886885364767</v>
      </c>
      <c r="Z122" s="329">
        <f t="shared" si="29"/>
        <v>0.46633886885364767</v>
      </c>
      <c r="AA122" s="329">
        <f t="shared" si="29"/>
        <v>0.46633886885364767</v>
      </c>
      <c r="AB122" s="329">
        <f t="shared" si="29"/>
        <v>0.23872608992625513</v>
      </c>
      <c r="AC122" s="329">
        <f t="shared" si="29"/>
        <v>0.23872608992625513</v>
      </c>
      <c r="AD122" s="329">
        <f t="shared" si="29"/>
        <v>0.23872608992625513</v>
      </c>
      <c r="AE122" s="329">
        <f t="shared" si="29"/>
        <v>0.23872608992625513</v>
      </c>
      <c r="AF122" s="329">
        <f t="shared" si="29"/>
        <v>0.23872608992625513</v>
      </c>
      <c r="AG122" s="329">
        <f t="shared" si="29"/>
        <v>2.9882322241837067</v>
      </c>
      <c r="AH122" s="329">
        <f t="shared" si="29"/>
        <v>-0.73831114340567561</v>
      </c>
      <c r="AI122" s="329">
        <f t="shared" si="29"/>
        <v>-0.63476438779794908</v>
      </c>
      <c r="AJ122" s="329">
        <f t="shared" si="29"/>
        <v>-0.73831114340567561</v>
      </c>
      <c r="AK122" s="329">
        <f t="shared" si="29"/>
        <v>-0.73831114340567561</v>
      </c>
      <c r="AL122" s="329">
        <f t="shared" si="29"/>
        <v>-0.63476438779794908</v>
      </c>
      <c r="AM122" s="329">
        <f t="shared" si="29"/>
        <v>-0.63476438779794908</v>
      </c>
      <c r="AN122" s="329">
        <f t="shared" si="29"/>
        <v>-0.36745013544043381</v>
      </c>
      <c r="AO122" s="329">
        <f t="shared" si="29"/>
        <v>-0.36745013544043381</v>
      </c>
      <c r="AP122" s="267"/>
      <c r="AQ122" s="267"/>
    </row>
    <row r="123" spans="3:43" x14ac:dyDescent="0.3">
      <c r="E123" s="88"/>
      <c r="F123" t="s">
        <v>160</v>
      </c>
      <c r="G123" t="s">
        <v>271</v>
      </c>
      <c r="H123" s="279"/>
      <c r="I123" s="267"/>
      <c r="J123" s="329">
        <f t="shared" ref="J123" si="30" xml:space="preserve"> J112 + J46</f>
        <v>8.8763059232267655E-2</v>
      </c>
      <c r="K123" s="329">
        <f t="shared" ref="K123:AO123" si="31" xml:space="preserve"> K112 + K46</f>
        <v>8.8763059232267655E-2</v>
      </c>
      <c r="L123" s="329">
        <f t="shared" si="31"/>
        <v>7.7633872771201456E-2</v>
      </c>
      <c r="M123" s="329">
        <f t="shared" si="31"/>
        <v>7.7633872771201456E-2</v>
      </c>
      <c r="N123" s="329">
        <f t="shared" si="31"/>
        <v>7.7633872771201456E-2</v>
      </c>
      <c r="O123" s="329">
        <f t="shared" si="31"/>
        <v>7.7633872771201456E-2</v>
      </c>
      <c r="P123" s="329">
        <f t="shared" si="31"/>
        <v>7.7633872771201456E-2</v>
      </c>
      <c r="Q123" s="329">
        <f t="shared" si="31"/>
        <v>7.7633872771201456E-2</v>
      </c>
      <c r="R123" s="329">
        <f t="shared" si="31"/>
        <v>5.3701908503823358E-2</v>
      </c>
      <c r="S123" s="329">
        <f t="shared" si="31"/>
        <v>5.3701908503823358E-2</v>
      </c>
      <c r="T123" s="329">
        <f t="shared" si="31"/>
        <v>5.3701908503823358E-2</v>
      </c>
      <c r="U123" s="329">
        <f t="shared" si="31"/>
        <v>5.3701908503823358E-2</v>
      </c>
      <c r="V123" s="329">
        <f t="shared" si="31"/>
        <v>5.3701908503823358E-2</v>
      </c>
      <c r="W123" s="329">
        <f t="shared" si="31"/>
        <v>3.3331848570263833E-2</v>
      </c>
      <c r="X123" s="329">
        <f t="shared" si="31"/>
        <v>3.3331848570263833E-2</v>
      </c>
      <c r="Y123" s="329">
        <f t="shared" si="31"/>
        <v>3.3331848570263833E-2</v>
      </c>
      <c r="Z123" s="329">
        <f t="shared" si="31"/>
        <v>3.3331848570263833E-2</v>
      </c>
      <c r="AA123" s="329">
        <f t="shared" si="31"/>
        <v>3.3331848570263833E-2</v>
      </c>
      <c r="AB123" s="329">
        <f t="shared" si="31"/>
        <v>1.6340077606830157E-2</v>
      </c>
      <c r="AC123" s="329">
        <f t="shared" si="31"/>
        <v>1.6340077606830157E-2</v>
      </c>
      <c r="AD123" s="329">
        <f t="shared" si="31"/>
        <v>1.6340077606830157E-2</v>
      </c>
      <c r="AE123" s="329">
        <f t="shared" si="31"/>
        <v>1.6340077606830157E-2</v>
      </c>
      <c r="AF123" s="329">
        <f t="shared" si="31"/>
        <v>1.6340077606830157E-2</v>
      </c>
      <c r="AG123" s="329">
        <f t="shared" si="31"/>
        <v>1.9181927949568753</v>
      </c>
      <c r="AH123" s="329">
        <f t="shared" si="31"/>
        <v>-5.4208730246908546E-2</v>
      </c>
      <c r="AI123" s="329">
        <f t="shared" si="31"/>
        <v>-4.6393202831544231E-2</v>
      </c>
      <c r="AJ123" s="329">
        <f t="shared" si="31"/>
        <v>-5.4208730246908546E-2</v>
      </c>
      <c r="AK123" s="329">
        <f t="shared" si="31"/>
        <v>-5.4208730246908546E-2</v>
      </c>
      <c r="AL123" s="329">
        <f t="shared" si="31"/>
        <v>-4.6393202831544231E-2</v>
      </c>
      <c r="AM123" s="329">
        <f t="shared" si="31"/>
        <v>-4.6393202831544231E-2</v>
      </c>
      <c r="AN123" s="329">
        <f t="shared" si="31"/>
        <v>-2.6115641118076221E-2</v>
      </c>
      <c r="AO123" s="329">
        <f t="shared" si="31"/>
        <v>-2.6115641118076221E-2</v>
      </c>
      <c r="AP123" s="267"/>
      <c r="AQ123" s="267"/>
    </row>
    <row r="124" spans="3:43" x14ac:dyDescent="0.3">
      <c r="E124" s="88"/>
      <c r="F124" t="s">
        <v>161</v>
      </c>
      <c r="G124" t="s">
        <v>272</v>
      </c>
      <c r="H124" s="51"/>
      <c r="J124" s="330">
        <f t="shared" ref="J124" si="32" xml:space="preserve"> J113 + J47</f>
        <v>13.333110600059477</v>
      </c>
      <c r="K124" s="330">
        <f t="shared" ref="K124:AO124" si="33" xml:space="preserve"> K113 + K47</f>
        <v>0</v>
      </c>
      <c r="L124" s="330">
        <f t="shared" si="33"/>
        <v>7.382442845694948</v>
      </c>
      <c r="M124" s="330">
        <f t="shared" si="33"/>
        <v>11.456206047278773</v>
      </c>
      <c r="N124" s="330">
        <f t="shared" si="33"/>
        <v>28.944261905716207</v>
      </c>
      <c r="O124" s="330">
        <f t="shared" si="33"/>
        <v>61.132866393655135</v>
      </c>
      <c r="P124" s="330">
        <f t="shared" si="33"/>
        <v>174.90710229479723</v>
      </c>
      <c r="Q124" s="330">
        <f t="shared" si="33"/>
        <v>0</v>
      </c>
      <c r="R124" s="330">
        <f t="shared" si="33"/>
        <v>11.443015819596823</v>
      </c>
      <c r="S124" s="330">
        <f t="shared" si="33"/>
        <v>297.07004204119636</v>
      </c>
      <c r="T124" s="330">
        <f t="shared" si="33"/>
        <v>501.76620687257156</v>
      </c>
      <c r="U124" s="330">
        <f t="shared" si="33"/>
        <v>781.95491350432803</v>
      </c>
      <c r="V124" s="330">
        <f t="shared" si="33"/>
        <v>1435.8327824187463</v>
      </c>
      <c r="W124" s="330">
        <f t="shared" si="33"/>
        <v>8.9415565013657261</v>
      </c>
      <c r="X124" s="330">
        <f t="shared" si="33"/>
        <v>294.56858272296535</v>
      </c>
      <c r="Y124" s="330">
        <f t="shared" si="33"/>
        <v>499.26474755434049</v>
      </c>
      <c r="Z124" s="330">
        <f t="shared" si="33"/>
        <v>779.45345418609679</v>
      </c>
      <c r="AA124" s="330">
        <f t="shared" si="33"/>
        <v>1433.3313231005152</v>
      </c>
      <c r="AB124" s="330">
        <f t="shared" si="33"/>
        <v>82.207304183057587</v>
      </c>
      <c r="AC124" s="330">
        <f t="shared" si="33"/>
        <v>1284.3025081820756</v>
      </c>
      <c r="AD124" s="330">
        <f t="shared" si="33"/>
        <v>4303.986196244392</v>
      </c>
      <c r="AE124" s="330">
        <f t="shared" si="33"/>
        <v>9425.0897108079753</v>
      </c>
      <c r="AF124" s="330">
        <f t="shared" si="33"/>
        <v>24408.956353409205</v>
      </c>
      <c r="AG124" s="330">
        <f t="shared" si="33"/>
        <v>0</v>
      </c>
      <c r="AH124" s="330">
        <f t="shared" si="33"/>
        <v>0</v>
      </c>
      <c r="AI124" s="330">
        <f t="shared" si="33"/>
        <v>0</v>
      </c>
      <c r="AJ124" s="330">
        <f t="shared" si="33"/>
        <v>0</v>
      </c>
      <c r="AK124" s="330">
        <f t="shared" si="33"/>
        <v>0</v>
      </c>
      <c r="AL124" s="330">
        <f t="shared" si="33"/>
        <v>0</v>
      </c>
      <c r="AM124" s="330">
        <f t="shared" si="33"/>
        <v>0</v>
      </c>
      <c r="AN124" s="330">
        <f t="shared" si="33"/>
        <v>51.423015267650172</v>
      </c>
      <c r="AO124" s="330">
        <f t="shared" si="33"/>
        <v>51.423015267650172</v>
      </c>
    </row>
    <row r="125" spans="3:43" x14ac:dyDescent="0.3">
      <c r="E125" s="88"/>
      <c r="F125" t="s">
        <v>162</v>
      </c>
      <c r="G125" t="s">
        <v>273</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2.9075555200524899</v>
      </c>
      <c r="S125" s="330">
        <f t="shared" si="35"/>
        <v>2.9075555200524899</v>
      </c>
      <c r="T125" s="330">
        <f t="shared" si="35"/>
        <v>2.9075555200524899</v>
      </c>
      <c r="U125" s="330">
        <f t="shared" si="35"/>
        <v>2.9075555200524899</v>
      </c>
      <c r="V125" s="330">
        <f t="shared" si="35"/>
        <v>2.9075555200524899</v>
      </c>
      <c r="W125" s="330">
        <f t="shared" si="35"/>
        <v>3.5582115304996851</v>
      </c>
      <c r="X125" s="330">
        <f t="shared" si="35"/>
        <v>3.5582115304996851</v>
      </c>
      <c r="Y125" s="330">
        <f t="shared" si="35"/>
        <v>3.5582115304996851</v>
      </c>
      <c r="Z125" s="330">
        <f t="shared" si="35"/>
        <v>3.5582115304996851</v>
      </c>
      <c r="AA125" s="330">
        <f t="shared" si="35"/>
        <v>3.5582115304996851</v>
      </c>
      <c r="AB125" s="330">
        <f t="shared" si="35"/>
        <v>4.3179340585099677</v>
      </c>
      <c r="AC125" s="330">
        <f t="shared" si="35"/>
        <v>4.3179340585099677</v>
      </c>
      <c r="AD125" s="330">
        <f t="shared" si="35"/>
        <v>4.3179340585099677</v>
      </c>
      <c r="AE125" s="330">
        <f t="shared" si="35"/>
        <v>4.3179340585099677</v>
      </c>
      <c r="AF125" s="330">
        <f t="shared" si="35"/>
        <v>4.3179340585099677</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163</v>
      </c>
      <c r="G126" t="s">
        <v>273</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5.7336183839854069</v>
      </c>
      <c r="S126" s="330">
        <f t="shared" si="37"/>
        <v>5.7336183839854069</v>
      </c>
      <c r="T126" s="330">
        <f t="shared" si="37"/>
        <v>5.7336183839854069</v>
      </c>
      <c r="U126" s="330">
        <f t="shared" si="37"/>
        <v>5.7336183839854069</v>
      </c>
      <c r="V126" s="330">
        <f t="shared" si="37"/>
        <v>5.7336183839854069</v>
      </c>
      <c r="W126" s="330">
        <f t="shared" si="37"/>
        <v>5.3582865650740166</v>
      </c>
      <c r="X126" s="330">
        <f t="shared" si="37"/>
        <v>5.3582865650740166</v>
      </c>
      <c r="Y126" s="330">
        <f t="shared" si="37"/>
        <v>5.3582865650740166</v>
      </c>
      <c r="Z126" s="330">
        <f t="shared" si="37"/>
        <v>5.3582865650740166</v>
      </c>
      <c r="AA126" s="330">
        <f t="shared" si="37"/>
        <v>5.3582865650740166</v>
      </c>
      <c r="AB126" s="330">
        <f t="shared" si="37"/>
        <v>6.2347042934179937</v>
      </c>
      <c r="AC126" s="330">
        <f t="shared" si="37"/>
        <v>6.2347042934179937</v>
      </c>
      <c r="AD126" s="330">
        <f t="shared" si="37"/>
        <v>6.2347042934179937</v>
      </c>
      <c r="AE126" s="330">
        <f t="shared" si="37"/>
        <v>6.2347042934179937</v>
      </c>
      <c r="AF126" s="330">
        <f t="shared" si="37"/>
        <v>6.2347042934179937</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164</v>
      </c>
      <c r="G127" s="37" t="s">
        <v>274</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0.15568707537334198</v>
      </c>
      <c r="S127" s="284">
        <f t="shared" si="39"/>
        <v>0.15568707537334198</v>
      </c>
      <c r="T127" s="284">
        <f t="shared" si="39"/>
        <v>0.15568707537334198</v>
      </c>
      <c r="U127" s="284">
        <f t="shared" si="39"/>
        <v>0.15568707537334198</v>
      </c>
      <c r="V127" s="284">
        <f t="shared" si="39"/>
        <v>0.15568707537334198</v>
      </c>
      <c r="W127" s="284">
        <f t="shared" si="39"/>
        <v>0.10900735503203039</v>
      </c>
      <c r="X127" s="284">
        <f t="shared" si="39"/>
        <v>0.10900735503203039</v>
      </c>
      <c r="Y127" s="284">
        <f t="shared" si="39"/>
        <v>0.10900735503203039</v>
      </c>
      <c r="Z127" s="284">
        <f t="shared" si="39"/>
        <v>0.10900735503203039</v>
      </c>
      <c r="AA127" s="284">
        <f t="shared" si="39"/>
        <v>0.10900735503203039</v>
      </c>
      <c r="AB127" s="284">
        <f t="shared" si="39"/>
        <v>5.6025475483680934E-2</v>
      </c>
      <c r="AC127" s="284">
        <f t="shared" si="39"/>
        <v>5.6025475483680934E-2</v>
      </c>
      <c r="AD127" s="284">
        <f t="shared" si="39"/>
        <v>5.6025475483680934E-2</v>
      </c>
      <c r="AE127" s="284">
        <f t="shared" si="39"/>
        <v>5.6025475483680934E-2</v>
      </c>
      <c r="AF127" s="284">
        <f t="shared" si="39"/>
        <v>5.6025475483680934E-2</v>
      </c>
      <c r="AG127" s="284">
        <f t="shared" si="39"/>
        <v>0</v>
      </c>
      <c r="AH127" s="284">
        <f t="shared" si="39"/>
        <v>0</v>
      </c>
      <c r="AI127" s="284">
        <f t="shared" si="39"/>
        <v>0</v>
      </c>
      <c r="AJ127" s="284">
        <f t="shared" si="39"/>
        <v>0.15535543202154206</v>
      </c>
      <c r="AK127" s="284">
        <f t="shared" si="39"/>
        <v>0</v>
      </c>
      <c r="AL127" s="284">
        <f t="shared" si="39"/>
        <v>0.13056045785664669</v>
      </c>
      <c r="AM127" s="284">
        <f t="shared" si="39"/>
        <v>0</v>
      </c>
      <c r="AN127" s="284">
        <f t="shared" si="39"/>
        <v>0.10463528367439673</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893</v>
      </c>
      <c r="I129" t="s">
        <v>156</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901</v>
      </c>
    </row>
    <row r="130" spans="3:43" x14ac:dyDescent="0.3">
      <c r="E130" s="88"/>
      <c r="F130" s="23" t="s">
        <v>158</v>
      </c>
      <c r="G130" s="23" t="s">
        <v>271</v>
      </c>
      <c r="H130" s="278"/>
      <c r="I130" s="266"/>
      <c r="J130" s="281">
        <f t="shared" ref="J130:J136" si="40" xml:space="preserve"> J110 * (1 - J75) + J44</f>
        <v>4.7422006133726171</v>
      </c>
      <c r="K130" s="281">
        <f t="shared" ref="K130:AJ130" si="41" xml:space="preserve"> K110 * (1 - K75) + K44</f>
        <v>4.7422006133726171</v>
      </c>
      <c r="L130" s="281">
        <f t="shared" si="41"/>
        <v>4.147619541939461</v>
      </c>
      <c r="M130" s="281">
        <f t="shared" si="41"/>
        <v>4.147619541939461</v>
      </c>
      <c r="N130" s="281">
        <f t="shared" si="41"/>
        <v>4.147619541939461</v>
      </c>
      <c r="O130" s="281">
        <f t="shared" si="41"/>
        <v>4.147619541939461</v>
      </c>
      <c r="P130" s="281">
        <f t="shared" si="41"/>
        <v>4.147619541939461</v>
      </c>
      <c r="Q130" s="281">
        <f t="shared" si="41"/>
        <v>4.147619541939461</v>
      </c>
      <c r="R130" s="281">
        <f t="shared" si="41"/>
        <v>2.9983849508556859</v>
      </c>
      <c r="S130" s="281">
        <f t="shared" si="41"/>
        <v>2.9983849508556859</v>
      </c>
      <c r="T130" s="281">
        <f t="shared" si="41"/>
        <v>2.9983849508556859</v>
      </c>
      <c r="U130" s="281">
        <f t="shared" si="41"/>
        <v>2.9983849508556859</v>
      </c>
      <c r="V130" s="281">
        <f t="shared" si="41"/>
        <v>2.9983849508556859</v>
      </c>
      <c r="W130" s="280"/>
      <c r="X130" s="280"/>
      <c r="Y130" s="280"/>
      <c r="Z130" s="280"/>
      <c r="AA130" s="280"/>
      <c r="AB130" s="280"/>
      <c r="AC130" s="280"/>
      <c r="AD130" s="280"/>
      <c r="AE130" s="280"/>
      <c r="AF130" s="280"/>
      <c r="AG130" s="281">
        <f t="shared" si="41"/>
        <v>14.364789081196788</v>
      </c>
      <c r="AH130" s="281">
        <f t="shared" si="41"/>
        <v>-4.1547510698665358</v>
      </c>
      <c r="AI130" s="280"/>
      <c r="AJ130" s="281">
        <f t="shared" si="41"/>
        <v>-4.1547510698665358</v>
      </c>
      <c r="AK130" s="280"/>
      <c r="AL130" s="280"/>
      <c r="AM130" s="280"/>
      <c r="AN130" s="280"/>
      <c r="AO130" s="280"/>
      <c r="AP130" s="267"/>
      <c r="AQ130" s="267"/>
    </row>
    <row r="131" spans="3:43" x14ac:dyDescent="0.3">
      <c r="E131" s="88"/>
      <c r="F131" t="s">
        <v>159</v>
      </c>
      <c r="G131" t="s">
        <v>271</v>
      </c>
      <c r="H131" s="279"/>
      <c r="I131" s="267"/>
      <c r="J131" s="329">
        <f t="shared" si="40"/>
        <v>0.84270260678474374</v>
      </c>
      <c r="K131" s="329">
        <f t="shared" ref="K131:AJ131" si="42" xml:space="preserve"> K111 * (1 - K76) + K45</f>
        <v>0.84270260678474374</v>
      </c>
      <c r="L131" s="329">
        <f t="shared" si="42"/>
        <v>0.73704385050424115</v>
      </c>
      <c r="M131" s="329">
        <f t="shared" si="42"/>
        <v>0.73704385050424115</v>
      </c>
      <c r="N131" s="329">
        <f t="shared" si="42"/>
        <v>0.73704385050424115</v>
      </c>
      <c r="O131" s="329">
        <f t="shared" si="42"/>
        <v>0.73704385050424115</v>
      </c>
      <c r="P131" s="329">
        <f t="shared" si="42"/>
        <v>0.73704385050424115</v>
      </c>
      <c r="Q131" s="329">
        <f t="shared" si="42"/>
        <v>0.73704385050424115</v>
      </c>
      <c r="R131" s="329">
        <f t="shared" si="42"/>
        <v>0.51374185878089362</v>
      </c>
      <c r="S131" s="329">
        <f t="shared" si="42"/>
        <v>0.51374185878089362</v>
      </c>
      <c r="T131" s="329">
        <f t="shared" si="42"/>
        <v>0.51374185878089362</v>
      </c>
      <c r="U131" s="329">
        <f t="shared" si="42"/>
        <v>0.51374185878089362</v>
      </c>
      <c r="V131" s="329">
        <f t="shared" si="42"/>
        <v>0.51374185878089362</v>
      </c>
      <c r="W131" s="268"/>
      <c r="X131" s="268"/>
      <c r="Y131" s="268"/>
      <c r="Z131" s="268"/>
      <c r="AA131" s="268"/>
      <c r="AB131" s="268"/>
      <c r="AC131" s="268"/>
      <c r="AD131" s="268"/>
      <c r="AE131" s="268"/>
      <c r="AF131" s="268"/>
      <c r="AG131" s="329">
        <f t="shared" si="42"/>
        <v>2.0829854275998203</v>
      </c>
      <c r="AH131" s="329">
        <f t="shared" si="42"/>
        <v>-0.73831114340567561</v>
      </c>
      <c r="AI131" s="268"/>
      <c r="AJ131" s="329">
        <f t="shared" si="42"/>
        <v>-0.73831114340567561</v>
      </c>
      <c r="AK131" s="268"/>
      <c r="AL131" s="268"/>
      <c r="AM131" s="268"/>
      <c r="AN131" s="268"/>
      <c r="AO131" s="268"/>
      <c r="AP131" s="267"/>
      <c r="AQ131" s="267"/>
    </row>
    <row r="132" spans="3:43" x14ac:dyDescent="0.3">
      <c r="E132" s="88"/>
      <c r="F132" t="s">
        <v>160</v>
      </c>
      <c r="G132" t="s">
        <v>271</v>
      </c>
      <c r="H132" s="279"/>
      <c r="I132" s="267"/>
      <c r="J132" s="329">
        <f t="shared" si="40"/>
        <v>6.1873423823511603E-2</v>
      </c>
      <c r="K132" s="329">
        <f t="shared" ref="K132:AJ132" si="43" xml:space="preserve"> K112 * (1 - K77) + K46</f>
        <v>6.1873423823511603E-2</v>
      </c>
      <c r="L132" s="329">
        <f t="shared" si="43"/>
        <v>5.4115682295985339E-2</v>
      </c>
      <c r="M132" s="329">
        <f t="shared" si="43"/>
        <v>5.4115682295985339E-2</v>
      </c>
      <c r="N132" s="329">
        <f t="shared" si="43"/>
        <v>5.4115682295985339E-2</v>
      </c>
      <c r="O132" s="329">
        <f t="shared" si="43"/>
        <v>5.4115682295985339E-2</v>
      </c>
      <c r="P132" s="329">
        <f t="shared" si="43"/>
        <v>5.4115682295985339E-2</v>
      </c>
      <c r="Q132" s="329">
        <f t="shared" si="43"/>
        <v>5.4115682295985339E-2</v>
      </c>
      <c r="R132" s="329">
        <f t="shared" si="43"/>
        <v>3.7433601024204108E-2</v>
      </c>
      <c r="S132" s="329">
        <f t="shared" si="43"/>
        <v>3.7433601024204108E-2</v>
      </c>
      <c r="T132" s="329">
        <f t="shared" si="43"/>
        <v>3.7433601024204108E-2</v>
      </c>
      <c r="U132" s="329">
        <f t="shared" si="43"/>
        <v>3.7433601024204108E-2</v>
      </c>
      <c r="V132" s="329">
        <f t="shared" si="43"/>
        <v>3.7433601024204108E-2</v>
      </c>
      <c r="W132" s="268"/>
      <c r="X132" s="268"/>
      <c r="Y132" s="268"/>
      <c r="Z132" s="268"/>
      <c r="AA132" s="268"/>
      <c r="AB132" s="268"/>
      <c r="AC132" s="268"/>
      <c r="AD132" s="268"/>
      <c r="AE132" s="268"/>
      <c r="AF132" s="268"/>
      <c r="AG132" s="329">
        <f t="shared" si="43"/>
        <v>1.3371007804835542</v>
      </c>
      <c r="AH132" s="329">
        <f t="shared" si="43"/>
        <v>-5.4208730246908546E-2</v>
      </c>
      <c r="AI132" s="268"/>
      <c r="AJ132" s="329">
        <f t="shared" si="43"/>
        <v>-5.4208730246908546E-2</v>
      </c>
      <c r="AK132" s="268"/>
      <c r="AL132" s="268"/>
      <c r="AM132" s="268"/>
      <c r="AN132" s="268"/>
      <c r="AO132" s="268"/>
      <c r="AP132" s="267"/>
      <c r="AQ132" s="267"/>
    </row>
    <row r="133" spans="3:43" x14ac:dyDescent="0.3">
      <c r="E133" s="88"/>
      <c r="F133" t="s">
        <v>161</v>
      </c>
      <c r="G133" t="s">
        <v>272</v>
      </c>
      <c r="H133" s="51"/>
      <c r="J133" s="330">
        <f t="shared" si="40"/>
        <v>9.3140832216640739</v>
      </c>
      <c r="K133" s="330">
        <f t="shared" ref="K133:AJ133" si="44" xml:space="preserve"> K113 * (1 - K78) + K47</f>
        <v>0</v>
      </c>
      <c r="L133" s="330">
        <f t="shared" si="44"/>
        <v>5.1585263561770667</v>
      </c>
      <c r="M133" s="330">
        <f t="shared" si="44"/>
        <v>7.9981950123537118</v>
      </c>
      <c r="N133" s="330">
        <f t="shared" si="44"/>
        <v>20.18846764758295</v>
      </c>
      <c r="O133" s="330">
        <f t="shared" si="44"/>
        <v>42.625945411369038</v>
      </c>
      <c r="P133" s="330">
        <f t="shared" si="44"/>
        <v>121.93372929122521</v>
      </c>
      <c r="Q133" s="330">
        <f t="shared" si="44"/>
        <v>0</v>
      </c>
      <c r="R133" s="330">
        <f t="shared" si="44"/>
        <v>7.9890005957264272</v>
      </c>
      <c r="S133" s="330">
        <f t="shared" si="44"/>
        <v>207.08896629895671</v>
      </c>
      <c r="T133" s="330">
        <f t="shared" si="44"/>
        <v>349.77504169117265</v>
      </c>
      <c r="U133" s="330">
        <f t="shared" si="44"/>
        <v>545.08415728422847</v>
      </c>
      <c r="V133" s="330">
        <f t="shared" si="44"/>
        <v>1000.8780749576853</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162</v>
      </c>
      <c r="G134" t="s">
        <v>273</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2.0267487008514458</v>
      </c>
      <c r="S134" s="330">
        <f t="shared" si="45"/>
        <v>2.0267487008514458</v>
      </c>
      <c r="T134" s="330">
        <f t="shared" si="45"/>
        <v>2.0267487008514458</v>
      </c>
      <c r="U134" s="330">
        <f t="shared" si="45"/>
        <v>2.0267487008514458</v>
      </c>
      <c r="V134" s="330">
        <f t="shared" si="45"/>
        <v>2.0267487008514458</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163</v>
      </c>
      <c r="G135" t="s">
        <v>273</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3.9966919052024168</v>
      </c>
      <c r="S135" s="330">
        <f t="shared" si="46"/>
        <v>3.9966919052024168</v>
      </c>
      <c r="T135" s="330">
        <f t="shared" si="46"/>
        <v>3.9966919052024168</v>
      </c>
      <c r="U135" s="330">
        <f t="shared" si="46"/>
        <v>3.9966919052024168</v>
      </c>
      <c r="V135" s="330">
        <f t="shared" si="46"/>
        <v>3.9966919052024168</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164</v>
      </c>
      <c r="G136" s="37" t="s">
        <v>274</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0.10852366380490838</v>
      </c>
      <c r="S136" s="284">
        <f t="shared" si="47"/>
        <v>0.10852366380490838</v>
      </c>
      <c r="T136" s="284">
        <f t="shared" si="47"/>
        <v>0.10852366380490838</v>
      </c>
      <c r="U136" s="284">
        <f t="shared" si="47"/>
        <v>0.10852366380490838</v>
      </c>
      <c r="V136" s="284">
        <f t="shared" si="47"/>
        <v>0.10852366380490838</v>
      </c>
      <c r="W136" s="270"/>
      <c r="X136" s="270"/>
      <c r="Y136" s="270"/>
      <c r="Z136" s="270"/>
      <c r="AA136" s="270"/>
      <c r="AB136" s="270"/>
      <c r="AC136" s="270"/>
      <c r="AD136" s="270"/>
      <c r="AE136" s="270"/>
      <c r="AF136" s="270"/>
      <c r="AG136" s="284">
        <f t="shared" si="47"/>
        <v>0</v>
      </c>
      <c r="AH136" s="284">
        <f t="shared" si="47"/>
        <v>0</v>
      </c>
      <c r="AI136" s="270"/>
      <c r="AJ136" s="284">
        <f t="shared" si="47"/>
        <v>0.15535543202154206</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894</v>
      </c>
      <c r="I138" t="s">
        <v>156</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901</v>
      </c>
    </row>
    <row r="139" spans="3:43" x14ac:dyDescent="0.3">
      <c r="C139" s="88"/>
      <c r="F139" s="23" t="s">
        <v>158</v>
      </c>
      <c r="G139" s="23" t="s">
        <v>271</v>
      </c>
      <c r="H139" s="278"/>
      <c r="I139" s="266"/>
      <c r="J139" s="281">
        <f t="shared" ref="J139:J145" si="48">J110 * (1 - J84) + J44</f>
        <v>3.8076756662926434</v>
      </c>
      <c r="K139" s="281">
        <f t="shared" ref="K139:AN139" si="49">K110 * (1 - K84) + K44</f>
        <v>3.8076756662926434</v>
      </c>
      <c r="L139" s="281">
        <f t="shared" si="49"/>
        <v>3.3302661128144502</v>
      </c>
      <c r="M139" s="281">
        <f t="shared" si="49"/>
        <v>3.3302661128144502</v>
      </c>
      <c r="N139" s="281">
        <f t="shared" si="49"/>
        <v>3.3302661128144502</v>
      </c>
      <c r="O139" s="281">
        <f t="shared" si="49"/>
        <v>3.3302661128144502</v>
      </c>
      <c r="P139" s="281">
        <f t="shared" si="49"/>
        <v>3.3302661128144502</v>
      </c>
      <c r="Q139" s="281">
        <f t="shared" si="49"/>
        <v>3.3302661128144502</v>
      </c>
      <c r="R139" s="281">
        <f t="shared" si="49"/>
        <v>2.4075062078471756</v>
      </c>
      <c r="S139" s="281">
        <f t="shared" si="49"/>
        <v>2.4075062078471756</v>
      </c>
      <c r="T139" s="281">
        <f t="shared" si="49"/>
        <v>2.4075062078471756</v>
      </c>
      <c r="U139" s="281">
        <f t="shared" si="49"/>
        <v>2.4075062078471756</v>
      </c>
      <c r="V139" s="281">
        <f t="shared" si="49"/>
        <v>2.4075062078471756</v>
      </c>
      <c r="W139" s="281">
        <f t="shared" si="49"/>
        <v>2.423216130497277</v>
      </c>
      <c r="X139" s="281">
        <f t="shared" si="49"/>
        <v>2.423216130497277</v>
      </c>
      <c r="Y139" s="281">
        <f t="shared" si="49"/>
        <v>2.423216130497277</v>
      </c>
      <c r="Z139" s="281">
        <f t="shared" si="49"/>
        <v>2.423216130497277</v>
      </c>
      <c r="AA139" s="281">
        <f t="shared" si="49"/>
        <v>2.423216130497277</v>
      </c>
      <c r="AB139" s="281">
        <f t="shared" si="49"/>
        <v>1.6477298190573249</v>
      </c>
      <c r="AC139" s="281">
        <f t="shared" si="49"/>
        <v>1.6477298190573249</v>
      </c>
      <c r="AD139" s="281">
        <f t="shared" si="49"/>
        <v>1.6477298190573249</v>
      </c>
      <c r="AE139" s="281">
        <f t="shared" si="49"/>
        <v>1.6477298190573249</v>
      </c>
      <c r="AF139" s="281">
        <f t="shared" si="49"/>
        <v>1.6477298190573249</v>
      </c>
      <c r="AG139" s="281">
        <f t="shared" si="49"/>
        <v>11.533982278535358</v>
      </c>
      <c r="AH139" s="281">
        <f t="shared" si="49"/>
        <v>-4.1547510698665358</v>
      </c>
      <c r="AI139" s="281">
        <f t="shared" si="49"/>
        <v>-3.651777976005032</v>
      </c>
      <c r="AJ139" s="281">
        <f t="shared" si="49"/>
        <v>-4.1547510698665358</v>
      </c>
      <c r="AK139" s="280"/>
      <c r="AL139" s="281">
        <f t="shared" si="49"/>
        <v>-3.651777976005032</v>
      </c>
      <c r="AM139" s="280"/>
      <c r="AN139" s="281">
        <f t="shared" si="49"/>
        <v>-2.3894293200408447</v>
      </c>
      <c r="AO139" s="280"/>
      <c r="AP139" s="267"/>
      <c r="AQ139" s="267"/>
    </row>
    <row r="140" spans="3:43" x14ac:dyDescent="0.3">
      <c r="C140" s="88"/>
      <c r="F140" t="s">
        <v>159</v>
      </c>
      <c r="G140" t="s">
        <v>271</v>
      </c>
      <c r="H140" s="279"/>
      <c r="I140" s="267"/>
      <c r="J140" s="329">
        <f t="shared" si="48"/>
        <v>0.67663485191395489</v>
      </c>
      <c r="K140" s="329">
        <f t="shared" ref="K140:AN140" si="50">K111 * (1 - K85) + K45</f>
        <v>0.67663485191395489</v>
      </c>
      <c r="L140" s="329">
        <f t="shared" si="50"/>
        <v>0.59179780936338855</v>
      </c>
      <c r="M140" s="329">
        <f t="shared" si="50"/>
        <v>0.59179780936338855</v>
      </c>
      <c r="N140" s="329">
        <f t="shared" si="50"/>
        <v>0.59179780936338855</v>
      </c>
      <c r="O140" s="329">
        <f t="shared" si="50"/>
        <v>0.59179780936338855</v>
      </c>
      <c r="P140" s="329">
        <f t="shared" si="50"/>
        <v>0.59179780936338855</v>
      </c>
      <c r="Q140" s="329">
        <f t="shared" si="50"/>
        <v>0.59179780936338855</v>
      </c>
      <c r="R140" s="329">
        <f t="shared" si="50"/>
        <v>0.41250097453063095</v>
      </c>
      <c r="S140" s="329">
        <f t="shared" si="50"/>
        <v>0.41250097453063095</v>
      </c>
      <c r="T140" s="329">
        <f t="shared" si="50"/>
        <v>0.41250097453063095</v>
      </c>
      <c r="U140" s="329">
        <f t="shared" si="50"/>
        <v>0.41250097453063095</v>
      </c>
      <c r="V140" s="329">
        <f t="shared" si="50"/>
        <v>0.41250097453063095</v>
      </c>
      <c r="W140" s="329">
        <f t="shared" si="50"/>
        <v>0.38121203438313722</v>
      </c>
      <c r="X140" s="329">
        <f t="shared" si="50"/>
        <v>0.38121203438313722</v>
      </c>
      <c r="Y140" s="329">
        <f t="shared" si="50"/>
        <v>0.38121203438313722</v>
      </c>
      <c r="Z140" s="329">
        <f t="shared" si="50"/>
        <v>0.38121203438313722</v>
      </c>
      <c r="AA140" s="329">
        <f t="shared" si="50"/>
        <v>0.38121203438313722</v>
      </c>
      <c r="AB140" s="329">
        <f t="shared" si="50"/>
        <v>0.22118291379259192</v>
      </c>
      <c r="AC140" s="329">
        <f t="shared" si="50"/>
        <v>0.22118291379259192</v>
      </c>
      <c r="AD140" s="329">
        <f t="shared" si="50"/>
        <v>0.22118291379259192</v>
      </c>
      <c r="AE140" s="329">
        <f t="shared" si="50"/>
        <v>0.22118291379259192</v>
      </c>
      <c r="AF140" s="329">
        <f t="shared" si="50"/>
        <v>0.22118291379259192</v>
      </c>
      <c r="AG140" s="329">
        <f t="shared" si="50"/>
        <v>1.6725005061043399</v>
      </c>
      <c r="AH140" s="329">
        <f t="shared" si="50"/>
        <v>-0.73831114340567561</v>
      </c>
      <c r="AI140" s="329">
        <f t="shared" si="50"/>
        <v>-0.63476438779794908</v>
      </c>
      <c r="AJ140" s="329">
        <f t="shared" si="50"/>
        <v>-0.73831114340567561</v>
      </c>
      <c r="AK140" s="268"/>
      <c r="AL140" s="329">
        <f t="shared" si="50"/>
        <v>-0.63476438779794908</v>
      </c>
      <c r="AM140" s="268"/>
      <c r="AN140" s="329">
        <f t="shared" si="50"/>
        <v>-0.36745013544043381</v>
      </c>
      <c r="AO140" s="268"/>
      <c r="AP140" s="267"/>
      <c r="AQ140" s="267"/>
    </row>
    <row r="141" spans="3:43" x14ac:dyDescent="0.3">
      <c r="C141" s="88"/>
      <c r="F141" t="s">
        <v>160</v>
      </c>
      <c r="G141" t="s">
        <v>271</v>
      </c>
      <c r="H141" s="279"/>
      <c r="I141" s="267"/>
      <c r="J141" s="329">
        <f t="shared" si="48"/>
        <v>4.9680296025149402E-2</v>
      </c>
      <c r="K141" s="329">
        <f t="shared" ref="K141:AN141" si="51">K112 * (1 - K86) + K46</f>
        <v>4.9680296025149402E-2</v>
      </c>
      <c r="L141" s="329">
        <f t="shared" si="51"/>
        <v>4.3451339039134888E-2</v>
      </c>
      <c r="M141" s="329">
        <f t="shared" si="51"/>
        <v>4.3451339039134888E-2</v>
      </c>
      <c r="N141" s="329">
        <f t="shared" si="51"/>
        <v>4.3451339039134888E-2</v>
      </c>
      <c r="O141" s="329">
        <f t="shared" si="51"/>
        <v>4.3451339039134888E-2</v>
      </c>
      <c r="P141" s="329">
        <f t="shared" si="51"/>
        <v>4.3451339039134888E-2</v>
      </c>
      <c r="Q141" s="329">
        <f t="shared" si="51"/>
        <v>4.3451339039134888E-2</v>
      </c>
      <c r="R141" s="329">
        <f t="shared" si="51"/>
        <v>3.0056723311036718E-2</v>
      </c>
      <c r="S141" s="329">
        <f t="shared" si="51"/>
        <v>3.0056723311036718E-2</v>
      </c>
      <c r="T141" s="329">
        <f t="shared" si="51"/>
        <v>3.0056723311036718E-2</v>
      </c>
      <c r="U141" s="329">
        <f t="shared" si="51"/>
        <v>3.0056723311036718E-2</v>
      </c>
      <c r="V141" s="329">
        <f t="shared" si="51"/>
        <v>3.0056723311036718E-2</v>
      </c>
      <c r="W141" s="329">
        <f t="shared" si="51"/>
        <v>2.7247357344362073E-2</v>
      </c>
      <c r="X141" s="329">
        <f t="shared" si="51"/>
        <v>2.7247357344362073E-2</v>
      </c>
      <c r="Y141" s="329">
        <f t="shared" si="51"/>
        <v>2.7247357344362073E-2</v>
      </c>
      <c r="Z141" s="329">
        <f t="shared" si="51"/>
        <v>2.7247357344362073E-2</v>
      </c>
      <c r="AA141" s="329">
        <f t="shared" si="51"/>
        <v>2.7247357344362073E-2</v>
      </c>
      <c r="AB141" s="329">
        <f t="shared" si="51"/>
        <v>1.5139300349585678E-2</v>
      </c>
      <c r="AC141" s="329">
        <f t="shared" si="51"/>
        <v>1.5139300349585678E-2</v>
      </c>
      <c r="AD141" s="329">
        <f t="shared" si="51"/>
        <v>1.5139300349585678E-2</v>
      </c>
      <c r="AE141" s="329">
        <f t="shared" si="51"/>
        <v>1.5139300349585678E-2</v>
      </c>
      <c r="AF141" s="329">
        <f t="shared" si="51"/>
        <v>1.5139300349585678E-2</v>
      </c>
      <c r="AG141" s="329">
        <f t="shared" si="51"/>
        <v>1.0736041176476665</v>
      </c>
      <c r="AH141" s="329">
        <f t="shared" si="51"/>
        <v>-5.4208730246908546E-2</v>
      </c>
      <c r="AI141" s="329">
        <f t="shared" si="51"/>
        <v>-4.6393202831544231E-2</v>
      </c>
      <c r="AJ141" s="329">
        <f t="shared" si="51"/>
        <v>-5.4208730246908546E-2</v>
      </c>
      <c r="AK141" s="268"/>
      <c r="AL141" s="329">
        <f t="shared" si="51"/>
        <v>-4.6393202831544231E-2</v>
      </c>
      <c r="AM141" s="268"/>
      <c r="AN141" s="329">
        <f t="shared" si="51"/>
        <v>-2.6115641118076221E-2</v>
      </c>
      <c r="AO141" s="268"/>
      <c r="AP141" s="267"/>
      <c r="AQ141" s="267"/>
    </row>
    <row r="142" spans="3:43" x14ac:dyDescent="0.3">
      <c r="C142" s="88"/>
      <c r="F142" t="s">
        <v>161</v>
      </c>
      <c r="G142" t="s">
        <v>272</v>
      </c>
      <c r="H142" s="51"/>
      <c r="J142" s="330">
        <f t="shared" si="48"/>
        <v>7.4916518757212254</v>
      </c>
      <c r="K142" s="330">
        <f t="shared" ref="K142:AN142" si="52">K113 * (1 - K87) + K47</f>
        <v>0</v>
      </c>
      <c r="L142" s="330">
        <f t="shared" si="52"/>
        <v>4.1500895530232889</v>
      </c>
      <c r="M142" s="330">
        <f t="shared" si="52"/>
        <v>6.430156999340781</v>
      </c>
      <c r="N142" s="330">
        <f t="shared" si="52"/>
        <v>16.21814537497897</v>
      </c>
      <c r="O142" s="330">
        <f t="shared" si="52"/>
        <v>34.233966522070872</v>
      </c>
      <c r="P142" s="330">
        <f t="shared" si="52"/>
        <v>97.912908736234101</v>
      </c>
      <c r="Q142" s="330">
        <f t="shared" si="52"/>
        <v>0</v>
      </c>
      <c r="R142" s="330">
        <f t="shared" si="52"/>
        <v>6.4227744865979091</v>
      </c>
      <c r="S142" s="330">
        <f t="shared" si="52"/>
        <v>166.28697180252064</v>
      </c>
      <c r="T142" s="330">
        <f t="shared" si="52"/>
        <v>280.85451996943499</v>
      </c>
      <c r="U142" s="330">
        <f t="shared" si="52"/>
        <v>437.6749135967558</v>
      </c>
      <c r="V142" s="330">
        <f t="shared" si="52"/>
        <v>803.6474969318856</v>
      </c>
      <c r="W142" s="330">
        <f t="shared" si="52"/>
        <v>7.3168715268243645</v>
      </c>
      <c r="X142" s="330">
        <f t="shared" si="52"/>
        <v>240.80472127094069</v>
      </c>
      <c r="Y142" s="330">
        <f t="shared" si="52"/>
        <v>408.13506115364021</v>
      </c>
      <c r="Z142" s="330">
        <f t="shared" si="52"/>
        <v>637.17731776166204</v>
      </c>
      <c r="AA142" s="330">
        <f t="shared" si="52"/>
        <v>1171.6944453168253</v>
      </c>
      <c r="AB142" s="330">
        <f t="shared" si="52"/>
        <v>76.169198665982421</v>
      </c>
      <c r="AC142" s="330">
        <f t="shared" si="52"/>
        <v>1189.9264757140709</v>
      </c>
      <c r="AD142" s="330">
        <f t="shared" si="52"/>
        <v>3987.7037821823542</v>
      </c>
      <c r="AE142" s="330">
        <f t="shared" si="52"/>
        <v>8732.4746513176015</v>
      </c>
      <c r="AF142" s="330">
        <f t="shared" si="52"/>
        <v>22615.227411662912</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162</v>
      </c>
      <c r="G143" t="s">
        <v>273</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1.6273461076615785</v>
      </c>
      <c r="S143" s="330">
        <f t="shared" si="53"/>
        <v>1.6273461076615785</v>
      </c>
      <c r="T143" s="330">
        <f t="shared" si="53"/>
        <v>1.6273461076615785</v>
      </c>
      <c r="U143" s="330">
        <f t="shared" si="53"/>
        <v>1.6273461076615785</v>
      </c>
      <c r="V143" s="330">
        <f t="shared" si="53"/>
        <v>1.6273461076615785</v>
      </c>
      <c r="W143" s="330">
        <f t="shared" si="53"/>
        <v>2.908685393610229</v>
      </c>
      <c r="X143" s="330">
        <f t="shared" si="53"/>
        <v>2.908685393610229</v>
      </c>
      <c r="Y143" s="330">
        <f t="shared" si="53"/>
        <v>2.908685393610229</v>
      </c>
      <c r="Z143" s="330">
        <f t="shared" si="53"/>
        <v>2.908685393610229</v>
      </c>
      <c r="AA143" s="330">
        <f t="shared" si="53"/>
        <v>2.908685393610229</v>
      </c>
      <c r="AB143" s="330">
        <f t="shared" si="53"/>
        <v>4.0006236307080307</v>
      </c>
      <c r="AC143" s="330">
        <f t="shared" si="53"/>
        <v>4.0006236307080307</v>
      </c>
      <c r="AD143" s="330">
        <f t="shared" si="53"/>
        <v>4.0006236307080307</v>
      </c>
      <c r="AE143" s="330">
        <f t="shared" si="53"/>
        <v>4.0006236307080307</v>
      </c>
      <c r="AF143" s="330">
        <f t="shared" si="53"/>
        <v>4.0006236307080307</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163</v>
      </c>
      <c r="G144" t="s">
        <v>273</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3.20908113212128</v>
      </c>
      <c r="S144" s="330">
        <f t="shared" si="54"/>
        <v>3.20908113212128</v>
      </c>
      <c r="T144" s="330">
        <f t="shared" si="54"/>
        <v>3.20908113212128</v>
      </c>
      <c r="U144" s="330">
        <f t="shared" si="54"/>
        <v>3.20908113212128</v>
      </c>
      <c r="V144" s="330">
        <f t="shared" si="54"/>
        <v>3.20908113212128</v>
      </c>
      <c r="W144" s="330">
        <f t="shared" si="54"/>
        <v>4.3801695691824181</v>
      </c>
      <c r="X144" s="330">
        <f t="shared" si="54"/>
        <v>4.3801695691824181</v>
      </c>
      <c r="Y144" s="330">
        <f t="shared" si="54"/>
        <v>4.3801695691824181</v>
      </c>
      <c r="Z144" s="330">
        <f t="shared" si="54"/>
        <v>4.3801695691824181</v>
      </c>
      <c r="AA144" s="330">
        <f t="shared" si="54"/>
        <v>4.3801695691824181</v>
      </c>
      <c r="AB144" s="330">
        <f t="shared" si="54"/>
        <v>5.7765368782245998</v>
      </c>
      <c r="AC144" s="330">
        <f t="shared" si="54"/>
        <v>5.7765368782245998</v>
      </c>
      <c r="AD144" s="330">
        <f t="shared" si="54"/>
        <v>5.7765368782245998</v>
      </c>
      <c r="AE144" s="330">
        <f t="shared" si="54"/>
        <v>5.7765368782245998</v>
      </c>
      <c r="AF144" s="330">
        <f t="shared" si="54"/>
        <v>5.7765368782245998</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164</v>
      </c>
      <c r="G145" s="37" t="s">
        <v>274</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8.7137375150603838E-2</v>
      </c>
      <c r="S145" s="284">
        <f t="shared" si="55"/>
        <v>8.7137375150603838E-2</v>
      </c>
      <c r="T145" s="284">
        <f t="shared" si="55"/>
        <v>8.7137375150603838E-2</v>
      </c>
      <c r="U145" s="284">
        <f t="shared" si="55"/>
        <v>8.7137375150603838E-2</v>
      </c>
      <c r="V145" s="284">
        <f t="shared" si="55"/>
        <v>8.7137375150603838E-2</v>
      </c>
      <c r="W145" s="284">
        <f t="shared" si="55"/>
        <v>8.9108839837080997E-2</v>
      </c>
      <c r="X145" s="284">
        <f t="shared" si="55"/>
        <v>8.9108839837080997E-2</v>
      </c>
      <c r="Y145" s="284">
        <f t="shared" si="55"/>
        <v>8.9108839837080997E-2</v>
      </c>
      <c r="Z145" s="284">
        <f t="shared" si="55"/>
        <v>8.9108839837080997E-2</v>
      </c>
      <c r="AA145" s="284">
        <f t="shared" si="55"/>
        <v>8.9108839837080997E-2</v>
      </c>
      <c r="AB145" s="284">
        <f t="shared" si="55"/>
        <v>5.1908352027731641E-2</v>
      </c>
      <c r="AC145" s="284">
        <f t="shared" si="55"/>
        <v>5.1908352027731641E-2</v>
      </c>
      <c r="AD145" s="284">
        <f t="shared" si="55"/>
        <v>5.1908352027731641E-2</v>
      </c>
      <c r="AE145" s="284">
        <f t="shared" si="55"/>
        <v>5.1908352027731641E-2</v>
      </c>
      <c r="AF145" s="284">
        <f t="shared" si="55"/>
        <v>5.1908352027731641E-2</v>
      </c>
      <c r="AG145" s="284">
        <f t="shared" si="55"/>
        <v>0</v>
      </c>
      <c r="AH145" s="284">
        <f t="shared" si="55"/>
        <v>0</v>
      </c>
      <c r="AI145" s="284">
        <f t="shared" si="55"/>
        <v>0</v>
      </c>
      <c r="AJ145" s="284">
        <f t="shared" si="55"/>
        <v>0.15535543202154206</v>
      </c>
      <c r="AK145" s="270"/>
      <c r="AL145" s="284">
        <f t="shared" si="55"/>
        <v>0.13056045785664669</v>
      </c>
      <c r="AM145" s="270"/>
      <c r="AN145" s="284">
        <f t="shared" si="55"/>
        <v>0.10463528367439673</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756</v>
      </c>
      <c r="F149" s="32"/>
      <c r="I149" t="s">
        <v>156</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157</v>
      </c>
    </row>
    <row r="150" spans="1:43" x14ac:dyDescent="0.3">
      <c r="E150" s="88"/>
      <c r="F150" s="23" t="s">
        <v>158</v>
      </c>
      <c r="G150" s="23" t="s">
        <v>271</v>
      </c>
      <c r="H150" s="278"/>
      <c r="I150" s="266"/>
      <c r="J150" s="271">
        <f t="shared" ref="J150" si="56">ROUND(J121, $H95)</f>
        <v>6.8029999999999999</v>
      </c>
      <c r="K150" s="271">
        <f t="shared" ref="K150:AO150" si="57">ROUND(K121, $H95)</f>
        <v>6.8029999999999999</v>
      </c>
      <c r="L150" s="271">
        <f t="shared" si="57"/>
        <v>5.95</v>
      </c>
      <c r="M150" s="271">
        <f t="shared" si="57"/>
        <v>5.95</v>
      </c>
      <c r="N150" s="271">
        <f t="shared" si="57"/>
        <v>5.95</v>
      </c>
      <c r="O150" s="271">
        <f t="shared" si="57"/>
        <v>5.95</v>
      </c>
      <c r="P150" s="271">
        <f t="shared" si="57"/>
        <v>5.95</v>
      </c>
      <c r="Q150" s="271">
        <f t="shared" si="57"/>
        <v>5.95</v>
      </c>
      <c r="R150" s="271">
        <f t="shared" si="57"/>
        <v>4.3010000000000002</v>
      </c>
      <c r="S150" s="271">
        <f t="shared" si="57"/>
        <v>4.3010000000000002</v>
      </c>
      <c r="T150" s="271">
        <f t="shared" si="57"/>
        <v>4.3010000000000002</v>
      </c>
      <c r="U150" s="271">
        <f t="shared" si="57"/>
        <v>4.3010000000000002</v>
      </c>
      <c r="V150" s="271">
        <f t="shared" si="57"/>
        <v>4.3010000000000002</v>
      </c>
      <c r="W150" s="271">
        <f t="shared" si="57"/>
        <v>2.964</v>
      </c>
      <c r="X150" s="271">
        <f t="shared" si="57"/>
        <v>2.964</v>
      </c>
      <c r="Y150" s="271">
        <f t="shared" si="57"/>
        <v>2.964</v>
      </c>
      <c r="Z150" s="271">
        <f t="shared" si="57"/>
        <v>2.964</v>
      </c>
      <c r="AA150" s="271">
        <f t="shared" si="57"/>
        <v>2.964</v>
      </c>
      <c r="AB150" s="271">
        <f t="shared" si="57"/>
        <v>1.778</v>
      </c>
      <c r="AC150" s="271">
        <f t="shared" si="57"/>
        <v>1.778</v>
      </c>
      <c r="AD150" s="271">
        <f t="shared" si="57"/>
        <v>1.778</v>
      </c>
      <c r="AE150" s="271">
        <f t="shared" si="57"/>
        <v>1.778</v>
      </c>
      <c r="AF150" s="271">
        <f t="shared" si="57"/>
        <v>1.778</v>
      </c>
      <c r="AG150" s="271">
        <f t="shared" si="57"/>
        <v>20.608000000000001</v>
      </c>
      <c r="AH150" s="271">
        <f t="shared" si="57"/>
        <v>-4.1550000000000002</v>
      </c>
      <c r="AI150" s="271">
        <f t="shared" si="57"/>
        <v>-3.6520000000000001</v>
      </c>
      <c r="AJ150" s="271">
        <f t="shared" si="57"/>
        <v>-4.1550000000000002</v>
      </c>
      <c r="AK150" s="271">
        <f t="shared" si="57"/>
        <v>-4.1550000000000002</v>
      </c>
      <c r="AL150" s="271">
        <f t="shared" si="57"/>
        <v>-3.6520000000000001</v>
      </c>
      <c r="AM150" s="271">
        <f t="shared" si="57"/>
        <v>-3.6520000000000001</v>
      </c>
      <c r="AN150" s="271">
        <f t="shared" si="57"/>
        <v>-2.3889999999999998</v>
      </c>
      <c r="AO150" s="271">
        <f t="shared" si="57"/>
        <v>-2.3889999999999998</v>
      </c>
      <c r="AP150" s="267"/>
      <c r="AQ150" s="267"/>
    </row>
    <row r="151" spans="1:43" x14ac:dyDescent="0.3">
      <c r="E151" s="88"/>
      <c r="F151" t="s">
        <v>159</v>
      </c>
      <c r="G151" t="s">
        <v>271</v>
      </c>
      <c r="H151" s="279"/>
      <c r="I151" s="267"/>
      <c r="J151" s="272">
        <f t="shared" ref="J151:J156" si="58">ROUND(J122, $H96)</f>
        <v>1.2090000000000001</v>
      </c>
      <c r="K151" s="272">
        <f t="shared" ref="K151:AO151" si="59">ROUND(K122, $H96)</f>
        <v>1.2090000000000001</v>
      </c>
      <c r="L151" s="272">
        <f t="shared" si="59"/>
        <v>1.0569999999999999</v>
      </c>
      <c r="M151" s="272">
        <f t="shared" si="59"/>
        <v>1.0569999999999999</v>
      </c>
      <c r="N151" s="272">
        <f t="shared" si="59"/>
        <v>1.0569999999999999</v>
      </c>
      <c r="O151" s="272">
        <f t="shared" si="59"/>
        <v>1.0569999999999999</v>
      </c>
      <c r="P151" s="272">
        <f t="shared" si="59"/>
        <v>1.0569999999999999</v>
      </c>
      <c r="Q151" s="272">
        <f t="shared" si="59"/>
        <v>1.0569999999999999</v>
      </c>
      <c r="R151" s="272">
        <f t="shared" si="59"/>
        <v>0.73699999999999999</v>
      </c>
      <c r="S151" s="272">
        <f t="shared" si="59"/>
        <v>0.73699999999999999</v>
      </c>
      <c r="T151" s="272">
        <f t="shared" si="59"/>
        <v>0.73699999999999999</v>
      </c>
      <c r="U151" s="272">
        <f t="shared" si="59"/>
        <v>0.73699999999999999</v>
      </c>
      <c r="V151" s="272">
        <f t="shared" si="59"/>
        <v>0.73699999999999999</v>
      </c>
      <c r="W151" s="272">
        <f t="shared" si="59"/>
        <v>0.46600000000000003</v>
      </c>
      <c r="X151" s="272">
        <f t="shared" si="59"/>
        <v>0.46600000000000003</v>
      </c>
      <c r="Y151" s="272">
        <f t="shared" si="59"/>
        <v>0.46600000000000003</v>
      </c>
      <c r="Z151" s="272">
        <f t="shared" si="59"/>
        <v>0.46600000000000003</v>
      </c>
      <c r="AA151" s="272">
        <f t="shared" si="59"/>
        <v>0.46600000000000003</v>
      </c>
      <c r="AB151" s="272">
        <f t="shared" si="59"/>
        <v>0.23899999999999999</v>
      </c>
      <c r="AC151" s="272">
        <f t="shared" si="59"/>
        <v>0.23899999999999999</v>
      </c>
      <c r="AD151" s="272">
        <f t="shared" si="59"/>
        <v>0.23899999999999999</v>
      </c>
      <c r="AE151" s="272">
        <f t="shared" si="59"/>
        <v>0.23899999999999999</v>
      </c>
      <c r="AF151" s="272">
        <f t="shared" si="59"/>
        <v>0.23899999999999999</v>
      </c>
      <c r="AG151" s="272">
        <f t="shared" si="59"/>
        <v>2.988</v>
      </c>
      <c r="AH151" s="272">
        <f t="shared" si="59"/>
        <v>-0.73799999999999999</v>
      </c>
      <c r="AI151" s="272">
        <f t="shared" si="59"/>
        <v>-0.63500000000000001</v>
      </c>
      <c r="AJ151" s="272">
        <f t="shared" si="59"/>
        <v>-0.73799999999999999</v>
      </c>
      <c r="AK151" s="272">
        <f t="shared" si="59"/>
        <v>-0.73799999999999999</v>
      </c>
      <c r="AL151" s="272">
        <f t="shared" si="59"/>
        <v>-0.63500000000000001</v>
      </c>
      <c r="AM151" s="272">
        <f t="shared" si="59"/>
        <v>-0.63500000000000001</v>
      </c>
      <c r="AN151" s="272">
        <f t="shared" si="59"/>
        <v>-0.36699999999999999</v>
      </c>
      <c r="AO151" s="272">
        <f t="shared" si="59"/>
        <v>-0.36699999999999999</v>
      </c>
      <c r="AP151" s="267"/>
      <c r="AQ151" s="267"/>
    </row>
    <row r="152" spans="1:43" x14ac:dyDescent="0.3">
      <c r="E152" s="88"/>
      <c r="F152" t="s">
        <v>160</v>
      </c>
      <c r="G152" t="s">
        <v>271</v>
      </c>
      <c r="H152" s="279"/>
      <c r="I152" s="267"/>
      <c r="J152" s="272">
        <f t="shared" si="58"/>
        <v>8.8999999999999996E-2</v>
      </c>
      <c r="K152" s="272">
        <f t="shared" ref="K152:AO152" si="60">ROUND(K123, $H97)</f>
        <v>8.8999999999999996E-2</v>
      </c>
      <c r="L152" s="272">
        <f t="shared" si="60"/>
        <v>7.8E-2</v>
      </c>
      <c r="M152" s="272">
        <f t="shared" si="60"/>
        <v>7.8E-2</v>
      </c>
      <c r="N152" s="272">
        <f t="shared" si="60"/>
        <v>7.8E-2</v>
      </c>
      <c r="O152" s="272">
        <f t="shared" si="60"/>
        <v>7.8E-2</v>
      </c>
      <c r="P152" s="272">
        <f t="shared" si="60"/>
        <v>7.8E-2</v>
      </c>
      <c r="Q152" s="272">
        <f t="shared" si="60"/>
        <v>7.8E-2</v>
      </c>
      <c r="R152" s="272">
        <f t="shared" si="60"/>
        <v>5.3999999999999999E-2</v>
      </c>
      <c r="S152" s="272">
        <f t="shared" si="60"/>
        <v>5.3999999999999999E-2</v>
      </c>
      <c r="T152" s="272">
        <f t="shared" si="60"/>
        <v>5.3999999999999999E-2</v>
      </c>
      <c r="U152" s="272">
        <f t="shared" si="60"/>
        <v>5.3999999999999999E-2</v>
      </c>
      <c r="V152" s="272">
        <f t="shared" si="60"/>
        <v>5.3999999999999999E-2</v>
      </c>
      <c r="W152" s="272">
        <f t="shared" si="60"/>
        <v>3.3000000000000002E-2</v>
      </c>
      <c r="X152" s="272">
        <f t="shared" si="60"/>
        <v>3.3000000000000002E-2</v>
      </c>
      <c r="Y152" s="272">
        <f t="shared" si="60"/>
        <v>3.3000000000000002E-2</v>
      </c>
      <c r="Z152" s="272">
        <f t="shared" si="60"/>
        <v>3.3000000000000002E-2</v>
      </c>
      <c r="AA152" s="272">
        <f t="shared" si="60"/>
        <v>3.3000000000000002E-2</v>
      </c>
      <c r="AB152" s="272">
        <f t="shared" si="60"/>
        <v>1.6E-2</v>
      </c>
      <c r="AC152" s="272">
        <f t="shared" si="60"/>
        <v>1.6E-2</v>
      </c>
      <c r="AD152" s="272">
        <f t="shared" si="60"/>
        <v>1.6E-2</v>
      </c>
      <c r="AE152" s="272">
        <f t="shared" si="60"/>
        <v>1.6E-2</v>
      </c>
      <c r="AF152" s="272">
        <f t="shared" si="60"/>
        <v>1.6E-2</v>
      </c>
      <c r="AG152" s="272">
        <f t="shared" si="60"/>
        <v>1.9179999999999999</v>
      </c>
      <c r="AH152" s="272">
        <f t="shared" si="60"/>
        <v>-5.3999999999999999E-2</v>
      </c>
      <c r="AI152" s="272">
        <f t="shared" si="60"/>
        <v>-4.5999999999999999E-2</v>
      </c>
      <c r="AJ152" s="272">
        <f t="shared" si="60"/>
        <v>-5.3999999999999999E-2</v>
      </c>
      <c r="AK152" s="272">
        <f t="shared" si="60"/>
        <v>-5.3999999999999999E-2</v>
      </c>
      <c r="AL152" s="272">
        <f t="shared" si="60"/>
        <v>-4.5999999999999999E-2</v>
      </c>
      <c r="AM152" s="272">
        <f t="shared" si="60"/>
        <v>-4.5999999999999999E-2</v>
      </c>
      <c r="AN152" s="272">
        <f t="shared" si="60"/>
        <v>-2.5999999999999999E-2</v>
      </c>
      <c r="AO152" s="272">
        <f t="shared" si="60"/>
        <v>-2.5999999999999999E-2</v>
      </c>
      <c r="AP152" s="267"/>
      <c r="AQ152" s="267"/>
    </row>
    <row r="153" spans="1:43" x14ac:dyDescent="0.3">
      <c r="E153" s="88"/>
      <c r="F153" t="s">
        <v>161</v>
      </c>
      <c r="G153" t="s">
        <v>272</v>
      </c>
      <c r="H153" s="51"/>
      <c r="J153" s="121">
        <f t="shared" si="58"/>
        <v>13.33</v>
      </c>
      <c r="K153" s="121">
        <f t="shared" ref="K153:AO153" si="61">ROUND(K124, $H98)</f>
        <v>0</v>
      </c>
      <c r="L153" s="121">
        <f t="shared" si="61"/>
        <v>7.38</v>
      </c>
      <c r="M153" s="121">
        <f t="shared" si="61"/>
        <v>11.46</v>
      </c>
      <c r="N153" s="121">
        <f t="shared" si="61"/>
        <v>28.94</v>
      </c>
      <c r="O153" s="121">
        <f t="shared" si="61"/>
        <v>61.13</v>
      </c>
      <c r="P153" s="121">
        <f t="shared" si="61"/>
        <v>174.91</v>
      </c>
      <c r="Q153" s="121">
        <f t="shared" si="61"/>
        <v>0</v>
      </c>
      <c r="R153" s="121">
        <f t="shared" si="61"/>
        <v>11.44</v>
      </c>
      <c r="S153" s="121">
        <f t="shared" si="61"/>
        <v>297.07</v>
      </c>
      <c r="T153" s="121">
        <f t="shared" si="61"/>
        <v>501.77</v>
      </c>
      <c r="U153" s="121">
        <f t="shared" si="61"/>
        <v>781.95</v>
      </c>
      <c r="V153" s="121">
        <f t="shared" si="61"/>
        <v>1435.83</v>
      </c>
      <c r="W153" s="121">
        <f t="shared" si="61"/>
        <v>8.94</v>
      </c>
      <c r="X153" s="121">
        <f t="shared" si="61"/>
        <v>294.57</v>
      </c>
      <c r="Y153" s="121">
        <f t="shared" si="61"/>
        <v>499.26</v>
      </c>
      <c r="Z153" s="121">
        <f t="shared" si="61"/>
        <v>779.45</v>
      </c>
      <c r="AA153" s="121">
        <f t="shared" si="61"/>
        <v>1433.33</v>
      </c>
      <c r="AB153" s="121">
        <f t="shared" si="61"/>
        <v>82.21</v>
      </c>
      <c r="AC153" s="121">
        <f t="shared" si="61"/>
        <v>1284.3</v>
      </c>
      <c r="AD153" s="121">
        <f t="shared" si="61"/>
        <v>4303.99</v>
      </c>
      <c r="AE153" s="121">
        <f t="shared" si="61"/>
        <v>9425.09</v>
      </c>
      <c r="AF153" s="121">
        <f t="shared" si="61"/>
        <v>24408.959999999999</v>
      </c>
      <c r="AG153" s="121">
        <f t="shared" si="61"/>
        <v>0</v>
      </c>
      <c r="AH153" s="121">
        <f t="shared" si="61"/>
        <v>0</v>
      </c>
      <c r="AI153" s="121">
        <f t="shared" si="61"/>
        <v>0</v>
      </c>
      <c r="AJ153" s="121">
        <f t="shared" si="61"/>
        <v>0</v>
      </c>
      <c r="AK153" s="121">
        <f t="shared" si="61"/>
        <v>0</v>
      </c>
      <c r="AL153" s="121">
        <f t="shared" si="61"/>
        <v>0</v>
      </c>
      <c r="AM153" s="121">
        <f t="shared" si="61"/>
        <v>0</v>
      </c>
      <c r="AN153" s="121">
        <f t="shared" si="61"/>
        <v>51.42</v>
      </c>
      <c r="AO153" s="121">
        <f t="shared" si="61"/>
        <v>51.42</v>
      </c>
    </row>
    <row r="154" spans="1:43" x14ac:dyDescent="0.3">
      <c r="E154" s="88"/>
      <c r="F154" t="s">
        <v>162</v>
      </c>
      <c r="G154" t="s">
        <v>273</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2.91</v>
      </c>
      <c r="S154" s="121">
        <f t="shared" si="62"/>
        <v>2.91</v>
      </c>
      <c r="T154" s="121">
        <f t="shared" si="62"/>
        <v>2.91</v>
      </c>
      <c r="U154" s="121">
        <f t="shared" si="62"/>
        <v>2.91</v>
      </c>
      <c r="V154" s="121">
        <f t="shared" si="62"/>
        <v>2.91</v>
      </c>
      <c r="W154" s="121">
        <f t="shared" si="62"/>
        <v>3.56</v>
      </c>
      <c r="X154" s="121">
        <f t="shared" si="62"/>
        <v>3.56</v>
      </c>
      <c r="Y154" s="121">
        <f t="shared" si="62"/>
        <v>3.56</v>
      </c>
      <c r="Z154" s="121">
        <f t="shared" si="62"/>
        <v>3.56</v>
      </c>
      <c r="AA154" s="121">
        <f t="shared" si="62"/>
        <v>3.56</v>
      </c>
      <c r="AB154" s="121">
        <f t="shared" si="62"/>
        <v>4.32</v>
      </c>
      <c r="AC154" s="121">
        <f t="shared" si="62"/>
        <v>4.32</v>
      </c>
      <c r="AD154" s="121">
        <f t="shared" si="62"/>
        <v>4.32</v>
      </c>
      <c r="AE154" s="121">
        <f t="shared" si="62"/>
        <v>4.32</v>
      </c>
      <c r="AF154" s="121">
        <f t="shared" si="62"/>
        <v>4.32</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163</v>
      </c>
      <c r="G155" t="s">
        <v>273</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5.73</v>
      </c>
      <c r="S155" s="121">
        <f t="shared" si="63"/>
        <v>5.73</v>
      </c>
      <c r="T155" s="121">
        <f t="shared" si="63"/>
        <v>5.73</v>
      </c>
      <c r="U155" s="121">
        <f t="shared" si="63"/>
        <v>5.73</v>
      </c>
      <c r="V155" s="121">
        <f t="shared" si="63"/>
        <v>5.73</v>
      </c>
      <c r="W155" s="121">
        <f t="shared" si="63"/>
        <v>5.36</v>
      </c>
      <c r="X155" s="121">
        <f t="shared" si="63"/>
        <v>5.36</v>
      </c>
      <c r="Y155" s="121">
        <f t="shared" si="63"/>
        <v>5.36</v>
      </c>
      <c r="Z155" s="121">
        <f t="shared" si="63"/>
        <v>5.36</v>
      </c>
      <c r="AA155" s="121">
        <f t="shared" si="63"/>
        <v>5.36</v>
      </c>
      <c r="AB155" s="121">
        <f t="shared" si="63"/>
        <v>6.23</v>
      </c>
      <c r="AC155" s="121">
        <f t="shared" si="63"/>
        <v>6.23</v>
      </c>
      <c r="AD155" s="121">
        <f t="shared" si="63"/>
        <v>6.23</v>
      </c>
      <c r="AE155" s="121">
        <f t="shared" si="63"/>
        <v>6.23</v>
      </c>
      <c r="AF155" s="121">
        <f t="shared" si="63"/>
        <v>6.23</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164</v>
      </c>
      <c r="G156" s="37" t="s">
        <v>274</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0.156</v>
      </c>
      <c r="S156" s="273">
        <f t="shared" si="64"/>
        <v>0.156</v>
      </c>
      <c r="T156" s="273">
        <f t="shared" si="64"/>
        <v>0.156</v>
      </c>
      <c r="U156" s="273">
        <f t="shared" si="64"/>
        <v>0.156</v>
      </c>
      <c r="V156" s="273">
        <f t="shared" si="64"/>
        <v>0.156</v>
      </c>
      <c r="W156" s="273">
        <f t="shared" si="64"/>
        <v>0.109</v>
      </c>
      <c r="X156" s="273">
        <f t="shared" si="64"/>
        <v>0.109</v>
      </c>
      <c r="Y156" s="273">
        <f t="shared" si="64"/>
        <v>0.109</v>
      </c>
      <c r="Z156" s="273">
        <f t="shared" si="64"/>
        <v>0.109</v>
      </c>
      <c r="AA156" s="273">
        <f t="shared" si="64"/>
        <v>0.109</v>
      </c>
      <c r="AB156" s="273">
        <f t="shared" si="64"/>
        <v>5.6000000000000001E-2</v>
      </c>
      <c r="AC156" s="273">
        <f t="shared" si="64"/>
        <v>5.6000000000000001E-2</v>
      </c>
      <c r="AD156" s="273">
        <f t="shared" si="64"/>
        <v>5.6000000000000001E-2</v>
      </c>
      <c r="AE156" s="273">
        <f t="shared" si="64"/>
        <v>5.6000000000000001E-2</v>
      </c>
      <c r="AF156" s="273">
        <f t="shared" si="64"/>
        <v>5.6000000000000001E-2</v>
      </c>
      <c r="AG156" s="273">
        <f t="shared" si="64"/>
        <v>0</v>
      </c>
      <c r="AH156" s="273">
        <f t="shared" si="64"/>
        <v>0</v>
      </c>
      <c r="AI156" s="273">
        <f t="shared" si="64"/>
        <v>0</v>
      </c>
      <c r="AJ156" s="273">
        <f t="shared" si="64"/>
        <v>0.155</v>
      </c>
      <c r="AK156" s="273">
        <f t="shared" si="64"/>
        <v>0</v>
      </c>
      <c r="AL156" s="273">
        <f t="shared" si="64"/>
        <v>0.13100000000000001</v>
      </c>
      <c r="AM156" s="273">
        <f t="shared" si="64"/>
        <v>0</v>
      </c>
      <c r="AN156" s="273">
        <f t="shared" si="64"/>
        <v>0.105</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757</v>
      </c>
      <c r="I158" t="s">
        <v>156</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157</v>
      </c>
    </row>
    <row r="159" spans="1:43" x14ac:dyDescent="0.3">
      <c r="E159" s="88"/>
      <c r="F159" s="23" t="s">
        <v>158</v>
      </c>
      <c r="G159" s="23" t="s">
        <v>271</v>
      </c>
      <c r="H159" s="278"/>
      <c r="I159" s="266"/>
      <c r="J159" s="271">
        <f>ROUND(J130, $H95)</f>
        <v>4.742</v>
      </c>
      <c r="K159" s="271">
        <f t="shared" ref="K159:AO159" si="65">ROUND(K130, $H95)</f>
        <v>4.742</v>
      </c>
      <c r="L159" s="271">
        <f t="shared" si="65"/>
        <v>4.1479999999999997</v>
      </c>
      <c r="M159" s="271">
        <f t="shared" si="65"/>
        <v>4.1479999999999997</v>
      </c>
      <c r="N159" s="271">
        <f t="shared" si="65"/>
        <v>4.1479999999999997</v>
      </c>
      <c r="O159" s="271">
        <f t="shared" si="65"/>
        <v>4.1479999999999997</v>
      </c>
      <c r="P159" s="271">
        <f t="shared" si="65"/>
        <v>4.1479999999999997</v>
      </c>
      <c r="Q159" s="271">
        <f t="shared" si="65"/>
        <v>4.1479999999999997</v>
      </c>
      <c r="R159" s="271">
        <f t="shared" si="65"/>
        <v>2.9980000000000002</v>
      </c>
      <c r="S159" s="271">
        <f t="shared" si="65"/>
        <v>2.9980000000000002</v>
      </c>
      <c r="T159" s="271">
        <f t="shared" si="65"/>
        <v>2.9980000000000002</v>
      </c>
      <c r="U159" s="271">
        <f t="shared" si="65"/>
        <v>2.9980000000000002</v>
      </c>
      <c r="V159" s="271">
        <f t="shared" si="65"/>
        <v>2.9980000000000002</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14.365</v>
      </c>
      <c r="AH159" s="271">
        <f t="shared" si="65"/>
        <v>-4.1550000000000002</v>
      </c>
      <c r="AI159" s="280">
        <f t="shared" si="65"/>
        <v>0</v>
      </c>
      <c r="AJ159" s="271">
        <f t="shared" si="65"/>
        <v>-4.1550000000000002</v>
      </c>
      <c r="AK159" s="280">
        <f t="shared" si="65"/>
        <v>0</v>
      </c>
      <c r="AL159" s="280">
        <f t="shared" si="65"/>
        <v>0</v>
      </c>
      <c r="AM159" s="280">
        <f t="shared" si="65"/>
        <v>0</v>
      </c>
      <c r="AN159" s="280">
        <f t="shared" si="65"/>
        <v>0</v>
      </c>
      <c r="AO159" s="280">
        <f t="shared" si="65"/>
        <v>0</v>
      </c>
      <c r="AP159" s="267"/>
      <c r="AQ159" s="267"/>
    </row>
    <row r="160" spans="1:43" x14ac:dyDescent="0.3">
      <c r="E160" s="88"/>
      <c r="F160" t="s">
        <v>159</v>
      </c>
      <c r="G160" t="s">
        <v>271</v>
      </c>
      <c r="H160" s="279"/>
      <c r="I160" s="267"/>
      <c r="J160" s="272">
        <f t="shared" ref="J160:J165" si="66">ROUND(J131, $H96)</f>
        <v>0.84299999999999997</v>
      </c>
      <c r="K160" s="272">
        <f t="shared" ref="K160:AO160" si="67">ROUND(K131, $H96)</f>
        <v>0.84299999999999997</v>
      </c>
      <c r="L160" s="272">
        <f t="shared" si="67"/>
        <v>0.73699999999999999</v>
      </c>
      <c r="M160" s="272">
        <f t="shared" si="67"/>
        <v>0.73699999999999999</v>
      </c>
      <c r="N160" s="272">
        <f t="shared" si="67"/>
        <v>0.73699999999999999</v>
      </c>
      <c r="O160" s="272">
        <f t="shared" si="67"/>
        <v>0.73699999999999999</v>
      </c>
      <c r="P160" s="272">
        <f t="shared" si="67"/>
        <v>0.73699999999999999</v>
      </c>
      <c r="Q160" s="272">
        <f t="shared" si="67"/>
        <v>0.73699999999999999</v>
      </c>
      <c r="R160" s="272">
        <f t="shared" si="67"/>
        <v>0.51400000000000001</v>
      </c>
      <c r="S160" s="272">
        <f t="shared" si="67"/>
        <v>0.51400000000000001</v>
      </c>
      <c r="T160" s="272">
        <f t="shared" si="67"/>
        <v>0.51400000000000001</v>
      </c>
      <c r="U160" s="272">
        <f t="shared" si="67"/>
        <v>0.51400000000000001</v>
      </c>
      <c r="V160" s="272">
        <f t="shared" si="67"/>
        <v>0.51400000000000001</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2.0830000000000002</v>
      </c>
      <c r="AH160" s="272">
        <f t="shared" si="67"/>
        <v>-0.73799999999999999</v>
      </c>
      <c r="AI160" s="268">
        <f t="shared" si="67"/>
        <v>0</v>
      </c>
      <c r="AJ160" s="272">
        <f t="shared" si="67"/>
        <v>-0.73799999999999999</v>
      </c>
      <c r="AK160" s="268">
        <f t="shared" si="67"/>
        <v>0</v>
      </c>
      <c r="AL160" s="268">
        <f t="shared" si="67"/>
        <v>0</v>
      </c>
      <c r="AM160" s="268">
        <f t="shared" si="67"/>
        <v>0</v>
      </c>
      <c r="AN160" s="268">
        <f t="shared" si="67"/>
        <v>0</v>
      </c>
      <c r="AO160" s="268">
        <f t="shared" si="67"/>
        <v>0</v>
      </c>
      <c r="AP160" s="267"/>
      <c r="AQ160" s="267"/>
    </row>
    <row r="161" spans="2:43" x14ac:dyDescent="0.3">
      <c r="E161" s="88"/>
      <c r="F161" t="s">
        <v>160</v>
      </c>
      <c r="G161" t="s">
        <v>271</v>
      </c>
      <c r="H161" s="279"/>
      <c r="I161" s="267"/>
      <c r="J161" s="272">
        <f t="shared" si="66"/>
        <v>6.2E-2</v>
      </c>
      <c r="K161" s="272">
        <f t="shared" ref="K161:AO161" si="68">ROUND(K132, $H97)</f>
        <v>6.2E-2</v>
      </c>
      <c r="L161" s="272">
        <f t="shared" si="68"/>
        <v>5.3999999999999999E-2</v>
      </c>
      <c r="M161" s="272">
        <f t="shared" si="68"/>
        <v>5.3999999999999999E-2</v>
      </c>
      <c r="N161" s="272">
        <f t="shared" si="68"/>
        <v>5.3999999999999999E-2</v>
      </c>
      <c r="O161" s="272">
        <f t="shared" si="68"/>
        <v>5.3999999999999999E-2</v>
      </c>
      <c r="P161" s="272">
        <f t="shared" si="68"/>
        <v>5.3999999999999999E-2</v>
      </c>
      <c r="Q161" s="272">
        <f t="shared" si="68"/>
        <v>5.3999999999999999E-2</v>
      </c>
      <c r="R161" s="272">
        <f t="shared" si="68"/>
        <v>3.6999999999999998E-2</v>
      </c>
      <c r="S161" s="272">
        <f t="shared" si="68"/>
        <v>3.6999999999999998E-2</v>
      </c>
      <c r="T161" s="272">
        <f t="shared" si="68"/>
        <v>3.6999999999999998E-2</v>
      </c>
      <c r="U161" s="272">
        <f t="shared" si="68"/>
        <v>3.6999999999999998E-2</v>
      </c>
      <c r="V161" s="272">
        <f t="shared" si="68"/>
        <v>3.6999999999999998E-2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1.337</v>
      </c>
      <c r="AH161" s="272">
        <f t="shared" si="68"/>
        <v>-5.3999999999999999E-2</v>
      </c>
      <c r="AI161" s="268">
        <f t="shared" si="68"/>
        <v>0</v>
      </c>
      <c r="AJ161" s="272">
        <f t="shared" si="68"/>
        <v>-5.3999999999999999E-2</v>
      </c>
      <c r="AK161" s="268">
        <f t="shared" si="68"/>
        <v>0</v>
      </c>
      <c r="AL161" s="268">
        <f t="shared" si="68"/>
        <v>0</v>
      </c>
      <c r="AM161" s="268">
        <f t="shared" si="68"/>
        <v>0</v>
      </c>
      <c r="AN161" s="268">
        <f t="shared" si="68"/>
        <v>0</v>
      </c>
      <c r="AO161" s="268">
        <f t="shared" si="68"/>
        <v>0</v>
      </c>
      <c r="AP161" s="267"/>
      <c r="AQ161" s="267"/>
    </row>
    <row r="162" spans="2:43" x14ac:dyDescent="0.3">
      <c r="E162" s="88"/>
      <c r="F162" t="s">
        <v>161</v>
      </c>
      <c r="G162" t="s">
        <v>272</v>
      </c>
      <c r="H162" s="51"/>
      <c r="J162" s="121">
        <f t="shared" si="66"/>
        <v>9.31</v>
      </c>
      <c r="K162" s="121">
        <f t="shared" ref="K162:AO162" si="69">ROUND(K133, $H98)</f>
        <v>0</v>
      </c>
      <c r="L162" s="121">
        <f t="shared" si="69"/>
        <v>5.16</v>
      </c>
      <c r="M162" s="121">
        <f t="shared" si="69"/>
        <v>8</v>
      </c>
      <c r="N162" s="121">
        <f t="shared" si="69"/>
        <v>20.190000000000001</v>
      </c>
      <c r="O162" s="121">
        <f t="shared" si="69"/>
        <v>42.63</v>
      </c>
      <c r="P162" s="121">
        <f t="shared" si="69"/>
        <v>121.93</v>
      </c>
      <c r="Q162" s="121">
        <f t="shared" si="69"/>
        <v>0</v>
      </c>
      <c r="R162" s="121">
        <f t="shared" si="69"/>
        <v>7.99</v>
      </c>
      <c r="S162" s="121">
        <f t="shared" si="69"/>
        <v>207.09</v>
      </c>
      <c r="T162" s="121">
        <f t="shared" si="69"/>
        <v>349.78</v>
      </c>
      <c r="U162" s="121">
        <f t="shared" si="69"/>
        <v>545.08000000000004</v>
      </c>
      <c r="V162" s="121">
        <f t="shared" si="69"/>
        <v>1000.88</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162</v>
      </c>
      <c r="G163" t="s">
        <v>273</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2.0299999999999998</v>
      </c>
      <c r="S163" s="121">
        <f t="shared" si="70"/>
        <v>2.0299999999999998</v>
      </c>
      <c r="T163" s="121">
        <f t="shared" si="70"/>
        <v>2.0299999999999998</v>
      </c>
      <c r="U163" s="121">
        <f t="shared" si="70"/>
        <v>2.0299999999999998</v>
      </c>
      <c r="V163" s="121">
        <f t="shared" si="70"/>
        <v>2.0299999999999998</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163</v>
      </c>
      <c r="G164" t="s">
        <v>273</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4</v>
      </c>
      <c r="S164" s="121">
        <f t="shared" si="71"/>
        <v>4</v>
      </c>
      <c r="T164" s="121">
        <f t="shared" si="71"/>
        <v>4</v>
      </c>
      <c r="U164" s="121">
        <f t="shared" si="71"/>
        <v>4</v>
      </c>
      <c r="V164" s="121">
        <f t="shared" si="71"/>
        <v>4</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164</v>
      </c>
      <c r="G165" s="37" t="s">
        <v>274</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0.109</v>
      </c>
      <c r="S165" s="273">
        <f t="shared" si="72"/>
        <v>0.109</v>
      </c>
      <c r="T165" s="273">
        <f t="shared" si="72"/>
        <v>0.109</v>
      </c>
      <c r="U165" s="273">
        <f t="shared" si="72"/>
        <v>0.109</v>
      </c>
      <c r="V165" s="273">
        <f t="shared" si="72"/>
        <v>0.109</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0.155</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758</v>
      </c>
      <c r="I167" t="s">
        <v>156</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157</v>
      </c>
    </row>
    <row r="168" spans="2:43" x14ac:dyDescent="0.3">
      <c r="C168" s="88"/>
      <c r="F168" s="23" t="s">
        <v>158</v>
      </c>
      <c r="G168" s="23" t="s">
        <v>271</v>
      </c>
      <c r="H168" s="278"/>
      <c r="I168" s="266"/>
      <c r="J168" s="271">
        <f t="shared" ref="J168" si="73">ROUND( J139, $H95)</f>
        <v>3.8079999999999998</v>
      </c>
      <c r="K168" s="271">
        <f t="shared" ref="K168:AO168" si="74">ROUND( K139, $H95)</f>
        <v>3.8079999999999998</v>
      </c>
      <c r="L168" s="271">
        <f t="shared" si="74"/>
        <v>3.33</v>
      </c>
      <c r="M168" s="271">
        <f t="shared" si="74"/>
        <v>3.33</v>
      </c>
      <c r="N168" s="271">
        <f t="shared" si="74"/>
        <v>3.33</v>
      </c>
      <c r="O168" s="271">
        <f t="shared" si="74"/>
        <v>3.33</v>
      </c>
      <c r="P168" s="271">
        <f t="shared" si="74"/>
        <v>3.33</v>
      </c>
      <c r="Q168" s="271">
        <f t="shared" si="74"/>
        <v>3.33</v>
      </c>
      <c r="R168" s="271">
        <f t="shared" si="74"/>
        <v>2.4079999999999999</v>
      </c>
      <c r="S168" s="271">
        <f t="shared" si="74"/>
        <v>2.4079999999999999</v>
      </c>
      <c r="T168" s="271">
        <f t="shared" si="74"/>
        <v>2.4079999999999999</v>
      </c>
      <c r="U168" s="271">
        <f t="shared" si="74"/>
        <v>2.4079999999999999</v>
      </c>
      <c r="V168" s="271">
        <f t="shared" si="74"/>
        <v>2.4079999999999999</v>
      </c>
      <c r="W168" s="271">
        <f t="shared" si="74"/>
        <v>2.423</v>
      </c>
      <c r="X168" s="271">
        <f t="shared" si="74"/>
        <v>2.423</v>
      </c>
      <c r="Y168" s="271">
        <f t="shared" si="74"/>
        <v>2.423</v>
      </c>
      <c r="Z168" s="271">
        <f t="shared" si="74"/>
        <v>2.423</v>
      </c>
      <c r="AA168" s="271">
        <f t="shared" si="74"/>
        <v>2.423</v>
      </c>
      <c r="AB168" s="271">
        <f t="shared" si="74"/>
        <v>1.6479999999999999</v>
      </c>
      <c r="AC168" s="271">
        <f t="shared" si="74"/>
        <v>1.6479999999999999</v>
      </c>
      <c r="AD168" s="271">
        <f t="shared" si="74"/>
        <v>1.6479999999999999</v>
      </c>
      <c r="AE168" s="271">
        <f t="shared" si="74"/>
        <v>1.6479999999999999</v>
      </c>
      <c r="AF168" s="271">
        <f t="shared" si="74"/>
        <v>1.6479999999999999</v>
      </c>
      <c r="AG168" s="271">
        <f t="shared" si="74"/>
        <v>11.534000000000001</v>
      </c>
      <c r="AH168" s="271">
        <f t="shared" si="74"/>
        <v>-4.1550000000000002</v>
      </c>
      <c r="AI168" s="271">
        <f t="shared" si="74"/>
        <v>-3.6520000000000001</v>
      </c>
      <c r="AJ168" s="271">
        <f t="shared" si="74"/>
        <v>-4.1550000000000002</v>
      </c>
      <c r="AK168" s="280">
        <f t="shared" si="74"/>
        <v>0</v>
      </c>
      <c r="AL168" s="271">
        <f t="shared" si="74"/>
        <v>-3.6520000000000001</v>
      </c>
      <c r="AM168" s="280">
        <f t="shared" si="74"/>
        <v>0</v>
      </c>
      <c r="AN168" s="271">
        <f t="shared" si="74"/>
        <v>-2.3889999999999998</v>
      </c>
      <c r="AO168" s="280">
        <f t="shared" si="74"/>
        <v>0</v>
      </c>
      <c r="AP168" s="267"/>
      <c r="AQ168" s="267"/>
    </row>
    <row r="169" spans="2:43" x14ac:dyDescent="0.3">
      <c r="C169" s="88"/>
      <c r="F169" t="s">
        <v>159</v>
      </c>
      <c r="G169" t="s">
        <v>271</v>
      </c>
      <c r="H169" s="279"/>
      <c r="I169" s="267"/>
      <c r="J169" s="272">
        <f t="shared" ref="J169:J174" si="75">ROUND( J140, $H96)</f>
        <v>0.67700000000000005</v>
      </c>
      <c r="K169" s="272">
        <f t="shared" ref="K169:AO169" si="76">ROUND( K140, $H96)</f>
        <v>0.67700000000000005</v>
      </c>
      <c r="L169" s="272">
        <f t="shared" si="76"/>
        <v>0.59199999999999997</v>
      </c>
      <c r="M169" s="272">
        <f t="shared" si="76"/>
        <v>0.59199999999999997</v>
      </c>
      <c r="N169" s="272">
        <f t="shared" si="76"/>
        <v>0.59199999999999997</v>
      </c>
      <c r="O169" s="272">
        <f t="shared" si="76"/>
        <v>0.59199999999999997</v>
      </c>
      <c r="P169" s="272">
        <f t="shared" si="76"/>
        <v>0.59199999999999997</v>
      </c>
      <c r="Q169" s="272">
        <f t="shared" si="76"/>
        <v>0.59199999999999997</v>
      </c>
      <c r="R169" s="272">
        <f t="shared" si="76"/>
        <v>0.41299999999999998</v>
      </c>
      <c r="S169" s="272">
        <f t="shared" si="76"/>
        <v>0.41299999999999998</v>
      </c>
      <c r="T169" s="272">
        <f t="shared" si="76"/>
        <v>0.41299999999999998</v>
      </c>
      <c r="U169" s="272">
        <f t="shared" si="76"/>
        <v>0.41299999999999998</v>
      </c>
      <c r="V169" s="272">
        <f t="shared" si="76"/>
        <v>0.41299999999999998</v>
      </c>
      <c r="W169" s="272">
        <f t="shared" si="76"/>
        <v>0.38100000000000001</v>
      </c>
      <c r="X169" s="272">
        <f t="shared" si="76"/>
        <v>0.38100000000000001</v>
      </c>
      <c r="Y169" s="272">
        <f t="shared" si="76"/>
        <v>0.38100000000000001</v>
      </c>
      <c r="Z169" s="272">
        <f t="shared" si="76"/>
        <v>0.38100000000000001</v>
      </c>
      <c r="AA169" s="272">
        <f t="shared" si="76"/>
        <v>0.38100000000000001</v>
      </c>
      <c r="AB169" s="272">
        <f t="shared" si="76"/>
        <v>0.221</v>
      </c>
      <c r="AC169" s="272">
        <f t="shared" si="76"/>
        <v>0.221</v>
      </c>
      <c r="AD169" s="272">
        <f t="shared" si="76"/>
        <v>0.221</v>
      </c>
      <c r="AE169" s="272">
        <f t="shared" si="76"/>
        <v>0.221</v>
      </c>
      <c r="AF169" s="272">
        <f t="shared" si="76"/>
        <v>0.221</v>
      </c>
      <c r="AG169" s="272">
        <f t="shared" si="76"/>
        <v>1.673</v>
      </c>
      <c r="AH169" s="272">
        <f t="shared" si="76"/>
        <v>-0.73799999999999999</v>
      </c>
      <c r="AI169" s="272">
        <f t="shared" si="76"/>
        <v>-0.63500000000000001</v>
      </c>
      <c r="AJ169" s="272">
        <f t="shared" si="76"/>
        <v>-0.73799999999999999</v>
      </c>
      <c r="AK169" s="268">
        <f t="shared" si="76"/>
        <v>0</v>
      </c>
      <c r="AL169" s="272">
        <f t="shared" si="76"/>
        <v>-0.63500000000000001</v>
      </c>
      <c r="AM169" s="268">
        <f t="shared" si="76"/>
        <v>0</v>
      </c>
      <c r="AN169" s="272">
        <f t="shared" si="76"/>
        <v>-0.36699999999999999</v>
      </c>
      <c r="AO169" s="268">
        <f t="shared" si="76"/>
        <v>0</v>
      </c>
      <c r="AP169" s="267"/>
      <c r="AQ169" s="267"/>
    </row>
    <row r="170" spans="2:43" x14ac:dyDescent="0.3">
      <c r="C170" s="88"/>
      <c r="F170" t="s">
        <v>160</v>
      </c>
      <c r="G170" t="s">
        <v>271</v>
      </c>
      <c r="H170" s="279"/>
      <c r="I170" s="267"/>
      <c r="J170" s="272">
        <f t="shared" si="75"/>
        <v>0.05</v>
      </c>
      <c r="K170" s="272">
        <f t="shared" ref="K170:AO170" si="77">ROUND( K141, $H97)</f>
        <v>0.05</v>
      </c>
      <c r="L170" s="272">
        <f t="shared" si="77"/>
        <v>4.2999999999999997E-2</v>
      </c>
      <c r="M170" s="272">
        <f t="shared" si="77"/>
        <v>4.2999999999999997E-2</v>
      </c>
      <c r="N170" s="272">
        <f t="shared" si="77"/>
        <v>4.2999999999999997E-2</v>
      </c>
      <c r="O170" s="272">
        <f t="shared" si="77"/>
        <v>4.2999999999999997E-2</v>
      </c>
      <c r="P170" s="272">
        <f t="shared" si="77"/>
        <v>4.2999999999999997E-2</v>
      </c>
      <c r="Q170" s="272">
        <f t="shared" si="77"/>
        <v>4.2999999999999997E-2</v>
      </c>
      <c r="R170" s="272">
        <f t="shared" si="77"/>
        <v>0.03</v>
      </c>
      <c r="S170" s="272">
        <f t="shared" si="77"/>
        <v>0.03</v>
      </c>
      <c r="T170" s="272">
        <f t="shared" si="77"/>
        <v>0.03</v>
      </c>
      <c r="U170" s="272">
        <f t="shared" si="77"/>
        <v>0.03</v>
      </c>
      <c r="V170" s="272">
        <f t="shared" si="77"/>
        <v>0.03</v>
      </c>
      <c r="W170" s="272">
        <f t="shared" si="77"/>
        <v>2.7E-2</v>
      </c>
      <c r="X170" s="272">
        <f t="shared" si="77"/>
        <v>2.7E-2</v>
      </c>
      <c r="Y170" s="272">
        <f t="shared" si="77"/>
        <v>2.7E-2</v>
      </c>
      <c r="Z170" s="272">
        <f t="shared" si="77"/>
        <v>2.7E-2</v>
      </c>
      <c r="AA170" s="272">
        <f t="shared" si="77"/>
        <v>2.7E-2</v>
      </c>
      <c r="AB170" s="272">
        <f t="shared" si="77"/>
        <v>1.4999999999999999E-2</v>
      </c>
      <c r="AC170" s="272">
        <f t="shared" si="77"/>
        <v>1.4999999999999999E-2</v>
      </c>
      <c r="AD170" s="272">
        <f t="shared" si="77"/>
        <v>1.4999999999999999E-2</v>
      </c>
      <c r="AE170" s="272">
        <f t="shared" si="77"/>
        <v>1.4999999999999999E-2</v>
      </c>
      <c r="AF170" s="272">
        <f t="shared" si="77"/>
        <v>1.4999999999999999E-2</v>
      </c>
      <c r="AG170" s="272">
        <f t="shared" si="77"/>
        <v>1.0740000000000001</v>
      </c>
      <c r="AH170" s="272">
        <f t="shared" si="77"/>
        <v>-5.3999999999999999E-2</v>
      </c>
      <c r="AI170" s="272">
        <f t="shared" si="77"/>
        <v>-4.5999999999999999E-2</v>
      </c>
      <c r="AJ170" s="272">
        <f t="shared" si="77"/>
        <v>-5.3999999999999999E-2</v>
      </c>
      <c r="AK170" s="268">
        <f t="shared" si="77"/>
        <v>0</v>
      </c>
      <c r="AL170" s="272">
        <f t="shared" si="77"/>
        <v>-4.5999999999999999E-2</v>
      </c>
      <c r="AM170" s="268">
        <f t="shared" si="77"/>
        <v>0</v>
      </c>
      <c r="AN170" s="272">
        <f t="shared" si="77"/>
        <v>-2.5999999999999999E-2</v>
      </c>
      <c r="AO170" s="268">
        <f t="shared" si="77"/>
        <v>0</v>
      </c>
      <c r="AP170" s="267"/>
      <c r="AQ170" s="267"/>
    </row>
    <row r="171" spans="2:43" x14ac:dyDescent="0.3">
      <c r="C171" s="88"/>
      <c r="F171" t="s">
        <v>161</v>
      </c>
      <c r="G171" t="s">
        <v>272</v>
      </c>
      <c r="H171" s="51"/>
      <c r="J171" s="121">
        <f t="shared" si="75"/>
        <v>7.49</v>
      </c>
      <c r="K171" s="121">
        <f t="shared" ref="K171:AO171" si="78">ROUND( K142, $H98)</f>
        <v>0</v>
      </c>
      <c r="L171" s="121">
        <f t="shared" si="78"/>
        <v>4.1500000000000004</v>
      </c>
      <c r="M171" s="121">
        <f t="shared" si="78"/>
        <v>6.43</v>
      </c>
      <c r="N171" s="121">
        <f t="shared" si="78"/>
        <v>16.22</v>
      </c>
      <c r="O171" s="121">
        <f t="shared" si="78"/>
        <v>34.229999999999997</v>
      </c>
      <c r="P171" s="121">
        <f t="shared" si="78"/>
        <v>97.91</v>
      </c>
      <c r="Q171" s="121">
        <f t="shared" si="78"/>
        <v>0</v>
      </c>
      <c r="R171" s="121">
        <f t="shared" si="78"/>
        <v>6.42</v>
      </c>
      <c r="S171" s="121">
        <f t="shared" si="78"/>
        <v>166.29</v>
      </c>
      <c r="T171" s="121">
        <f t="shared" si="78"/>
        <v>280.85000000000002</v>
      </c>
      <c r="U171" s="121">
        <f t="shared" si="78"/>
        <v>437.67</v>
      </c>
      <c r="V171" s="121">
        <f t="shared" si="78"/>
        <v>803.65</v>
      </c>
      <c r="W171" s="121">
        <f t="shared" si="78"/>
        <v>7.32</v>
      </c>
      <c r="X171" s="121">
        <f t="shared" si="78"/>
        <v>240.8</v>
      </c>
      <c r="Y171" s="121">
        <f t="shared" si="78"/>
        <v>408.14</v>
      </c>
      <c r="Z171" s="121">
        <f t="shared" si="78"/>
        <v>637.17999999999995</v>
      </c>
      <c r="AA171" s="121">
        <f t="shared" si="78"/>
        <v>1171.69</v>
      </c>
      <c r="AB171" s="121">
        <f t="shared" si="78"/>
        <v>76.17</v>
      </c>
      <c r="AC171" s="121">
        <f t="shared" si="78"/>
        <v>1189.93</v>
      </c>
      <c r="AD171" s="121">
        <f t="shared" si="78"/>
        <v>3987.7</v>
      </c>
      <c r="AE171" s="121">
        <f t="shared" si="78"/>
        <v>8732.4699999999993</v>
      </c>
      <c r="AF171" s="121">
        <f t="shared" si="78"/>
        <v>22615.23</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162</v>
      </c>
      <c r="G172" t="s">
        <v>273</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1.63</v>
      </c>
      <c r="S172" s="121">
        <f t="shared" si="79"/>
        <v>1.63</v>
      </c>
      <c r="T172" s="121">
        <f t="shared" si="79"/>
        <v>1.63</v>
      </c>
      <c r="U172" s="121">
        <f t="shared" si="79"/>
        <v>1.63</v>
      </c>
      <c r="V172" s="121">
        <f t="shared" si="79"/>
        <v>1.63</v>
      </c>
      <c r="W172" s="121">
        <f t="shared" si="79"/>
        <v>2.91</v>
      </c>
      <c r="X172" s="121">
        <f t="shared" si="79"/>
        <v>2.91</v>
      </c>
      <c r="Y172" s="121">
        <f t="shared" si="79"/>
        <v>2.91</v>
      </c>
      <c r="Z172" s="121">
        <f t="shared" si="79"/>
        <v>2.91</v>
      </c>
      <c r="AA172" s="121">
        <f t="shared" si="79"/>
        <v>2.91</v>
      </c>
      <c r="AB172" s="121">
        <f t="shared" si="79"/>
        <v>4</v>
      </c>
      <c r="AC172" s="121">
        <f t="shared" si="79"/>
        <v>4</v>
      </c>
      <c r="AD172" s="121">
        <f t="shared" si="79"/>
        <v>4</v>
      </c>
      <c r="AE172" s="121">
        <f t="shared" si="79"/>
        <v>4</v>
      </c>
      <c r="AF172" s="121">
        <f t="shared" si="79"/>
        <v>4</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163</v>
      </c>
      <c r="G173" t="s">
        <v>273</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3.21</v>
      </c>
      <c r="S173" s="121">
        <f t="shared" si="80"/>
        <v>3.21</v>
      </c>
      <c r="T173" s="121">
        <f t="shared" si="80"/>
        <v>3.21</v>
      </c>
      <c r="U173" s="121">
        <f t="shared" si="80"/>
        <v>3.21</v>
      </c>
      <c r="V173" s="121">
        <f t="shared" si="80"/>
        <v>3.21</v>
      </c>
      <c r="W173" s="121">
        <f t="shared" si="80"/>
        <v>4.38</v>
      </c>
      <c r="X173" s="121">
        <f t="shared" si="80"/>
        <v>4.38</v>
      </c>
      <c r="Y173" s="121">
        <f t="shared" si="80"/>
        <v>4.38</v>
      </c>
      <c r="Z173" s="121">
        <f t="shared" si="80"/>
        <v>4.38</v>
      </c>
      <c r="AA173" s="121">
        <f t="shared" si="80"/>
        <v>4.38</v>
      </c>
      <c r="AB173" s="121">
        <f t="shared" si="80"/>
        <v>5.78</v>
      </c>
      <c r="AC173" s="121">
        <f t="shared" si="80"/>
        <v>5.78</v>
      </c>
      <c r="AD173" s="121">
        <f t="shared" si="80"/>
        <v>5.78</v>
      </c>
      <c r="AE173" s="121">
        <f t="shared" si="80"/>
        <v>5.78</v>
      </c>
      <c r="AF173" s="121">
        <f t="shared" si="80"/>
        <v>5.78</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164</v>
      </c>
      <c r="G174" s="37" t="s">
        <v>274</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8.6999999999999994E-2</v>
      </c>
      <c r="S174" s="273">
        <f t="shared" si="81"/>
        <v>8.6999999999999994E-2</v>
      </c>
      <c r="T174" s="273">
        <f t="shared" si="81"/>
        <v>8.6999999999999994E-2</v>
      </c>
      <c r="U174" s="273">
        <f t="shared" si="81"/>
        <v>8.6999999999999994E-2</v>
      </c>
      <c r="V174" s="273">
        <f t="shared" si="81"/>
        <v>8.6999999999999994E-2</v>
      </c>
      <c r="W174" s="273">
        <f t="shared" si="81"/>
        <v>8.8999999999999996E-2</v>
      </c>
      <c r="X174" s="273">
        <f t="shared" si="81"/>
        <v>8.8999999999999996E-2</v>
      </c>
      <c r="Y174" s="273">
        <f t="shared" si="81"/>
        <v>8.8999999999999996E-2</v>
      </c>
      <c r="Z174" s="273">
        <f t="shared" si="81"/>
        <v>8.8999999999999996E-2</v>
      </c>
      <c r="AA174" s="273">
        <f t="shared" si="81"/>
        <v>8.8999999999999996E-2</v>
      </c>
      <c r="AB174" s="273">
        <f t="shared" si="81"/>
        <v>5.1999999999999998E-2</v>
      </c>
      <c r="AC174" s="273">
        <f t="shared" si="81"/>
        <v>5.1999999999999998E-2</v>
      </c>
      <c r="AD174" s="273">
        <f t="shared" si="81"/>
        <v>5.1999999999999998E-2</v>
      </c>
      <c r="AE174" s="273">
        <f t="shared" si="81"/>
        <v>5.1999999999999998E-2</v>
      </c>
      <c r="AF174" s="273">
        <f t="shared" si="81"/>
        <v>5.1999999999999998E-2</v>
      </c>
      <c r="AG174" s="273">
        <f t="shared" si="81"/>
        <v>0</v>
      </c>
      <c r="AH174" s="273">
        <f t="shared" si="81"/>
        <v>0</v>
      </c>
      <c r="AI174" s="273">
        <f t="shared" si="81"/>
        <v>0</v>
      </c>
      <c r="AJ174" s="273">
        <f t="shared" si="81"/>
        <v>0.155</v>
      </c>
      <c r="AK174" s="270">
        <f t="shared" si="81"/>
        <v>0</v>
      </c>
      <c r="AL174" s="273">
        <f t="shared" si="81"/>
        <v>0.13100000000000001</v>
      </c>
      <c r="AM174" s="270">
        <f t="shared" si="81"/>
        <v>0</v>
      </c>
      <c r="AN174" s="273">
        <f t="shared" si="81"/>
        <v>0.105</v>
      </c>
      <c r="AO174" s="270">
        <f t="shared" si="81"/>
        <v>0</v>
      </c>
      <c r="AP174" s="267"/>
      <c r="AQ174" s="267"/>
    </row>
    <row r="175" spans="2:43" x14ac:dyDescent="0.3">
      <c r="C175" s="88"/>
    </row>
    <row r="176" spans="2:43" x14ac:dyDescent="0.3">
      <c r="B176" s="30" t="s">
        <v>233</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234</v>
      </c>
      <c r="G178" s="6" t="s">
        <v>57</v>
      </c>
      <c r="H178" s="103">
        <f t="array" ref="H178">SUM(IF(ISERROR(H20:AO174), 1))</f>
        <v>0</v>
      </c>
    </row>
    <row r="180" spans="2:43" x14ac:dyDescent="0.3">
      <c r="B180" s="30" t="s">
        <v>108</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J5" s="114" t="s">
        <v>915</v>
      </c>
      <c r="K5" s="114" t="s">
        <v>833</v>
      </c>
      <c r="L5" s="114" t="s">
        <v>916</v>
      </c>
      <c r="M5" s="114" t="s">
        <v>917</v>
      </c>
      <c r="N5" s="114" t="s">
        <v>918</v>
      </c>
      <c r="O5" s="114" t="s">
        <v>919</v>
      </c>
      <c r="P5" s="114" t="s">
        <v>920</v>
      </c>
      <c r="Q5" s="114" t="s">
        <v>834</v>
      </c>
      <c r="R5" s="114" t="s">
        <v>921</v>
      </c>
      <c r="S5" s="114" t="s">
        <v>922</v>
      </c>
      <c r="T5" s="114" t="s">
        <v>923</v>
      </c>
      <c r="U5" s="114" t="s">
        <v>924</v>
      </c>
      <c r="V5" s="114" t="s">
        <v>925</v>
      </c>
      <c r="W5" s="114" t="s">
        <v>926</v>
      </c>
      <c r="X5" s="114" t="s">
        <v>927</v>
      </c>
      <c r="Y5" s="114" t="s">
        <v>928</v>
      </c>
      <c r="Z5" s="114" t="s">
        <v>929</v>
      </c>
      <c r="AA5" s="114" t="s">
        <v>930</v>
      </c>
      <c r="AB5" s="114" t="s">
        <v>931</v>
      </c>
      <c r="AC5" s="114" t="s">
        <v>932</v>
      </c>
      <c r="AD5" s="114" t="s">
        <v>933</v>
      </c>
      <c r="AE5" s="114" t="s">
        <v>934</v>
      </c>
      <c r="AF5" s="114" t="s">
        <v>935</v>
      </c>
      <c r="AG5" s="114" t="s">
        <v>843</v>
      </c>
      <c r="AH5" s="114" t="s">
        <v>835</v>
      </c>
      <c r="AI5" s="114" t="s">
        <v>836</v>
      </c>
      <c r="AJ5" s="114" t="s">
        <v>837</v>
      </c>
      <c r="AK5" s="114" t="s">
        <v>846</v>
      </c>
      <c r="AL5" s="114" t="s">
        <v>838</v>
      </c>
      <c r="AM5" s="114" t="s">
        <v>845</v>
      </c>
      <c r="AN5" s="114" t="s">
        <v>839</v>
      </c>
      <c r="AO5" s="114"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759</v>
      </c>
    </row>
    <row r="10" spans="1:43" x14ac:dyDescent="0.3">
      <c r="C10" s="28"/>
    </row>
    <row r="11" spans="1:43" x14ac:dyDescent="0.3">
      <c r="B11" s="30" t="s">
        <v>760</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1012</v>
      </c>
      <c r="G15" s="378" t="s">
        <v>151</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946</v>
      </c>
      <c r="G17" s="378" t="s">
        <v>151</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247</v>
      </c>
      <c r="I19" t="s">
        <v>156</v>
      </c>
      <c r="AQ19" t="s">
        <v>248</v>
      </c>
    </row>
    <row r="20" spans="1:43" x14ac:dyDescent="0.3">
      <c r="A20" s="320"/>
      <c r="E20" s="32"/>
      <c r="F20" s="29" t="s">
        <v>1041</v>
      </c>
    </row>
    <row r="21" spans="1:43" x14ac:dyDescent="0.3">
      <c r="A21" s="320"/>
      <c r="E21" s="32"/>
      <c r="F21" s="29" t="s">
        <v>1037</v>
      </c>
    </row>
    <row r="22" spans="1:43" x14ac:dyDescent="0.3">
      <c r="A22" s="320"/>
      <c r="F22" s="78" t="s">
        <v>249</v>
      </c>
      <c r="G22" s="78" t="s">
        <v>209</v>
      </c>
      <c r="H22" s="325">
        <v>0</v>
      </c>
      <c r="I22" s="23"/>
      <c r="J22" s="193">
        <f>INDEX('Volume adjustments'!$J$527:$Y$567,J$17 + 1 + $H22*$H$28, J$15)</f>
        <v>963611.57957705879</v>
      </c>
      <c r="K22" s="193">
        <f>INDEX('Volume adjustments'!$J$527:$Y$567,K$17 + 1 + $H22*$H$28, K$15)</f>
        <v>907.55296879515561</v>
      </c>
      <c r="L22" s="193">
        <f>INDEX('Volume adjustments'!$J$527:$Y$567,L$17 + 1 + $H22*$H$28, L$15)</f>
        <v>0</v>
      </c>
      <c r="M22" s="193">
        <f>INDEX('Volume adjustments'!$J$527:$Y$567,M$17 + 1 + $H22*$H$28, M$15)</f>
        <v>10077.067617770306</v>
      </c>
      <c r="N22" s="193">
        <f>INDEX('Volume adjustments'!$J$527:$Y$567,N$17 + 1 + $H22*$H$28, N$15)</f>
        <v>46380.797342607533</v>
      </c>
      <c r="O22" s="193">
        <f>INDEX('Volume adjustments'!$J$527:$Y$567,O$17 + 1 + $H22*$H$28, O$15)</f>
        <v>57407.439884495587</v>
      </c>
      <c r="P22" s="193">
        <f>INDEX('Volume adjustments'!$J$527:$Y$567,P$17 + 1 + $H22*$H$28, P$15)</f>
        <v>203593.86779338852</v>
      </c>
      <c r="Q22" s="193">
        <f>INDEX('Volume adjustments'!$J$527:$Y$567,Q$17 + 1 + $H22*$H$28, Q$15)</f>
        <v>38.5327591755619</v>
      </c>
      <c r="R22" s="193">
        <f>INDEX('Volume adjustments'!$J$527:$Y$567,R$17 + 1 + $H22*$H$28, R$15)</f>
        <v>0</v>
      </c>
      <c r="S22" s="193">
        <f>INDEX('Volume adjustments'!$J$527:$Y$567,S$17 + 1 + $H22*$H$28, S$15)</f>
        <v>54447.012806749743</v>
      </c>
      <c r="T22" s="193">
        <f>INDEX('Volume adjustments'!$J$527:$Y$567,T$17 + 1 + $H22*$H$28, T$15)</f>
        <v>98684.405595474527</v>
      </c>
      <c r="U22" s="193">
        <f>INDEX('Volume adjustments'!$J$527:$Y$567,U$17 + 1 + $H22*$H$28, U$15)</f>
        <v>62815.054690667086</v>
      </c>
      <c r="V22" s="193">
        <f>INDEX('Volume adjustments'!$J$527:$Y$567,V$17 + 1 + $H22*$H$28, V$15)</f>
        <v>109573.68863907221</v>
      </c>
      <c r="W22" s="193">
        <f>INDEX('Volume adjustments'!$J$527:$Y$567,W$17 + 1 + $H22*$H$28, W$15)</f>
        <v>0</v>
      </c>
      <c r="X22" s="193">
        <f>INDEX('Volume adjustments'!$J$527:$Y$567,X$17 + 1 + $H22*$H$28, X$15)</f>
        <v>376.99845725371262</v>
      </c>
      <c r="Y22" s="193">
        <f>INDEX('Volume adjustments'!$J$527:$Y$567,Y$17 + 1 + $H22*$H$28, Y$15)</f>
        <v>745.06830569498231</v>
      </c>
      <c r="Z22" s="193">
        <f>INDEX('Volume adjustments'!$J$527:$Y$567,Z$17 + 1 + $H22*$H$28, Z$15)</f>
        <v>1577.1131724573945</v>
      </c>
      <c r="AA22" s="193">
        <f>INDEX('Volume adjustments'!$J$527:$Y$567,AA$17 + 1 + $H22*$H$28, AA$15)</f>
        <v>22666.167120639308</v>
      </c>
      <c r="AB22" s="193">
        <f>INDEX('Volume adjustments'!$J$527:$Y$567,AB$17 + 1 + $H22*$H$28, AB$15)</f>
        <v>0</v>
      </c>
      <c r="AC22" s="193">
        <f>INDEX('Volume adjustments'!$J$527:$Y$567,AC$17 + 1 + $H22*$H$28, AC$15)</f>
        <v>63516.588073736195</v>
      </c>
      <c r="AD22" s="193">
        <f>INDEX('Volume adjustments'!$J$527:$Y$567,AD$17 + 1 + $H22*$H$28, AD$15)</f>
        <v>155361.22844926195</v>
      </c>
      <c r="AE22" s="193">
        <f>INDEX('Volume adjustments'!$J$527:$Y$567,AE$17 + 1 + $H22*$H$28, AE$15)</f>
        <v>109995.27078543647</v>
      </c>
      <c r="AF22" s="193">
        <f>INDEX('Volume adjustments'!$J$527:$Y$567,AF$17 + 1 + $H22*$H$28, AF$15)</f>
        <v>331849.9096835152</v>
      </c>
      <c r="AG22" s="193">
        <f>INDEX('Volume adjustments'!$J$527:$Y$567,AG$17 + 1 + $H22*$H$28, AG$15)</f>
        <v>8811.3898575429248</v>
      </c>
      <c r="AH22" s="193">
        <f>INDEX('Volume adjustments'!$J$527:$Y$567,AH$17 + 1 + $H22*$H$28, AH$15)</f>
        <v>68.229870901863052</v>
      </c>
      <c r="AI22" s="193">
        <f>INDEX('Volume adjustments'!$J$527:$Y$567,AI$17 + 1 + $H22*$H$28, AI$15)</f>
        <v>0</v>
      </c>
      <c r="AJ22" s="193">
        <f>INDEX('Volume adjustments'!$J$527:$Y$567,AJ$17 + 1 + $H22*$H$28, AJ$15)</f>
        <v>4775.2942813887903</v>
      </c>
      <c r="AK22" s="193">
        <f>INDEX('Volume adjustments'!$J$527:$Y$567,AK$17 + 1 + $H22*$H$28, AK$15)</f>
        <v>0</v>
      </c>
      <c r="AL22" s="193">
        <f>INDEX('Volume adjustments'!$J$527:$Y$567,AL$17 + 1 + $H22*$H$28, AL$15)</f>
        <v>643.59278860763663</v>
      </c>
      <c r="AM22" s="193">
        <f>INDEX('Volume adjustments'!$J$527:$Y$567,AM$17 + 1 + $H22*$H$28, AM$15)</f>
        <v>0</v>
      </c>
      <c r="AN22" s="193">
        <f>INDEX('Volume adjustments'!$J$527:$Y$567,AN$17 + 1 + $H22*$H$28, AN$15)</f>
        <v>278149.15352828434</v>
      </c>
      <c r="AO22" s="193">
        <f>INDEX('Volume adjustments'!$J$527:$Y$567,AO$17 + 1 + $H22*$H$28, AO$15)</f>
        <v>0</v>
      </c>
    </row>
    <row r="23" spans="1:43" x14ac:dyDescent="0.3">
      <c r="A23" s="320"/>
      <c r="E23" s="28"/>
      <c r="F23" s="72" t="s">
        <v>250</v>
      </c>
      <c r="G23" s="72" t="s">
        <v>209</v>
      </c>
      <c r="H23" s="376">
        <v>1</v>
      </c>
      <c r="J23" s="339">
        <f>INDEX('Volume adjustments'!$J$527:$Y$567,J$17 + 1 + $H23*$H$28, J$15)</f>
        <v>2859384.3281420832</v>
      </c>
      <c r="K23" s="339">
        <f>INDEX('Volume adjustments'!$J$527:$Y$567,K$17 + 1 + $H23*$H$28, K$15)</f>
        <v>5824.4312721126043</v>
      </c>
      <c r="L23" s="339">
        <f>INDEX('Volume adjustments'!$J$527:$Y$567,L$17 + 1 + $H23*$H$28, L$15)</f>
        <v>0</v>
      </c>
      <c r="M23" s="339">
        <f>INDEX('Volume adjustments'!$J$527:$Y$567,M$17 + 1 + $H23*$H$28, M$15)</f>
        <v>41491.897751145232</v>
      </c>
      <c r="N23" s="339">
        <f>INDEX('Volume adjustments'!$J$527:$Y$567,N$17 + 1 + $H23*$H$28, N$15)</f>
        <v>190970.96238219619</v>
      </c>
      <c r="O23" s="339">
        <f>INDEX('Volume adjustments'!$J$527:$Y$567,O$17 + 1 + $H23*$H$28, O$15)</f>
        <v>236372.69453686033</v>
      </c>
      <c r="P23" s="339">
        <f>INDEX('Volume adjustments'!$J$527:$Y$567,P$17 + 1 + $H23*$H$28, P$15)</f>
        <v>838289.10012936732</v>
      </c>
      <c r="Q23" s="339">
        <f>INDEX('Volume adjustments'!$J$527:$Y$567,Q$17 + 1 + $H23*$H$28, Q$15)</f>
        <v>502.36485110192183</v>
      </c>
      <c r="R23" s="339">
        <f>INDEX('Volume adjustments'!$J$527:$Y$567,R$17 + 1 + $H23*$H$28, R$15)</f>
        <v>0</v>
      </c>
      <c r="S23" s="339">
        <f>INDEX('Volume adjustments'!$J$527:$Y$567,S$17 + 1 + $H23*$H$28, S$15)</f>
        <v>230531.15914503945</v>
      </c>
      <c r="T23" s="339">
        <f>INDEX('Volume adjustments'!$J$527:$Y$567,T$17 + 1 + $H23*$H$28, T$15)</f>
        <v>417834.31704895449</v>
      </c>
      <c r="U23" s="339">
        <f>INDEX('Volume adjustments'!$J$527:$Y$567,U$17 + 1 + $H23*$H$28, U$15)</f>
        <v>265961.83377397986</v>
      </c>
      <c r="V23" s="339">
        <f>INDEX('Volume adjustments'!$J$527:$Y$567,V$17 + 1 + $H23*$H$28, V$15)</f>
        <v>463940.0428342963</v>
      </c>
      <c r="W23" s="339">
        <f>INDEX('Volume adjustments'!$J$527:$Y$567,W$17 + 1 + $H23*$H$28, W$15)</f>
        <v>0</v>
      </c>
      <c r="X23" s="339">
        <f>INDEX('Volume adjustments'!$J$527:$Y$567,X$17 + 1 + $H23*$H$28, X$15)</f>
        <v>1467.1113163535954</v>
      </c>
      <c r="Y23" s="339">
        <f>INDEX('Volume adjustments'!$J$527:$Y$567,Y$17 + 1 + $H23*$H$28, Y$15)</f>
        <v>2899.4764347427417</v>
      </c>
      <c r="Z23" s="339">
        <f>INDEX('Volume adjustments'!$J$527:$Y$567,Z$17 + 1 + $H23*$H$28, Z$15)</f>
        <v>6137.4271909166473</v>
      </c>
      <c r="AA23" s="339">
        <f>INDEX('Volume adjustments'!$J$527:$Y$567,AA$17 + 1 + $H23*$H$28, AA$15)</f>
        <v>88206.701224436474</v>
      </c>
      <c r="AB23" s="339">
        <f>INDEX('Volume adjustments'!$J$527:$Y$567,AB$17 + 1 + $H23*$H$28, AB$15)</f>
        <v>0</v>
      </c>
      <c r="AC23" s="339">
        <f>INDEX('Volume adjustments'!$J$527:$Y$567,AC$17 + 1 + $H23*$H$28, AC$15)</f>
        <v>243028.09309919522</v>
      </c>
      <c r="AD23" s="339">
        <f>INDEX('Volume adjustments'!$J$527:$Y$567,AD$17 + 1 + $H23*$H$28, AD$15)</f>
        <v>594445.39193037932</v>
      </c>
      <c r="AE23" s="339">
        <f>INDEX('Volume adjustments'!$J$527:$Y$567,AE$17 + 1 + $H23*$H$28, AE$15)</f>
        <v>420865.50489584269</v>
      </c>
      <c r="AF23" s="339">
        <f>INDEX('Volume adjustments'!$J$527:$Y$567,AF$17 + 1 + $H23*$H$28, AF$15)</f>
        <v>1269728.9509930837</v>
      </c>
      <c r="AG23" s="339">
        <f>INDEX('Volume adjustments'!$J$527:$Y$567,AG$17 + 1 + $H23*$H$28, AG$15)</f>
        <v>49189.058441586792</v>
      </c>
      <c r="AH23" s="339">
        <f>INDEX('Volume adjustments'!$J$527:$Y$567,AH$17 + 1 + $H23*$H$28, AH$15)</f>
        <v>449.63349348982825</v>
      </c>
      <c r="AI23" s="339">
        <f>INDEX('Volume adjustments'!$J$527:$Y$567,AI$17 + 1 + $H23*$H$28, AI$15)</f>
        <v>0</v>
      </c>
      <c r="AJ23" s="339">
        <f>INDEX('Volume adjustments'!$J$527:$Y$567,AJ$17 + 1 + $H23*$H$28, AJ$15)</f>
        <v>23780.951178135838</v>
      </c>
      <c r="AK23" s="339">
        <f>INDEX('Volume adjustments'!$J$527:$Y$567,AK$17 + 1 + $H23*$H$28, AK$15)</f>
        <v>0</v>
      </c>
      <c r="AL23" s="339">
        <f>INDEX('Volume adjustments'!$J$527:$Y$567,AL$17 + 1 + $H23*$H$28, AL$15)</f>
        <v>2524.6060767726581</v>
      </c>
      <c r="AM23" s="339">
        <f>INDEX('Volume adjustments'!$J$527:$Y$567,AM$17 + 1 + $H23*$H$28, AM$15)</f>
        <v>0</v>
      </c>
      <c r="AN23" s="339">
        <f>INDEX('Volume adjustments'!$J$527:$Y$567,AN$17 + 1 + $H23*$H$28, AN$15)</f>
        <v>600091.23989919515</v>
      </c>
      <c r="AO23" s="339">
        <f>INDEX('Volume adjustments'!$J$527:$Y$567,AO$17 + 1 + $H23*$H$28, AO$15)</f>
        <v>0</v>
      </c>
    </row>
    <row r="24" spans="1:43" x14ac:dyDescent="0.3">
      <c r="A24" s="320"/>
      <c r="E24" s="28"/>
      <c r="F24" s="72" t="s">
        <v>251</v>
      </c>
      <c r="G24" s="72" t="s">
        <v>209</v>
      </c>
      <c r="H24" s="376">
        <v>2</v>
      </c>
      <c r="J24" s="339">
        <f>INDEX('Volume adjustments'!$J$527:$Y$567,J$17 + 1 + $H24*$H$28, J$15)</f>
        <v>4737373.0104243234</v>
      </c>
      <c r="K24" s="339">
        <f>INDEX('Volume adjustments'!$J$527:$Y$567,K$17 + 1 + $H24*$H$28, K$15)</f>
        <v>10388.832210240402</v>
      </c>
      <c r="L24" s="339">
        <f>INDEX('Volume adjustments'!$J$527:$Y$567,L$17 + 1 + $H24*$H$28, L$15)</f>
        <v>0</v>
      </c>
      <c r="M24" s="339">
        <f>INDEX('Volume adjustments'!$J$527:$Y$567,M$17 + 1 + $H24*$H$28, M$15)</f>
        <v>45575.712249303608</v>
      </c>
      <c r="N24" s="339">
        <f>INDEX('Volume adjustments'!$J$527:$Y$567,N$17 + 1 + $H24*$H$28, N$15)</f>
        <v>209767.16181325607</v>
      </c>
      <c r="O24" s="339">
        <f>INDEX('Volume adjustments'!$J$527:$Y$567,O$17 + 1 + $H24*$H$28, O$15)</f>
        <v>259637.53151076686</v>
      </c>
      <c r="P24" s="339">
        <f>INDEX('Volume adjustments'!$J$527:$Y$567,P$17 + 1 + $H24*$H$28, P$15)</f>
        <v>920797.18884801259</v>
      </c>
      <c r="Q24" s="339">
        <f>INDEX('Volume adjustments'!$J$527:$Y$567,Q$17 + 1 + $H24*$H$28, Q$15)</f>
        <v>1825.2777420810467</v>
      </c>
      <c r="R24" s="339">
        <f>INDEX('Volume adjustments'!$J$527:$Y$567,R$17 + 1 + $H24*$H$28, R$15)</f>
        <v>0</v>
      </c>
      <c r="S24" s="339">
        <f>INDEX('Volume adjustments'!$J$527:$Y$567,S$17 + 1 + $H24*$H$28, S$15)</f>
        <v>251242.6131015287</v>
      </c>
      <c r="T24" s="339">
        <f>INDEX('Volume adjustments'!$J$527:$Y$567,T$17 + 1 + $H24*$H$28, T$15)</f>
        <v>455373.52108148136</v>
      </c>
      <c r="U24" s="339">
        <f>INDEX('Volume adjustments'!$J$527:$Y$567,U$17 + 1 + $H24*$H$28, U$15)</f>
        <v>289856.46170550201</v>
      </c>
      <c r="V24" s="339">
        <f>INDEX('Volume adjustments'!$J$527:$Y$567,V$17 + 1 + $H24*$H$28, V$15)</f>
        <v>505621.49219398445</v>
      </c>
      <c r="W24" s="339">
        <f>INDEX('Volume adjustments'!$J$527:$Y$567,W$17 + 1 + $H24*$H$28, W$15)</f>
        <v>0</v>
      </c>
      <c r="X24" s="339">
        <f>INDEX('Volume adjustments'!$J$527:$Y$567,X$17 + 1 + $H24*$H$28, X$15)</f>
        <v>1640.7478089642348</v>
      </c>
      <c r="Y24" s="339">
        <f>INDEX('Volume adjustments'!$J$527:$Y$567,Y$17 + 1 + $H24*$H$28, Y$15)</f>
        <v>3242.6371158199172</v>
      </c>
      <c r="Z24" s="339">
        <f>INDEX('Volume adjustments'!$J$527:$Y$567,Z$17 + 1 + $H24*$H$28, Z$15)</f>
        <v>6863.8078814648015</v>
      </c>
      <c r="AA24" s="339">
        <f>INDEX('Volume adjustments'!$J$527:$Y$567,AA$17 + 1 + $H24*$H$28, AA$15)</f>
        <v>98646.196888223174</v>
      </c>
      <c r="AB24" s="339">
        <f>INDEX('Volume adjustments'!$J$527:$Y$567,AB$17 + 1 + $H24*$H$28, AB$15)</f>
        <v>0</v>
      </c>
      <c r="AC24" s="339">
        <f>INDEX('Volume adjustments'!$J$527:$Y$567,AC$17 + 1 + $H24*$H$28, AC$15)</f>
        <v>346376.39665689884</v>
      </c>
      <c r="AD24" s="339">
        <f>INDEX('Volume adjustments'!$J$527:$Y$567,AD$17 + 1 + $H24*$H$28, AD$15)</f>
        <v>847234.77948741138</v>
      </c>
      <c r="AE24" s="339">
        <f>INDEX('Volume adjustments'!$J$527:$Y$567,AE$17 + 1 + $H24*$H$28, AE$15)</f>
        <v>599839.6119723788</v>
      </c>
      <c r="AF24" s="339">
        <f>INDEX('Volume adjustments'!$J$527:$Y$567,AF$17 + 1 + $H24*$H$28, AF$15)</f>
        <v>1809684.3585750242</v>
      </c>
      <c r="AG24" s="339">
        <f>INDEX('Volume adjustments'!$J$527:$Y$567,AG$17 + 1 + $H24*$H$28, AG$15)</f>
        <v>159418.28502479228</v>
      </c>
      <c r="AH24" s="339">
        <f>INDEX('Volume adjustments'!$J$527:$Y$567,AH$17 + 1 + $H24*$H$28, AH$15)</f>
        <v>251.99826680064848</v>
      </c>
      <c r="AI24" s="339">
        <f>INDEX('Volume adjustments'!$J$527:$Y$567,AI$17 + 1 + $H24*$H$28, AI$15)</f>
        <v>0</v>
      </c>
      <c r="AJ24" s="339">
        <f>INDEX('Volume adjustments'!$J$527:$Y$567,AJ$17 + 1 + $H24*$H$28, AJ$15)</f>
        <v>24197.561642861572</v>
      </c>
      <c r="AK24" s="339">
        <f>INDEX('Volume adjustments'!$J$527:$Y$567,AK$17 + 1 + $H24*$H$28, AK$15)</f>
        <v>0</v>
      </c>
      <c r="AL24" s="339">
        <f>INDEX('Volume adjustments'!$J$527:$Y$567,AL$17 + 1 + $H24*$H$28, AL$15)</f>
        <v>4216.2054199370059</v>
      </c>
      <c r="AM24" s="339">
        <f>INDEX('Volume adjustments'!$J$527:$Y$567,AM$17 + 1 + $H24*$H$28, AM$15)</f>
        <v>0</v>
      </c>
      <c r="AN24" s="339">
        <f>INDEX('Volume adjustments'!$J$527:$Y$567,AN$17 + 1 + $H24*$H$28, AN$15)</f>
        <v>673152.99157943716</v>
      </c>
      <c r="AO24" s="339">
        <f>INDEX('Volume adjustments'!$J$527:$Y$567,AO$17 + 1 + $H24*$H$28, AO$15)</f>
        <v>0</v>
      </c>
    </row>
    <row r="25" spans="1:43" x14ac:dyDescent="0.3">
      <c r="A25" s="320"/>
      <c r="E25" s="28"/>
      <c r="F25" s="72" t="s">
        <v>214</v>
      </c>
      <c r="G25" s="72" t="s">
        <v>214</v>
      </c>
      <c r="H25" s="376">
        <v>3</v>
      </c>
      <c r="J25" s="339">
        <f>INDEX('Volume adjustments'!$J$527:$Y$567,J$17 + 1 + $H25*$H$28, J$15)</f>
        <v>2477396.9025159678</v>
      </c>
      <c r="K25" s="339">
        <f>INDEX('Volume adjustments'!$J$527:$Y$567,K$17 + 1 + $H25*$H$28, K$15)</f>
        <v>0</v>
      </c>
      <c r="L25" s="339">
        <f>INDEX('Volume adjustments'!$J$527:$Y$567,L$17 + 1 + $H25*$H$28, L$15)</f>
        <v>0</v>
      </c>
      <c r="M25" s="339">
        <f>INDEX('Volume adjustments'!$J$527:$Y$567,M$17 + 1 + $H25*$H$28, M$15)</f>
        <v>66707.473785459209</v>
      </c>
      <c r="N25" s="339">
        <f>INDEX('Volume adjustments'!$J$527:$Y$567,N$17 + 1 + $H25*$H$28, N$15)</f>
        <v>58008.136695282345</v>
      </c>
      <c r="O25" s="339">
        <f>INDEX('Volume adjustments'!$J$527:$Y$567,O$17 + 1 + $H25*$H$28, O$15)</f>
        <v>28801.983103357954</v>
      </c>
      <c r="P25" s="339">
        <f>INDEX('Volume adjustments'!$J$527:$Y$567,P$17 + 1 + $H25*$H$28, P$15)</f>
        <v>32773.441732823128</v>
      </c>
      <c r="Q25" s="339">
        <f>INDEX('Volume adjustments'!$J$527:$Y$567,Q$17 + 1 + $H25*$H$28, Q$15)</f>
        <v>0</v>
      </c>
      <c r="R25" s="339">
        <f>INDEX('Volume adjustments'!$J$527:$Y$567,R$17 + 1 + $H25*$H$28, R$15)</f>
        <v>0</v>
      </c>
      <c r="S25" s="339">
        <f>INDEX('Volume adjustments'!$J$527:$Y$567,S$17 + 1 + $H25*$H$28, S$15)</f>
        <v>5372.1278746213347</v>
      </c>
      <c r="T25" s="339">
        <f>INDEX('Volume adjustments'!$J$527:$Y$567,T$17 + 1 + $H25*$H$28, T$15)</f>
        <v>5652.2294775029186</v>
      </c>
      <c r="U25" s="339">
        <f>INDEX('Volume adjustments'!$J$527:$Y$567,U$17 + 1 + $H25*$H$28, U$15)</f>
        <v>2296.0299849110434</v>
      </c>
      <c r="V25" s="339">
        <f>INDEX('Volume adjustments'!$J$527:$Y$567,V$17 + 1 + $H25*$H$28, V$15)</f>
        <v>2193.6272483736902</v>
      </c>
      <c r="W25" s="339">
        <f>INDEX('Volume adjustments'!$J$527:$Y$567,W$17 + 1 + $H25*$H$28, W$15)</f>
        <v>0</v>
      </c>
      <c r="X25" s="339">
        <f>INDEX('Volume adjustments'!$J$527:$Y$567,X$17 + 1 + $H25*$H$28, X$15)</f>
        <v>13.688496567162147</v>
      </c>
      <c r="Y25" s="339">
        <f>INDEX('Volume adjustments'!$J$527:$Y$567,Y$17 + 1 + $H25*$H$28, Y$15)</f>
        <v>36.958940731337798</v>
      </c>
      <c r="Z25" s="339">
        <f>INDEX('Volume adjustments'!$J$527:$Y$567,Z$17 + 1 + $H25*$H$28, Z$15)</f>
        <v>47.909737985067515</v>
      </c>
      <c r="AA25" s="339">
        <f>INDEX('Volume adjustments'!$J$527:$Y$567,AA$17 + 1 + $H25*$H$28, AA$15)</f>
        <v>402.44179907456714</v>
      </c>
      <c r="AB25" s="339">
        <f>INDEX('Volume adjustments'!$J$527:$Y$567,AB$17 + 1 + $H25*$H$28, AB$15)</f>
        <v>0</v>
      </c>
      <c r="AC25" s="339">
        <f>INDEX('Volume adjustments'!$J$527:$Y$567,AC$17 + 1 + $H25*$H$28, AC$15)</f>
        <v>1527.8223765518344</v>
      </c>
      <c r="AD25" s="339">
        <f>INDEX('Volume adjustments'!$J$527:$Y$567,AD$17 + 1 + $H25*$H$28, AD$15)</f>
        <v>1064.0737565844663</v>
      </c>
      <c r="AE25" s="339">
        <f>INDEX('Volume adjustments'!$J$527:$Y$567,AE$17 + 1 + $H25*$H$28, AE$15)</f>
        <v>340.42206388813389</v>
      </c>
      <c r="AF25" s="339">
        <f>INDEX('Volume adjustments'!$J$527:$Y$567,AF$17 + 1 + $H25*$H$28, AF$15)</f>
        <v>394.44113390631082</v>
      </c>
      <c r="AG25" s="339">
        <f>INDEX('Volume adjustments'!$J$527:$Y$567,AG$17 + 1 + $H25*$H$28, AG$15)</f>
        <v>37.113907471596569</v>
      </c>
      <c r="AH25" s="339">
        <f>INDEX('Volume adjustments'!$J$527:$Y$567,AH$17 + 1 + $H25*$H$28, AH$15)</f>
        <v>0</v>
      </c>
      <c r="AI25" s="339">
        <f>INDEX('Volume adjustments'!$J$527:$Y$567,AI$17 + 1 + $H25*$H$28, AI$15)</f>
        <v>0</v>
      </c>
      <c r="AJ25" s="339">
        <f>INDEX('Volume adjustments'!$J$527:$Y$567,AJ$17 + 1 + $H25*$H$28, AJ$15)</f>
        <v>734.26186025829247</v>
      </c>
      <c r="AK25" s="339">
        <f>INDEX('Volume adjustments'!$J$527:$Y$567,AK$17 + 1 + $H25*$H$28, AK$15)</f>
        <v>0</v>
      </c>
      <c r="AL25" s="339">
        <f>INDEX('Volume adjustments'!$J$527:$Y$567,AL$17 + 1 + $H25*$H$28, AL$15)</f>
        <v>50.04201140862741</v>
      </c>
      <c r="AM25" s="339">
        <f>INDEX('Volume adjustments'!$J$527:$Y$567,AM$17 + 1 + $H25*$H$28, AM$15)</f>
        <v>0</v>
      </c>
      <c r="AN25" s="339">
        <f>INDEX('Volume adjustments'!$J$527:$Y$567,AN$17 + 1 + $H25*$H$28, AN$15)</f>
        <v>449.38337701268659</v>
      </c>
      <c r="AO25" s="339">
        <f>INDEX('Volume adjustments'!$J$527:$Y$567,AO$17 + 1 + $H25*$H$28, AO$15)</f>
        <v>0</v>
      </c>
    </row>
    <row r="26" spans="1:43" x14ac:dyDescent="0.3">
      <c r="A26" s="320"/>
      <c r="E26" s="28"/>
      <c r="F26" s="72" t="s">
        <v>252</v>
      </c>
      <c r="G26" s="72" t="s">
        <v>253</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255460.28358215367</v>
      </c>
      <c r="T26" s="339">
        <f>INDEX('Volume adjustments'!$J$527:$Y$567,T$17 + 1 + $H26*$H$28, T$15)</f>
        <v>662575.12256898556</v>
      </c>
      <c r="U26" s="339">
        <f>INDEX('Volume adjustments'!$J$527:$Y$567,U$17 + 1 + $H26*$H$28, U$15)</f>
        <v>417880.79807264765</v>
      </c>
      <c r="V26" s="339">
        <f>INDEX('Volume adjustments'!$J$527:$Y$567,V$17 + 1 + $H26*$H$28, V$15)</f>
        <v>695650.9327625141</v>
      </c>
      <c r="W26" s="339">
        <f>INDEX('Volume adjustments'!$J$527:$Y$567,W$17 + 1 + $H26*$H$28, W$15)</f>
        <v>0</v>
      </c>
      <c r="X26" s="339">
        <f>INDEX('Volume adjustments'!$J$527:$Y$567,X$17 + 1 + $H26*$H$28, X$15)</f>
        <v>109.35326295178152</v>
      </c>
      <c r="Y26" s="339">
        <f>INDEX('Volume adjustments'!$J$527:$Y$567,Y$17 + 1 + $H26*$H$28, Y$15)</f>
        <v>4932.5751714703129</v>
      </c>
      <c r="Z26" s="339">
        <f>INDEX('Volume adjustments'!$J$527:$Y$567,Z$17 + 1 + $H26*$H$28, Z$15)</f>
        <v>9375.6306287699972</v>
      </c>
      <c r="AA26" s="339">
        <f>INDEX('Volume adjustments'!$J$527:$Y$567,AA$17 + 1 + $H26*$H$28, AA$15)</f>
        <v>215017.71917869226</v>
      </c>
      <c r="AB26" s="339">
        <f>INDEX('Volume adjustments'!$J$527:$Y$567,AB$17 + 1 + $H26*$H$28, AB$15)</f>
        <v>0</v>
      </c>
      <c r="AC26" s="339">
        <f>INDEX('Volume adjustments'!$J$527:$Y$567,AC$17 + 1 + $H26*$H$28, AC$15)</f>
        <v>309930.28523199819</v>
      </c>
      <c r="AD26" s="339">
        <f>INDEX('Volume adjustments'!$J$527:$Y$567,AD$17 + 1 + $H26*$H$28, AD$15)</f>
        <v>692359.02086749545</v>
      </c>
      <c r="AE26" s="339">
        <f>INDEX('Volume adjustments'!$J$527:$Y$567,AE$17 + 1 + $H26*$H$28, AE$15)</f>
        <v>463240.66916449316</v>
      </c>
      <c r="AF26" s="339">
        <f>INDEX('Volume adjustments'!$J$527:$Y$567,AF$17 + 1 + $H26*$H$28, AF$15)</f>
        <v>1290688.6557104315</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254</v>
      </c>
      <c r="G27" s="72" t="s">
        <v>253</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4359.4712095938203</v>
      </c>
      <c r="T27" s="339">
        <f>INDEX('Volume adjustments'!$J$527:$Y$567,T$17 + 1 + $H27*$H$28, T$15)</f>
        <v>11306.952026081508</v>
      </c>
      <c r="U27" s="339">
        <f>INDEX('Volume adjustments'!$J$527:$Y$567,U$17 + 1 + $H27*$H$28, U$15)</f>
        <v>7131.2036559841272</v>
      </c>
      <c r="V27" s="339">
        <f>INDEX('Volume adjustments'!$J$527:$Y$567,V$17 + 1 + $H27*$H$28, V$15)</f>
        <v>11871.396096411157</v>
      </c>
      <c r="W27" s="339">
        <f>INDEX('Volume adjustments'!$J$527:$Y$567,W$17 + 1 + $H27*$H$28, W$15)</f>
        <v>0</v>
      </c>
      <c r="X27" s="339">
        <f>INDEX('Volume adjustments'!$J$527:$Y$567,X$17 + 1 + $H27*$H$28, X$15)</f>
        <v>0.61790524733844565</v>
      </c>
      <c r="Y27" s="339">
        <f>INDEX('Volume adjustments'!$J$527:$Y$567,Y$17 + 1 + $H27*$H$28, Y$15)</f>
        <v>27.87172507771233</v>
      </c>
      <c r="Z27" s="339">
        <f>INDEX('Volume adjustments'!$J$527:$Y$567,Z$17 + 1 + $H27*$H$28, Z$15)</f>
        <v>52.977398261801497</v>
      </c>
      <c r="AA27" s="339">
        <f>INDEX('Volume adjustments'!$J$527:$Y$567,AA$17 + 1 + $H27*$H$28, AA$15)</f>
        <v>1214.9667359248544</v>
      </c>
      <c r="AB27" s="339">
        <f>INDEX('Volume adjustments'!$J$527:$Y$567,AB$17 + 1 + $H27*$H$28, AB$15)</f>
        <v>0</v>
      </c>
      <c r="AC27" s="339">
        <f>INDEX('Volume adjustments'!$J$527:$Y$567,AC$17 + 1 + $H27*$H$28, AC$15)</f>
        <v>4018.3170988580564</v>
      </c>
      <c r="AD27" s="339">
        <f>INDEX('Volume adjustments'!$J$527:$Y$567,AD$17 + 1 + $H27*$H$28, AD$15)</f>
        <v>8976.5932039133422</v>
      </c>
      <c r="AE27" s="339">
        <f>INDEX('Volume adjustments'!$J$527:$Y$567,AE$17 + 1 + $H27*$H$28, AE$15)</f>
        <v>6006.0213231396365</v>
      </c>
      <c r="AF27" s="339">
        <f>INDEX('Volume adjustments'!$J$527:$Y$567,AF$17 + 1 + $H27*$H$28, AF$15)</f>
        <v>16734.073892330565</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255</v>
      </c>
      <c r="G28" s="80" t="s">
        <v>256</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57440.724377999293</v>
      </c>
      <c r="T28" s="195">
        <f>INDEX('Volume adjustments'!$J$527:$Y$567,T$17 + 1 + $H28*$H$28, T$15)</f>
        <v>104110.46354986852</v>
      </c>
      <c r="U28" s="195">
        <f>INDEX('Volume adjustments'!$J$527:$Y$567,U$17 + 1 + $H28*$H$28, U$15)</f>
        <v>66268.874218720433</v>
      </c>
      <c r="V28" s="195">
        <f>INDEX('Volume adjustments'!$J$527:$Y$567,V$17 + 1 + $H28*$H$28, V$15)</f>
        <v>115598.48233615856</v>
      </c>
      <c r="W28" s="195">
        <f>INDEX('Volume adjustments'!$J$527:$Y$567,W$17 + 1 + $H28*$H$28, W$15)</f>
        <v>0</v>
      </c>
      <c r="X28" s="195">
        <f>INDEX('Volume adjustments'!$J$527:$Y$567,X$17 + 1 + $H28*$H$28, X$15)</f>
        <v>490.70112202356984</v>
      </c>
      <c r="Y28" s="195">
        <f>INDEX('Volume adjustments'!$J$527:$Y$567,Y$17 + 1 + $H28*$H$28, Y$15)</f>
        <v>969.78076847323098</v>
      </c>
      <c r="Z28" s="195">
        <f>INDEX('Volume adjustments'!$J$527:$Y$567,Z$17 + 1 + $H28*$H$28, Z$15)</f>
        <v>2052.7702126966042</v>
      </c>
      <c r="AA28" s="195">
        <f>INDEX('Volume adjustments'!$J$527:$Y$567,AA$17 + 1 + $H28*$H$28, AA$15)</f>
        <v>29502.27891937063</v>
      </c>
      <c r="AB28" s="195">
        <f>INDEX('Volume adjustments'!$J$527:$Y$567,AB$17 + 1 + $H28*$H$28, AB$15)</f>
        <v>0</v>
      </c>
      <c r="AC28" s="195">
        <f>INDEX('Volume adjustments'!$J$527:$Y$567,AC$17 + 1 + $H28*$H$28, AC$15)</f>
        <v>54589.717629115243</v>
      </c>
      <c r="AD28" s="195">
        <f>INDEX('Volume adjustments'!$J$527:$Y$567,AD$17 + 1 + $H28*$H$28, AD$15)</f>
        <v>133526.15196697853</v>
      </c>
      <c r="AE28" s="195">
        <f>INDEX('Volume adjustments'!$J$527:$Y$567,AE$17 + 1 + $H28*$H$28, AE$15)</f>
        <v>94536.103950424949</v>
      </c>
      <c r="AF28" s="195">
        <f>INDEX('Volume adjustments'!$J$527:$Y$567,AF$17 + 1 + $H28*$H$28, AF$15)</f>
        <v>285210.42162781412</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3663.5475540790721</v>
      </c>
      <c r="AK28" s="195">
        <f>INDEX('Volume adjustments'!$J$527:$Y$567,AK$17 + 1 + $H28*$H$28, AK$15)</f>
        <v>0</v>
      </c>
      <c r="AL28" s="195">
        <f>INDEX('Volume adjustments'!$J$527:$Y$567,AL$17 + 1 + $H28*$H$28, AL$15)</f>
        <v>397.56062338257436</v>
      </c>
      <c r="AM28" s="195">
        <f>INDEX('Volume adjustments'!$J$527:$Y$567,AM$17 + 1 + $H28*$H$28, AM$15)</f>
        <v>0</v>
      </c>
      <c r="AN28" s="195">
        <f>INDEX('Volume adjustments'!$J$527:$Y$567,AN$17 + 1 + $H28*$H$28, AN$15)</f>
        <v>20979.429173597407</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257</v>
      </c>
      <c r="F30" s="352"/>
      <c r="G30" s="352"/>
      <c r="H30" s="311"/>
      <c r="I30" s="311" t="s">
        <v>156</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248</v>
      </c>
    </row>
    <row r="31" spans="1:43" x14ac:dyDescent="0.3">
      <c r="A31" s="320"/>
      <c r="E31" s="32"/>
      <c r="F31" s="405" t="s">
        <v>1041</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1037</v>
      </c>
      <c r="G32" s="37"/>
    </row>
    <row r="33" spans="1:43" x14ac:dyDescent="0.3">
      <c r="A33" s="320"/>
      <c r="F33" s="72" t="s">
        <v>249</v>
      </c>
      <c r="G33" s="72" t="s">
        <v>209</v>
      </c>
      <c r="H33" s="325">
        <v>0</v>
      </c>
      <c r="I33" s="23"/>
      <c r="J33" s="193">
        <f>INDEX('Volume adjustments'!$J$571:$Y$611,J$17 + 1 + $H33*$H$39, J$15)</f>
        <v>16844.83009576039</v>
      </c>
      <c r="K33" s="193">
        <f>INDEX('Volume adjustments'!$J$571:$Y$611,K$17 + 1 + $H33*$H$39, K$15)</f>
        <v>0</v>
      </c>
      <c r="L33" s="193">
        <f>INDEX('Volume adjustments'!$J$571:$Y$611,L$17 + 1 + $H33*$H$39, L$15)</f>
        <v>0</v>
      </c>
      <c r="M33" s="193">
        <f>INDEX('Volume adjustments'!$J$571:$Y$611,M$17 + 1 + $H33*$H$39, M$15)</f>
        <v>18.942393434249407</v>
      </c>
      <c r="N33" s="193">
        <f>INDEX('Volume adjustments'!$J$571:$Y$611,N$17 + 1 + $H33*$H$39, N$15)</f>
        <v>87.18442153832207</v>
      </c>
      <c r="O33" s="193">
        <f>INDEX('Volume adjustments'!$J$571:$Y$611,O$17 + 1 + $H33*$H$39, O$15)</f>
        <v>107.91178084659383</v>
      </c>
      <c r="P33" s="193">
        <f>INDEX('Volume adjustments'!$J$571:$Y$611,P$17 + 1 + $H33*$H$39, P$15)</f>
        <v>382.70608978966459</v>
      </c>
      <c r="Q33" s="193">
        <f>INDEX('Volume adjustments'!$J$571:$Y$611,Q$17 + 1 + $H33*$H$39, Q$15)</f>
        <v>0</v>
      </c>
      <c r="R33" s="193">
        <f>INDEX('Volume adjustments'!$J$571:$Y$611,R$17 + 1 + $H33*$H$39, R$15)</f>
        <v>0</v>
      </c>
      <c r="S33" s="193">
        <f>INDEX('Volume adjustments'!$J$571:$Y$611,S$17 + 1 + $H33*$H$39, S$15)</f>
        <v>378.65762425467994</v>
      </c>
      <c r="T33" s="193">
        <f>INDEX('Volume adjustments'!$J$571:$Y$611,T$17 + 1 + $H33*$H$39, T$15)</f>
        <v>686.31134469024903</v>
      </c>
      <c r="U33" s="193">
        <f>INDEX('Volume adjustments'!$J$571:$Y$611,U$17 + 1 + $H33*$H$39, U$15)</f>
        <v>436.85407427250323</v>
      </c>
      <c r="V33" s="193">
        <f>INDEX('Volume adjustments'!$J$571:$Y$611,V$17 + 1 + $H33*$H$39, V$15)</f>
        <v>762.0420383420834</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2.3648233621398798</v>
      </c>
      <c r="AH33" s="193">
        <f>INDEX('Volume adjustments'!$J$571:$Y$611,AH$17 + 1 + $H33*$H$39, AH$15)</f>
        <v>1.8728551428838309</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250</v>
      </c>
      <c r="G34" s="72" t="s">
        <v>209</v>
      </c>
      <c r="H34" s="376">
        <v>1</v>
      </c>
      <c r="J34" s="339">
        <f>INDEX('Volume adjustments'!$J$571:$Y$611,J$17 + 1 + $H34*$H$39, J$15)</f>
        <v>47801.051720658063</v>
      </c>
      <c r="K34" s="339">
        <f>INDEX('Volume adjustments'!$J$571:$Y$611,K$17 + 1 + $H34*$H$39, K$15)</f>
        <v>0</v>
      </c>
      <c r="L34" s="339">
        <f>INDEX('Volume adjustments'!$J$571:$Y$611,L$17 + 1 + $H34*$H$39, L$15)</f>
        <v>0</v>
      </c>
      <c r="M34" s="339">
        <f>INDEX('Volume adjustments'!$J$571:$Y$611,M$17 + 1 + $H34*$H$39, M$15)</f>
        <v>82.02939552550454</v>
      </c>
      <c r="N34" s="339">
        <f>INDEX('Volume adjustments'!$J$571:$Y$611,N$17 + 1 + $H34*$H$39, N$15)</f>
        <v>377.54919529326753</v>
      </c>
      <c r="O34" s="339">
        <f>INDEX('Volume adjustments'!$J$571:$Y$611,O$17 + 1 + $H34*$H$39, O$15)</f>
        <v>467.30832529968347</v>
      </c>
      <c r="P34" s="339">
        <f>INDEX('Volume adjustments'!$J$571:$Y$611,P$17 + 1 + $H34*$H$39, P$15)</f>
        <v>1657.2958068020198</v>
      </c>
      <c r="Q34" s="339">
        <f>INDEX('Volume adjustments'!$J$571:$Y$611,Q$17 + 1 + $H34*$H$39, Q$15)</f>
        <v>0</v>
      </c>
      <c r="R34" s="339">
        <f>INDEX('Volume adjustments'!$J$571:$Y$611,R$17 + 1 + $H34*$H$39, R$15)</f>
        <v>0</v>
      </c>
      <c r="S34" s="339">
        <f>INDEX('Volume adjustments'!$J$571:$Y$611,S$17 + 1 + $H34*$H$39, S$15)</f>
        <v>1428.4247490910273</v>
      </c>
      <c r="T34" s="339">
        <f>INDEX('Volume adjustments'!$J$571:$Y$611,T$17 + 1 + $H34*$H$39, T$15)</f>
        <v>2588.9987353803508</v>
      </c>
      <c r="U34" s="339">
        <f>INDEX('Volume adjustments'!$J$571:$Y$611,U$17 + 1 + $H34*$H$39, U$15)</f>
        <v>1647.9614603306934</v>
      </c>
      <c r="V34" s="339">
        <f>INDEX('Volume adjustments'!$J$571:$Y$611,V$17 + 1 + $H34*$H$39, V$15)</f>
        <v>2874.6805496341517</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205.77520278102358</v>
      </c>
      <c r="AH34" s="339">
        <f>INDEX('Volume adjustments'!$J$571:$Y$611,AH$17 + 1 + $H34*$H$39, AH$15)</f>
        <v>9.0445144810384299</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251</v>
      </c>
      <c r="G35" s="72" t="s">
        <v>209</v>
      </c>
      <c r="H35" s="376">
        <v>2</v>
      </c>
      <c r="J35" s="339">
        <f>INDEX('Volume adjustments'!$J$571:$Y$611,J$17 + 1 + $H35*$H$39, J$15)</f>
        <v>72046.381216640846</v>
      </c>
      <c r="K35" s="339">
        <f>INDEX('Volume adjustments'!$J$571:$Y$611,K$17 + 1 + $H35*$H$39, K$15)</f>
        <v>0</v>
      </c>
      <c r="L35" s="339">
        <f>INDEX('Volume adjustments'!$J$571:$Y$611,L$17 + 1 + $H35*$H$39, L$15)</f>
        <v>0</v>
      </c>
      <c r="M35" s="339">
        <f>INDEX('Volume adjustments'!$J$571:$Y$611,M$17 + 1 + $H35*$H$39, M$15)</f>
        <v>77.114110048596388</v>
      </c>
      <c r="N35" s="339">
        <f>INDEX('Volume adjustments'!$J$571:$Y$611,N$17 + 1 + $H35*$H$39, N$15)</f>
        <v>354.92606044563399</v>
      </c>
      <c r="O35" s="339">
        <f>INDEX('Volume adjustments'!$J$571:$Y$611,O$17 + 1 + $H35*$H$39, O$15)</f>
        <v>439.30673136047625</v>
      </c>
      <c r="P35" s="339">
        <f>INDEX('Volume adjustments'!$J$571:$Y$611,P$17 + 1 + $H35*$H$39, P$15)</f>
        <v>1557.9889429890106</v>
      </c>
      <c r="Q35" s="339">
        <f>INDEX('Volume adjustments'!$J$571:$Y$611,Q$17 + 1 + $H35*$H$39, Q$15)</f>
        <v>0</v>
      </c>
      <c r="R35" s="339">
        <f>INDEX('Volume adjustments'!$J$571:$Y$611,R$17 + 1 + $H35*$H$39, R$15)</f>
        <v>0</v>
      </c>
      <c r="S35" s="339">
        <f>INDEX('Volume adjustments'!$J$571:$Y$611,S$17 + 1 + $H35*$H$39, S$15)</f>
        <v>1804.2374556761986</v>
      </c>
      <c r="T35" s="339">
        <f>INDEX('Volume adjustments'!$J$571:$Y$611,T$17 + 1 + $H35*$H$39, T$15)</f>
        <v>3270.1537088628725</v>
      </c>
      <c r="U35" s="339">
        <f>INDEX('Volume adjustments'!$J$571:$Y$611,U$17 + 1 + $H35*$H$39, U$15)</f>
        <v>2081.5333773315956</v>
      </c>
      <c r="V35" s="339">
        <f>INDEX('Volume adjustments'!$J$571:$Y$611,V$17 + 1 + $H35*$H$39, V$15)</f>
        <v>3630.9972394795427</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349.2474447454577</v>
      </c>
      <c r="AH35" s="339">
        <f>INDEX('Volume adjustments'!$J$571:$Y$611,AH$17 + 1 + $H35*$H$39, AH$15)</f>
        <v>5.2527047793455779</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214</v>
      </c>
      <c r="G36" s="72" t="s">
        <v>214</v>
      </c>
      <c r="H36" s="376">
        <v>3</v>
      </c>
      <c r="J36" s="339">
        <f>INDEX('Volume adjustments'!$J$571:$Y$611,J$17 + 1 + $H36*$H$39, J$15)</f>
        <v>40851.844073726381</v>
      </c>
      <c r="K36" s="339">
        <f>INDEX('Volume adjustments'!$J$571:$Y$611,K$17 + 1 + $H36*$H$39, K$15)</f>
        <v>0</v>
      </c>
      <c r="L36" s="339">
        <f>INDEX('Volume adjustments'!$J$571:$Y$611,L$17 + 1 + $H36*$H$39, L$15)</f>
        <v>0</v>
      </c>
      <c r="M36" s="339">
        <f>INDEX('Volume adjustments'!$J$571:$Y$611,M$17 + 1 + $H36*$H$39, M$15)</f>
        <v>259.04965163873868</v>
      </c>
      <c r="N36" s="339">
        <f>INDEX('Volume adjustments'!$J$571:$Y$611,N$17 + 1 + $H36*$H$39, N$15)</f>
        <v>225.26692663335101</v>
      </c>
      <c r="O36" s="339">
        <f>INDEX('Volume adjustments'!$J$571:$Y$611,O$17 + 1 + $H36*$H$39, O$15)</f>
        <v>111.8486919985281</v>
      </c>
      <c r="P36" s="339">
        <f>INDEX('Volume adjustments'!$J$571:$Y$611,P$17 + 1 + $H36*$H$39, P$15)</f>
        <v>127.27132631637681</v>
      </c>
      <c r="Q36" s="339">
        <f>INDEX('Volume adjustments'!$J$571:$Y$611,Q$17 + 1 + $H36*$H$39, Q$15)</f>
        <v>0</v>
      </c>
      <c r="R36" s="339">
        <f>INDEX('Volume adjustments'!$J$571:$Y$611,R$17 + 1 + $H36*$H$39, R$15)</f>
        <v>0</v>
      </c>
      <c r="S36" s="339">
        <f>INDEX('Volume adjustments'!$J$571:$Y$611,S$17 + 1 + $H36*$H$39, S$15)</f>
        <v>27.369364813722179</v>
      </c>
      <c r="T36" s="339">
        <f>INDEX('Volume adjustments'!$J$571:$Y$611,T$17 + 1 + $H36*$H$39, T$15)</f>
        <v>28.796397664222738</v>
      </c>
      <c r="U36" s="339">
        <f>INDEX('Volume adjustments'!$J$571:$Y$611,U$17 + 1 + $H36*$H$39, U$15)</f>
        <v>11.697577523637193</v>
      </c>
      <c r="V36" s="339">
        <f>INDEX('Volume adjustments'!$J$571:$Y$611,V$17 + 1 + $H36*$H$39, V$15)</f>
        <v>11.175866589045592</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252</v>
      </c>
      <c r="G37" s="72" t="s">
        <v>253</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1766.2552623260717</v>
      </c>
      <c r="T37" s="339">
        <f>INDEX('Volume adjustments'!$J$571:$Y$611,T$17 + 1 + $H37*$H$39, T$15)</f>
        <v>4581.0518195383684</v>
      </c>
      <c r="U37" s="339">
        <f>INDEX('Volume adjustments'!$J$571:$Y$611,U$17 + 1 + $H37*$H$39, U$15)</f>
        <v>2889.2325189307612</v>
      </c>
      <c r="V37" s="339">
        <f>INDEX('Volume adjustments'!$J$571:$Y$611,V$17 + 1 + $H37*$H$39, V$15)</f>
        <v>4809.7383417281499</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254</v>
      </c>
      <c r="G38" s="72" t="s">
        <v>253</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3.5313618344123192</v>
      </c>
      <c r="T38" s="339">
        <f>INDEX('Volume adjustments'!$J$571:$Y$611,T$17 + 1 + $H38*$H$39, T$15)</f>
        <v>9.1591243361268884</v>
      </c>
      <c r="U38" s="339">
        <f>INDEX('Volume adjustments'!$J$571:$Y$611,U$17 + 1 + $H38*$H$39, U$15)</f>
        <v>5.7765860154654582</v>
      </c>
      <c r="V38" s="339">
        <f>INDEX('Volume adjustments'!$J$571:$Y$611,V$17 + 1 + $H38*$H$39, V$15)</f>
        <v>9.6163486534330662</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255</v>
      </c>
      <c r="G39" s="80" t="s">
        <v>256</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236.04857804815131</v>
      </c>
      <c r="T39" s="195">
        <f>INDEX('Volume adjustments'!$J$571:$Y$611,T$17 + 1 + $H39*$H$39, T$15)</f>
        <v>427.83455722388163</v>
      </c>
      <c r="U39" s="195">
        <f>INDEX('Volume adjustments'!$J$571:$Y$611,U$17 + 1 + $H39*$H$39, U$15)</f>
        <v>272.32723294436977</v>
      </c>
      <c r="V39" s="195">
        <f>INDEX('Volume adjustments'!$J$571:$Y$611,V$17 + 1 + $H39*$H$39, V$15)</f>
        <v>475.04375467844665</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258</v>
      </c>
      <c r="F41" s="352"/>
      <c r="G41" s="352"/>
      <c r="H41" s="311"/>
      <c r="I41" s="311" t="s">
        <v>156</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248</v>
      </c>
    </row>
    <row r="42" spans="1:43" x14ac:dyDescent="0.3">
      <c r="A42" s="320"/>
      <c r="E42" s="32"/>
      <c r="F42" s="405" t="s">
        <v>1041</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1037</v>
      </c>
      <c r="G43" s="37"/>
    </row>
    <row r="44" spans="1:43" x14ac:dyDescent="0.3">
      <c r="A44" s="320"/>
      <c r="E44" s="28"/>
      <c r="F44" s="72" t="s">
        <v>249</v>
      </c>
      <c r="G44" s="72" t="s">
        <v>209</v>
      </c>
      <c r="H44" s="325">
        <v>0</v>
      </c>
      <c r="I44" s="23"/>
      <c r="J44" s="193">
        <f>INDEX('Volume adjustments'!$J$615:$Y$655,J$17 + 1 + $H44*$H$50, J$15)</f>
        <v>38108.591813126724</v>
      </c>
      <c r="K44" s="193">
        <f>INDEX('Volume adjustments'!$J$615:$Y$655,K$17 + 1 + $H44*$H$50, K$15)</f>
        <v>0</v>
      </c>
      <c r="L44" s="193">
        <f>INDEX('Volume adjustments'!$J$615:$Y$655,L$17 + 1 + $H44*$H$50, L$15)</f>
        <v>0</v>
      </c>
      <c r="M44" s="193">
        <f>INDEX('Volume adjustments'!$J$615:$Y$655,M$17 + 1 + $H44*$H$50, M$15)</f>
        <v>91.021235078130502</v>
      </c>
      <c r="N44" s="193">
        <f>INDEX('Volume adjustments'!$J$615:$Y$655,N$17 + 1 + $H44*$H$50, N$15)</f>
        <v>418.93511268972793</v>
      </c>
      <c r="O44" s="193">
        <f>INDEX('Volume adjustments'!$J$615:$Y$655,O$17 + 1 + $H44*$H$50, O$15)</f>
        <v>518.53339474926418</v>
      </c>
      <c r="P44" s="193">
        <f>INDEX('Volume adjustments'!$J$615:$Y$655,P$17 + 1 + $H44*$H$50, P$15)</f>
        <v>1838.9640720688315</v>
      </c>
      <c r="Q44" s="193">
        <f>INDEX('Volume adjustments'!$J$615:$Y$655,Q$17 + 1 + $H44*$H$50, Q$15)</f>
        <v>0</v>
      </c>
      <c r="R44" s="193">
        <f>INDEX('Volume adjustments'!$J$615:$Y$655,R$17 + 1 + $H44*$H$50, R$15)</f>
        <v>0</v>
      </c>
      <c r="S44" s="193">
        <f>INDEX('Volume adjustments'!$J$615:$Y$655,S$17 + 1 + $H44*$H$50, S$15)</f>
        <v>3459.0095420465991</v>
      </c>
      <c r="T44" s="193">
        <f>INDEX('Volume adjustments'!$J$615:$Y$655,T$17 + 1 + $H44*$H$50, T$15)</f>
        <v>6269.4036460275065</v>
      </c>
      <c r="U44" s="193">
        <f>INDEX('Volume adjustments'!$J$615:$Y$655,U$17 + 1 + $H44*$H$50, U$15)</f>
        <v>3990.6298318033841</v>
      </c>
      <c r="V44" s="193">
        <f>INDEX('Volume adjustments'!$J$615:$Y$655,V$17 + 1 + $H44*$H$50, V$15)</f>
        <v>6961.1979614941793</v>
      </c>
      <c r="W44" s="193">
        <f>INDEX('Volume adjustments'!$J$615:$Y$655,W$17 + 1 + $H44*$H$50, W$15)</f>
        <v>0</v>
      </c>
      <c r="X44" s="193">
        <f>INDEX('Volume adjustments'!$J$615:$Y$655,X$17 + 1 + $H44*$H$50, X$15)</f>
        <v>50.972586942372644</v>
      </c>
      <c r="Y44" s="193">
        <f>INDEX('Volume adjustments'!$J$615:$Y$655,Y$17 + 1 + $H44*$H$50, Y$15)</f>
        <v>100.73796923918252</v>
      </c>
      <c r="Z44" s="193">
        <f>INDEX('Volume adjustments'!$J$615:$Y$655,Z$17 + 1 + $H44*$H$50, Z$15)</f>
        <v>213.23572220070147</v>
      </c>
      <c r="AA44" s="193">
        <f>INDEX('Volume adjustments'!$J$615:$Y$655,AA$17 + 1 + $H44*$H$50, AA$15)</f>
        <v>3064.6098199537332</v>
      </c>
      <c r="AB44" s="193">
        <f>INDEX('Volume adjustments'!$J$615:$Y$655,AB$17 + 1 + $H44*$H$50, AB$15)</f>
        <v>0</v>
      </c>
      <c r="AC44" s="193">
        <f>INDEX('Volume adjustments'!$J$615:$Y$655,AC$17 + 1 + $H44*$H$50, AC$15)</f>
        <v>1187.0464416040249</v>
      </c>
      <c r="AD44" s="193">
        <f>INDEX('Volume adjustments'!$J$615:$Y$655,AD$17 + 1 + $H44*$H$50, AD$15)</f>
        <v>2903.5091302422084</v>
      </c>
      <c r="AE44" s="193">
        <f>INDEX('Volume adjustments'!$J$615:$Y$655,AE$17 + 1 + $H44*$H$50, AE$15)</f>
        <v>2055.6755131044797</v>
      </c>
      <c r="AF44" s="193">
        <f>INDEX('Volume adjustments'!$J$615:$Y$655,AF$17 + 1 + $H44*$H$50, AF$15)</f>
        <v>6201.8642118989756</v>
      </c>
      <c r="AG44" s="193">
        <f>INDEX('Volume adjustments'!$J$615:$Y$655,AG$17 + 1 + $H44*$H$50, AG$15)</f>
        <v>5.6935103681417845</v>
      </c>
      <c r="AH44" s="193">
        <f>INDEX('Volume adjustments'!$J$615:$Y$655,AH$17 + 1 + $H44*$H$50, AH$15)</f>
        <v>0.10207970836668105</v>
      </c>
      <c r="AI44" s="193">
        <f>INDEX('Volume adjustments'!$J$615:$Y$655,AI$17 + 1 + $H44*$H$50, AI$15)</f>
        <v>0</v>
      </c>
      <c r="AJ44" s="193">
        <f>INDEX('Volume adjustments'!$J$615:$Y$655,AJ$17 + 1 + $H44*$H$50, AJ$15)</f>
        <v>9.3150819735035242</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v>
      </c>
      <c r="AO44" s="193">
        <f>INDEX('Volume adjustments'!$J$615:$Y$655,AO$17 + 1 + $H44*$H$50, AO$15)</f>
        <v>0</v>
      </c>
    </row>
    <row r="45" spans="1:43" x14ac:dyDescent="0.3">
      <c r="A45" s="320"/>
      <c r="E45" s="28"/>
      <c r="F45" s="72" t="s">
        <v>250</v>
      </c>
      <c r="G45" s="72" t="s">
        <v>209</v>
      </c>
      <c r="H45" s="376">
        <v>1</v>
      </c>
      <c r="J45" s="339">
        <f>INDEX('Volume adjustments'!$J$615:$Y$655,J$17 + 1 + $H45*$H$50, J$15)</f>
        <v>107950.2222213502</v>
      </c>
      <c r="K45" s="339">
        <f>INDEX('Volume adjustments'!$J$615:$Y$655,K$17 + 1 + $H45*$H$50, K$15)</f>
        <v>0</v>
      </c>
      <c r="L45" s="339">
        <f>INDEX('Volume adjustments'!$J$615:$Y$655,L$17 + 1 + $H45*$H$50, L$15)</f>
        <v>0</v>
      </c>
      <c r="M45" s="339">
        <f>INDEX('Volume adjustments'!$J$615:$Y$655,M$17 + 1 + $H45*$H$50, M$15)</f>
        <v>391.20064627938979</v>
      </c>
      <c r="N45" s="339">
        <f>INDEX('Volume adjustments'!$J$615:$Y$655,N$17 + 1 + $H45*$H$50, N$15)</f>
        <v>1800.5434302519977</v>
      </c>
      <c r="O45" s="339">
        <f>INDEX('Volume adjustments'!$J$615:$Y$655,O$17 + 1 + $H45*$H$50, O$15)</f>
        <v>2228.6074119872787</v>
      </c>
      <c r="P45" s="339">
        <f>INDEX('Volume adjustments'!$J$615:$Y$655,P$17 + 1 + $H45*$H$50, P$15)</f>
        <v>7903.6933838613113</v>
      </c>
      <c r="Q45" s="339">
        <f>INDEX('Volume adjustments'!$J$615:$Y$655,Q$17 + 1 + $H45*$H$50, Q$15)</f>
        <v>0</v>
      </c>
      <c r="R45" s="339">
        <f>INDEX('Volume adjustments'!$J$615:$Y$655,R$17 + 1 + $H45*$H$50, R$15)</f>
        <v>0</v>
      </c>
      <c r="S45" s="339">
        <f>INDEX('Volume adjustments'!$J$615:$Y$655,S$17 + 1 + $H45*$H$50, S$15)</f>
        <v>12792.967584846705</v>
      </c>
      <c r="T45" s="339">
        <f>INDEX('Volume adjustments'!$J$615:$Y$655,T$17 + 1 + $H45*$H$50, T$15)</f>
        <v>23187.064575859775</v>
      </c>
      <c r="U45" s="339">
        <f>INDEX('Volume adjustments'!$J$615:$Y$655,U$17 + 1 + $H45*$H$50, U$15)</f>
        <v>14759.137684013705</v>
      </c>
      <c r="V45" s="339">
        <f>INDEX('Volume adjustments'!$J$615:$Y$655,V$17 + 1 + $H45*$H$50, V$15)</f>
        <v>25745.630010724115</v>
      </c>
      <c r="W45" s="339">
        <f>INDEX('Volume adjustments'!$J$615:$Y$655,W$17 + 1 + $H45*$H$50, W$15)</f>
        <v>0</v>
      </c>
      <c r="X45" s="339">
        <f>INDEX('Volume adjustments'!$J$615:$Y$655,X$17 + 1 + $H45*$H$50, X$15)</f>
        <v>193.86605341280736</v>
      </c>
      <c r="Y45" s="339">
        <f>INDEX('Volume adjustments'!$J$615:$Y$655,Y$17 + 1 + $H45*$H$50, Y$15)</f>
        <v>383.14069771072224</v>
      </c>
      <c r="Z45" s="339">
        <f>INDEX('Volume adjustments'!$J$615:$Y$655,Z$17 + 1 + $H45*$H$50, Z$15)</f>
        <v>811.007845381989</v>
      </c>
      <c r="AA45" s="339">
        <f>INDEX('Volume adjustments'!$J$615:$Y$655,AA$17 + 1 + $H45*$H$50, AA$15)</f>
        <v>11655.751584989292</v>
      </c>
      <c r="AB45" s="339">
        <f>INDEX('Volume adjustments'!$J$615:$Y$655,AB$17 + 1 + $H45*$H$50, AB$15)</f>
        <v>0</v>
      </c>
      <c r="AC45" s="339">
        <f>INDEX('Volume adjustments'!$J$615:$Y$655,AC$17 + 1 + $H45*$H$50, AC$15)</f>
        <v>4196.4664762891389</v>
      </c>
      <c r="AD45" s="339">
        <f>INDEX('Volume adjustments'!$J$615:$Y$655,AD$17 + 1 + $H45*$H$50, AD$15)</f>
        <v>10264.534142570103</v>
      </c>
      <c r="AE45" s="339">
        <f>INDEX('Volume adjustments'!$J$615:$Y$655,AE$17 + 1 + $H45*$H$50, AE$15)</f>
        <v>7267.2585288361252</v>
      </c>
      <c r="AF45" s="339">
        <f>INDEX('Volume adjustments'!$J$615:$Y$655,AF$17 + 1 + $H45*$H$50, AF$15)</f>
        <v>21924.934310542449</v>
      </c>
      <c r="AG45" s="339">
        <f>INDEX('Volume adjustments'!$J$615:$Y$655,AG$17 + 1 + $H45*$H$50, AG$15)</f>
        <v>484.30703219565856</v>
      </c>
      <c r="AH45" s="339">
        <f>INDEX('Volume adjustments'!$J$615:$Y$655,AH$17 + 1 + $H45*$H$50, AH$15)</f>
        <v>0.70602788921055704</v>
      </c>
      <c r="AI45" s="339">
        <f>INDEX('Volume adjustments'!$J$615:$Y$655,AI$17 + 1 + $H45*$H$50, AI$15)</f>
        <v>0</v>
      </c>
      <c r="AJ45" s="339">
        <f>INDEX('Volume adjustments'!$J$615:$Y$655,AJ$17 + 1 + $H45*$H$50, AJ$15)</f>
        <v>50.757499276286254</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0</v>
      </c>
      <c r="AO45" s="339">
        <f>INDEX('Volume adjustments'!$J$615:$Y$655,AO$17 + 1 + $H45*$H$50, AO$15)</f>
        <v>0</v>
      </c>
    </row>
    <row r="46" spans="1:43" x14ac:dyDescent="0.3">
      <c r="A46" s="320"/>
      <c r="E46" s="28"/>
      <c r="F46" s="72" t="s">
        <v>251</v>
      </c>
      <c r="G46" s="72" t="s">
        <v>209</v>
      </c>
      <c r="H46" s="376">
        <v>2</v>
      </c>
      <c r="J46" s="339">
        <f>INDEX('Volume adjustments'!$J$615:$Y$655,J$17 + 1 + $H46*$H$50, J$15)</f>
        <v>162892.31444569505</v>
      </c>
      <c r="K46" s="339">
        <f>INDEX('Volume adjustments'!$J$615:$Y$655,K$17 + 1 + $H46*$H$50, K$15)</f>
        <v>0</v>
      </c>
      <c r="L46" s="339">
        <f>INDEX('Volume adjustments'!$J$615:$Y$655,L$17 + 1 + $H46*$H$50, L$15)</f>
        <v>0</v>
      </c>
      <c r="M46" s="339">
        <f>INDEX('Volume adjustments'!$J$615:$Y$655,M$17 + 1 + $H46*$H$50, M$15)</f>
        <v>353.66662900835792</v>
      </c>
      <c r="N46" s="339">
        <f>INDEX('Volume adjustments'!$J$615:$Y$655,N$17 + 1 + $H46*$H$50, N$15)</f>
        <v>1627.7890423155943</v>
      </c>
      <c r="O46" s="339">
        <f>INDEX('Volume adjustments'!$J$615:$Y$655,O$17 + 1 + $H46*$H$50, O$15)</f>
        <v>2014.7821284979984</v>
      </c>
      <c r="P46" s="339">
        <f>INDEX('Volume adjustments'!$J$615:$Y$655,P$17 + 1 + $H46*$H$50, P$15)</f>
        <v>7145.3680416201278</v>
      </c>
      <c r="Q46" s="339">
        <f>INDEX('Volume adjustments'!$J$615:$Y$655,Q$17 + 1 + $H46*$H$50, Q$15)</f>
        <v>0</v>
      </c>
      <c r="R46" s="339">
        <f>INDEX('Volume adjustments'!$J$615:$Y$655,R$17 + 1 + $H46*$H$50, R$15)</f>
        <v>0</v>
      </c>
      <c r="S46" s="339">
        <f>INDEX('Volume adjustments'!$J$615:$Y$655,S$17 + 1 + $H46*$H$50, S$15)</f>
        <v>16155.857858706488</v>
      </c>
      <c r="T46" s="339">
        <f>INDEX('Volume adjustments'!$J$615:$Y$655,T$17 + 1 + $H46*$H$50, T$15)</f>
        <v>29282.253469629795</v>
      </c>
      <c r="U46" s="339">
        <f>INDEX('Volume adjustments'!$J$615:$Y$655,U$17 + 1 + $H46*$H$50, U$15)</f>
        <v>18638.875535215477</v>
      </c>
      <c r="V46" s="339">
        <f>INDEX('Volume adjustments'!$J$615:$Y$655,V$17 + 1 + $H46*$H$50, V$15)</f>
        <v>32513.389577316819</v>
      </c>
      <c r="W46" s="339">
        <f>INDEX('Volume adjustments'!$J$615:$Y$655,W$17 + 1 + $H46*$H$50, W$15)</f>
        <v>0</v>
      </c>
      <c r="X46" s="339">
        <f>INDEX('Volume adjustments'!$J$615:$Y$655,X$17 + 1 + $H46*$H$50, X$15)</f>
        <v>278.76658312353277</v>
      </c>
      <c r="Y46" s="339">
        <f>INDEX('Volume adjustments'!$J$615:$Y$655,Y$17 + 1 + $H46*$H$50, Y$15)</f>
        <v>550.93102312737551</v>
      </c>
      <c r="Z46" s="339">
        <f>INDEX('Volume adjustments'!$J$615:$Y$655,Z$17 + 1 + $H46*$H$50, Z$15)</f>
        <v>1166.1757278470486</v>
      </c>
      <c r="AA46" s="339">
        <f>INDEX('Volume adjustments'!$J$615:$Y$655,AA$17 + 1 + $H46*$H$50, AA$15)</f>
        <v>16760.201107335855</v>
      </c>
      <c r="AB46" s="339">
        <f>INDEX('Volume adjustments'!$J$615:$Y$655,AB$17 + 1 + $H46*$H$50, AB$15)</f>
        <v>0</v>
      </c>
      <c r="AC46" s="339">
        <f>INDEX('Volume adjustments'!$J$615:$Y$655,AC$17 + 1 + $H46*$H$50, AC$15)</f>
        <v>6513.6984871214654</v>
      </c>
      <c r="AD46" s="339">
        <f>INDEX('Volume adjustments'!$J$615:$Y$655,AD$17 + 1 + $H46*$H$50, AD$15)</f>
        <v>15932.471018948469</v>
      </c>
      <c r="AE46" s="339">
        <f>INDEX('Volume adjustments'!$J$615:$Y$655,AE$17 + 1 + $H46*$H$50, AE$15)</f>
        <v>11280.140363866189</v>
      </c>
      <c r="AF46" s="339">
        <f>INDEX('Volume adjustments'!$J$615:$Y$655,AF$17 + 1 + $H46*$H$50, AF$15)</f>
        <v>34031.586396730694</v>
      </c>
      <c r="AG46" s="339">
        <f>INDEX('Volume adjustments'!$J$615:$Y$655,AG$17 + 1 + $H46*$H$50, AG$15)</f>
        <v>798.66787986561553</v>
      </c>
      <c r="AH46" s="339">
        <f>INDEX('Volume adjustments'!$J$615:$Y$655,AH$17 + 1 + $H46*$H$50, AH$15)</f>
        <v>0.53785825991290714</v>
      </c>
      <c r="AI46" s="339">
        <f>INDEX('Volume adjustments'!$J$615:$Y$655,AI$17 + 1 + $H46*$H$50, AI$15)</f>
        <v>0</v>
      </c>
      <c r="AJ46" s="339">
        <f>INDEX('Volume adjustments'!$J$615:$Y$655,AJ$17 + 1 + $H46*$H$50, AJ$15)</f>
        <v>102.22566092765663</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3">
      <c r="A47" s="320"/>
      <c r="E47" s="28"/>
      <c r="F47" s="72" t="s">
        <v>214</v>
      </c>
      <c r="G47" s="72" t="s">
        <v>214</v>
      </c>
      <c r="H47" s="376">
        <v>3</v>
      </c>
      <c r="J47" s="339">
        <f>INDEX('Volume adjustments'!$J$615:$Y$655,J$17 + 1 + $H47*$H$50, J$15)</f>
        <v>95331.946746646136</v>
      </c>
      <c r="K47" s="339">
        <f>INDEX('Volume adjustments'!$J$615:$Y$655,K$17 + 1 + $H47*$H$50, K$15)</f>
        <v>0</v>
      </c>
      <c r="L47" s="339">
        <f>INDEX('Volume adjustments'!$J$615:$Y$655,L$17 + 1 + $H47*$H$50, L$15)</f>
        <v>0</v>
      </c>
      <c r="M47" s="339">
        <f>INDEX('Volume adjustments'!$J$615:$Y$655,M$17 + 1 + $H47*$H$50, M$15)</f>
        <v>776.5322375992281</v>
      </c>
      <c r="N47" s="339">
        <f>INDEX('Volume adjustments'!$J$615:$Y$655,N$17 + 1 + $H47*$H$50, N$15)</f>
        <v>675.2644888310607</v>
      </c>
      <c r="O47" s="339">
        <f>INDEX('Volume adjustments'!$J$615:$Y$655,O$17 + 1 + $H47*$H$50, O$15)</f>
        <v>335.27979875953486</v>
      </c>
      <c r="P47" s="339">
        <f>INDEX('Volume adjustments'!$J$615:$Y$655,P$17 + 1 + $H47*$H$50, P$15)</f>
        <v>381.51098517786386</v>
      </c>
      <c r="Q47" s="339">
        <f>INDEX('Volume adjustments'!$J$615:$Y$655,Q$17 + 1 + $H47*$H$50, Q$15)</f>
        <v>0</v>
      </c>
      <c r="R47" s="339">
        <f>INDEX('Volume adjustments'!$J$615:$Y$655,R$17 + 1 + $H47*$H$50, R$15)</f>
        <v>0</v>
      </c>
      <c r="S47" s="339">
        <f>INDEX('Volume adjustments'!$J$615:$Y$655,S$17 + 1 + $H47*$H$50, S$15)</f>
        <v>177.5611654517908</v>
      </c>
      <c r="T47" s="339">
        <f>INDEX('Volume adjustments'!$J$615:$Y$655,T$17 + 1 + $H47*$H$50, T$15)</f>
        <v>186.81916679005462</v>
      </c>
      <c r="U47" s="339">
        <f>INDEX('Volume adjustments'!$J$615:$Y$655,U$17 + 1 + $H47*$H$50, U$15)</f>
        <v>75.889064733366766</v>
      </c>
      <c r="V47" s="339">
        <f>INDEX('Volume adjustments'!$J$615:$Y$655,V$17 + 1 + $H47*$H$50, V$15)</f>
        <v>72.504419082818714</v>
      </c>
      <c r="W47" s="339">
        <f>INDEX('Volume adjustments'!$J$615:$Y$655,W$17 + 1 + $H47*$H$50, W$15)</f>
        <v>0</v>
      </c>
      <c r="X47" s="339">
        <f>INDEX('Volume adjustments'!$J$615:$Y$655,X$17 + 1 + $H47*$H$50, X$15)</f>
        <v>1.0308197941793038</v>
      </c>
      <c r="Y47" s="339">
        <f>INDEX('Volume adjustments'!$J$615:$Y$655,Y$17 + 1 + $H47*$H$50, Y$15)</f>
        <v>2.7832134442841201</v>
      </c>
      <c r="Z47" s="339">
        <f>INDEX('Volume adjustments'!$J$615:$Y$655,Z$17 + 1 + $H47*$H$50, Z$15)</f>
        <v>3.6078692796275629</v>
      </c>
      <c r="AA47" s="339">
        <f>INDEX('Volume adjustments'!$J$615:$Y$655,AA$17 + 1 + $H47*$H$50, AA$15)</f>
        <v>30.306101948871529</v>
      </c>
      <c r="AB47" s="339">
        <f>INDEX('Volume adjustments'!$J$615:$Y$655,AB$17 + 1 + $H47*$H$50, AB$15)</f>
        <v>0</v>
      </c>
      <c r="AC47" s="339">
        <f>INDEX('Volume adjustments'!$J$615:$Y$655,AC$17 + 1 + $H47*$H$50, AC$15)</f>
        <v>22.500027373401814</v>
      </c>
      <c r="AD47" s="339">
        <f>INDEX('Volume adjustments'!$J$615:$Y$655,AD$17 + 1 + $H47*$H$50, AD$15)</f>
        <v>15.670466029240488</v>
      </c>
      <c r="AE47" s="339">
        <f>INDEX('Volume adjustments'!$J$615:$Y$655,AE$17 + 1 + $H47*$H$50, AE$15)</f>
        <v>5.0133483273623787</v>
      </c>
      <c r="AF47" s="339">
        <f>INDEX('Volume adjustments'!$J$615:$Y$655,AF$17 + 1 + $H47*$H$50, AF$15)</f>
        <v>5.8088796487701817</v>
      </c>
      <c r="AG47" s="339">
        <f>INDEX('Volume adjustments'!$J$615:$Y$655,AG$17 + 1 + $H47*$H$50, AG$15)</f>
        <v>0</v>
      </c>
      <c r="AH47" s="339">
        <f>INDEX('Volume adjustments'!$J$615:$Y$655,AH$17 + 1 + $H47*$H$50, AH$15)</f>
        <v>0</v>
      </c>
      <c r="AI47" s="339">
        <f>INDEX('Volume adjustments'!$J$615:$Y$655,AI$17 + 1 + $H47*$H$50, AI$15)</f>
        <v>0</v>
      </c>
      <c r="AJ47" s="339">
        <f>INDEX('Volume adjustments'!$J$615:$Y$655,AJ$17 + 1 + $H47*$H$50, AJ$15)</f>
        <v>7.5227924811313303</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v>
      </c>
      <c r="AO47" s="339">
        <f>INDEX('Volume adjustments'!$J$615:$Y$655,AO$17 + 1 + $H47*$H$50, AO$15)</f>
        <v>0</v>
      </c>
    </row>
    <row r="48" spans="1:43" x14ac:dyDescent="0.3">
      <c r="A48" s="320"/>
      <c r="E48" s="28"/>
      <c r="F48" s="72" t="s">
        <v>252</v>
      </c>
      <c r="G48" s="72" t="s">
        <v>253</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18032.380369857019</v>
      </c>
      <c r="T48" s="339">
        <f>INDEX('Volume adjustments'!$J$615:$Y$655,T$17 + 1 + $H48*$H$50, T$15)</f>
        <v>46769.722738236451</v>
      </c>
      <c r="U48" s="339">
        <f>INDEX('Volume adjustments'!$J$615:$Y$655,U$17 + 1 + $H48*$H$50, U$15)</f>
        <v>29497.287775780951</v>
      </c>
      <c r="V48" s="339">
        <f>INDEX('Volume adjustments'!$J$615:$Y$655,V$17 + 1 + $H48*$H$50, V$15)</f>
        <v>49104.471537883393</v>
      </c>
      <c r="W48" s="339">
        <f>INDEX('Volume adjustments'!$J$615:$Y$655,W$17 + 1 + $H48*$H$50, W$15)</f>
        <v>0</v>
      </c>
      <c r="X48" s="339">
        <f>INDEX('Volume adjustments'!$J$615:$Y$655,X$17 + 1 + $H48*$H$50, X$15)</f>
        <v>12.063291022714548</v>
      </c>
      <c r="Y48" s="339">
        <f>INDEX('Volume adjustments'!$J$615:$Y$655,Y$17 + 1 + $H48*$H$50, Y$15)</f>
        <v>544.1363904349148</v>
      </c>
      <c r="Z48" s="339">
        <f>INDEX('Volume adjustments'!$J$615:$Y$655,Z$17 + 1 + $H48*$H$50, Z$15)</f>
        <v>1034.2714770770001</v>
      </c>
      <c r="AA48" s="339">
        <f>INDEX('Volume adjustments'!$J$615:$Y$655,AA$17 + 1 + $H48*$H$50, AA$15)</f>
        <v>23719.651809901654</v>
      </c>
      <c r="AB48" s="339">
        <f>INDEX('Volume adjustments'!$J$615:$Y$655,AB$17 + 1 + $H48*$H$50, AB$15)</f>
        <v>0</v>
      </c>
      <c r="AC48" s="339">
        <f>INDEX('Volume adjustments'!$J$615:$Y$655,AC$17 + 1 + $H48*$H$50, AC$15)</f>
        <v>8209.6062574963653</v>
      </c>
      <c r="AD48" s="339">
        <f>INDEX('Volume adjustments'!$J$615:$Y$655,AD$17 + 1 + $H48*$H$50, AD$15)</f>
        <v>18339.591904976616</v>
      </c>
      <c r="AE48" s="339">
        <f>INDEX('Volume adjustments'!$J$615:$Y$655,AE$17 + 1 + $H48*$H$50, AE$15)</f>
        <v>12270.577215301419</v>
      </c>
      <c r="AF48" s="339">
        <f>INDEX('Volume adjustments'!$J$615:$Y$655,AF$17 + 1 + $H48*$H$50, AF$15)</f>
        <v>34188.480988452822</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254</v>
      </c>
      <c r="G49" s="72" t="s">
        <v>253</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43.85799562311626</v>
      </c>
      <c r="T49" s="339">
        <f>INDEX('Volume adjustments'!$J$615:$Y$655,T$17 + 1 + $H49*$H$50, T$15)</f>
        <v>113.75238615622656</v>
      </c>
      <c r="U49" s="339">
        <f>INDEX('Volume adjustments'!$J$615:$Y$655,U$17 + 1 + $H49*$H$50, U$15)</f>
        <v>71.742714585066153</v>
      </c>
      <c r="V49" s="339">
        <f>INDEX('Volume adjustments'!$J$615:$Y$655,V$17 + 1 + $H49*$H$50, V$15)</f>
        <v>119.43091558693662</v>
      </c>
      <c r="W49" s="339">
        <f>INDEX('Volume adjustments'!$J$615:$Y$655,W$17 + 1 + $H49*$H$50, W$15)</f>
        <v>0</v>
      </c>
      <c r="X49" s="339">
        <f>INDEX('Volume adjustments'!$J$615:$Y$655,X$17 + 1 + $H49*$H$50, X$15)</f>
        <v>4.1748762263639147E-2</v>
      </c>
      <c r="Y49" s="339">
        <f>INDEX('Volume adjustments'!$J$615:$Y$655,Y$17 + 1 + $H49*$H$50, Y$15)</f>
        <v>1.8831528444838994</v>
      </c>
      <c r="Z49" s="339">
        <f>INDEX('Volume adjustments'!$J$615:$Y$655,Z$17 + 1 + $H49*$H$50, Z$15)</f>
        <v>3.5794174186170036</v>
      </c>
      <c r="AA49" s="339">
        <f>INDEX('Volume adjustments'!$J$615:$Y$655,AA$17 + 1 + $H49*$H$50, AA$15)</f>
        <v>82.089216161929841</v>
      </c>
      <c r="AB49" s="339">
        <f>INDEX('Volume adjustments'!$J$615:$Y$655,AB$17 + 1 + $H49*$H$50, AB$15)</f>
        <v>0</v>
      </c>
      <c r="AC49" s="339">
        <f>INDEX('Volume adjustments'!$J$615:$Y$655,AC$17 + 1 + $H49*$H$50, AC$15)</f>
        <v>3.7547087400521213</v>
      </c>
      <c r="AD49" s="339">
        <f>INDEX('Volume adjustments'!$J$615:$Y$655,AD$17 + 1 + $H49*$H$50, AD$15)</f>
        <v>8.3877135948788606</v>
      </c>
      <c r="AE49" s="339">
        <f>INDEX('Volume adjustments'!$J$615:$Y$655,AE$17 + 1 + $H49*$H$50, AE$15)</f>
        <v>5.612016224737566</v>
      </c>
      <c r="AF49" s="339">
        <f>INDEX('Volume adjustments'!$J$615:$Y$655,AF$17 + 1 + $H49*$H$50, AF$15)</f>
        <v>15.63629050531312</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255</v>
      </c>
      <c r="G50" s="80" t="s">
        <v>256</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2234.8537686899667</v>
      </c>
      <c r="T50" s="195">
        <f>INDEX('Volume adjustments'!$J$615:$Y$655,T$17 + 1 + $H50*$H$50, T$15)</f>
        <v>4050.6394086074583</v>
      </c>
      <c r="U50" s="195">
        <f>INDEX('Volume adjustments'!$J$615:$Y$655,U$17 + 1 + $H50*$H$50, U$15)</f>
        <v>2578.3317480458841</v>
      </c>
      <c r="V50" s="195">
        <f>INDEX('Volume adjustments'!$J$615:$Y$655,V$17 + 1 + $H50*$H$50, V$15)</f>
        <v>4497.6052565721993</v>
      </c>
      <c r="W50" s="195">
        <f>INDEX('Volume adjustments'!$J$615:$Y$655,W$17 + 1 + $H50*$H$50, W$15)</f>
        <v>0</v>
      </c>
      <c r="X50" s="195">
        <f>INDEX('Volume adjustments'!$J$615:$Y$655,X$17 + 1 + $H50*$H$50, X$15)</f>
        <v>37.114812110610465</v>
      </c>
      <c r="Y50" s="195">
        <f>INDEX('Volume adjustments'!$J$615:$Y$655,Y$17 + 1 + $H50*$H$50, Y$15)</f>
        <v>73.350618930597307</v>
      </c>
      <c r="Z50" s="195">
        <f>INDEX('Volume adjustments'!$J$615:$Y$655,Z$17 + 1 + $H50*$H$50, Z$15)</f>
        <v>155.263922031205</v>
      </c>
      <c r="AA50" s="195">
        <f>INDEX('Volume adjustments'!$J$615:$Y$655,AA$17 + 1 + $H50*$H$50, AA$15)</f>
        <v>2231.4429084893559</v>
      </c>
      <c r="AB50" s="195">
        <f>INDEX('Volume adjustments'!$J$615:$Y$655,AB$17 + 1 + $H50*$H$50, AB$15)</f>
        <v>0</v>
      </c>
      <c r="AC50" s="195">
        <f>INDEX('Volume adjustments'!$J$615:$Y$655,AC$17 + 1 + $H50*$H$50, AC$15)</f>
        <v>316.68356062222227</v>
      </c>
      <c r="AD50" s="195">
        <f>INDEX('Volume adjustments'!$J$615:$Y$655,AD$17 + 1 + $H50*$H$50, AD$15)</f>
        <v>774.60626428545322</v>
      </c>
      <c r="AE50" s="195">
        <f>INDEX('Volume adjustments'!$J$615:$Y$655,AE$17 + 1 + $H50*$H$50, AE$15)</f>
        <v>548.41884711280795</v>
      </c>
      <c r="AF50" s="195">
        <f>INDEX('Volume adjustments'!$J$615:$Y$655,AF$17 + 1 + $H50*$H$50, AF$15)</f>
        <v>1654.5506328006506</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83.119264278831736</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761</v>
      </c>
      <c r="G54" s="13"/>
      <c r="I54" t="s">
        <v>156</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157</v>
      </c>
    </row>
    <row r="55" spans="1:43" x14ac:dyDescent="0.3">
      <c r="F55" s="23" t="s">
        <v>158</v>
      </c>
      <c r="G55" s="85" t="s">
        <v>271</v>
      </c>
      <c r="H55" s="278"/>
      <c r="I55" s="266"/>
      <c r="J55" s="278">
        <f>Rounding!J150</f>
        <v>6.8029999999999999</v>
      </c>
      <c r="K55" s="278">
        <f>Rounding!K150</f>
        <v>6.8029999999999999</v>
      </c>
      <c r="L55" s="278">
        <f>Rounding!L150</f>
        <v>5.95</v>
      </c>
      <c r="M55" s="278">
        <f>Rounding!M150</f>
        <v>5.95</v>
      </c>
      <c r="N55" s="278">
        <f>Rounding!N150</f>
        <v>5.95</v>
      </c>
      <c r="O55" s="278">
        <f>Rounding!O150</f>
        <v>5.95</v>
      </c>
      <c r="P55" s="278">
        <f>Rounding!P150</f>
        <v>5.95</v>
      </c>
      <c r="Q55" s="278">
        <f>Rounding!Q150</f>
        <v>5.95</v>
      </c>
      <c r="R55" s="278">
        <f>Rounding!R150</f>
        <v>4.3010000000000002</v>
      </c>
      <c r="S55" s="278">
        <f>Rounding!S150</f>
        <v>4.3010000000000002</v>
      </c>
      <c r="T55" s="278">
        <f>Rounding!T150</f>
        <v>4.3010000000000002</v>
      </c>
      <c r="U55" s="278">
        <f>Rounding!U150</f>
        <v>4.3010000000000002</v>
      </c>
      <c r="V55" s="278">
        <f>Rounding!V150</f>
        <v>4.3010000000000002</v>
      </c>
      <c r="W55" s="278">
        <f>Rounding!W150</f>
        <v>2.964</v>
      </c>
      <c r="X55" s="278">
        <f>Rounding!X150</f>
        <v>2.964</v>
      </c>
      <c r="Y55" s="278">
        <f>Rounding!Y150</f>
        <v>2.964</v>
      </c>
      <c r="Z55" s="278">
        <f>Rounding!Z150</f>
        <v>2.964</v>
      </c>
      <c r="AA55" s="278">
        <f>Rounding!AA150</f>
        <v>2.964</v>
      </c>
      <c r="AB55" s="278">
        <f>Rounding!AB150</f>
        <v>1.778</v>
      </c>
      <c r="AC55" s="278">
        <f>Rounding!AC150</f>
        <v>1.778</v>
      </c>
      <c r="AD55" s="278">
        <f>Rounding!AD150</f>
        <v>1.778</v>
      </c>
      <c r="AE55" s="278">
        <f>Rounding!AE150</f>
        <v>1.778</v>
      </c>
      <c r="AF55" s="278">
        <f>Rounding!AF150</f>
        <v>1.778</v>
      </c>
      <c r="AG55" s="278">
        <f>Rounding!AG150</f>
        <v>20.608000000000001</v>
      </c>
      <c r="AH55" s="278">
        <f>Rounding!AH150</f>
        <v>-4.1550000000000002</v>
      </c>
      <c r="AI55" s="278">
        <f>Rounding!AI150</f>
        <v>-3.6520000000000001</v>
      </c>
      <c r="AJ55" s="278">
        <f>Rounding!AJ150</f>
        <v>-4.1550000000000002</v>
      </c>
      <c r="AK55" s="278">
        <f>Rounding!AK150</f>
        <v>-4.1550000000000002</v>
      </c>
      <c r="AL55" s="278">
        <f>Rounding!AL150</f>
        <v>-3.6520000000000001</v>
      </c>
      <c r="AM55" s="278">
        <f>Rounding!AM150</f>
        <v>-3.6520000000000001</v>
      </c>
      <c r="AN55" s="278">
        <f>Rounding!AN150</f>
        <v>-2.3889999999999998</v>
      </c>
      <c r="AO55" s="278">
        <f>Rounding!AO150</f>
        <v>-2.3889999999999998</v>
      </c>
      <c r="AP55" s="267"/>
      <c r="AQ55" s="267"/>
    </row>
    <row r="56" spans="1:43" x14ac:dyDescent="0.3">
      <c r="E56" s="28"/>
      <c r="F56" t="s">
        <v>159</v>
      </c>
      <c r="G56" s="13" t="s">
        <v>271</v>
      </c>
      <c r="H56" s="279"/>
      <c r="I56" s="267"/>
      <c r="J56" s="279">
        <f>Rounding!J151</f>
        <v>1.2090000000000001</v>
      </c>
      <c r="K56" s="279">
        <f>Rounding!K151</f>
        <v>1.2090000000000001</v>
      </c>
      <c r="L56" s="279">
        <f>Rounding!L151</f>
        <v>1.0569999999999999</v>
      </c>
      <c r="M56" s="279">
        <f>Rounding!M151</f>
        <v>1.0569999999999999</v>
      </c>
      <c r="N56" s="279">
        <f>Rounding!N151</f>
        <v>1.0569999999999999</v>
      </c>
      <c r="O56" s="279">
        <f>Rounding!O151</f>
        <v>1.0569999999999999</v>
      </c>
      <c r="P56" s="279">
        <f>Rounding!P151</f>
        <v>1.0569999999999999</v>
      </c>
      <c r="Q56" s="279">
        <f>Rounding!Q151</f>
        <v>1.0569999999999999</v>
      </c>
      <c r="R56" s="279">
        <f>Rounding!R151</f>
        <v>0.73699999999999999</v>
      </c>
      <c r="S56" s="279">
        <f>Rounding!S151</f>
        <v>0.73699999999999999</v>
      </c>
      <c r="T56" s="279">
        <f>Rounding!T151</f>
        <v>0.73699999999999999</v>
      </c>
      <c r="U56" s="279">
        <f>Rounding!U151</f>
        <v>0.73699999999999999</v>
      </c>
      <c r="V56" s="279">
        <f>Rounding!V151</f>
        <v>0.73699999999999999</v>
      </c>
      <c r="W56" s="279">
        <f>Rounding!W151</f>
        <v>0.46600000000000003</v>
      </c>
      <c r="X56" s="279">
        <f>Rounding!X151</f>
        <v>0.46600000000000003</v>
      </c>
      <c r="Y56" s="279">
        <f>Rounding!Y151</f>
        <v>0.46600000000000003</v>
      </c>
      <c r="Z56" s="279">
        <f>Rounding!Z151</f>
        <v>0.46600000000000003</v>
      </c>
      <c r="AA56" s="279">
        <f>Rounding!AA151</f>
        <v>0.46600000000000003</v>
      </c>
      <c r="AB56" s="279">
        <f>Rounding!AB151</f>
        <v>0.23899999999999999</v>
      </c>
      <c r="AC56" s="279">
        <f>Rounding!AC151</f>
        <v>0.23899999999999999</v>
      </c>
      <c r="AD56" s="279">
        <f>Rounding!AD151</f>
        <v>0.23899999999999999</v>
      </c>
      <c r="AE56" s="279">
        <f>Rounding!AE151</f>
        <v>0.23899999999999999</v>
      </c>
      <c r="AF56" s="279">
        <f>Rounding!AF151</f>
        <v>0.23899999999999999</v>
      </c>
      <c r="AG56" s="279">
        <f>Rounding!AG151</f>
        <v>2.988</v>
      </c>
      <c r="AH56" s="279">
        <f>Rounding!AH151</f>
        <v>-0.73799999999999999</v>
      </c>
      <c r="AI56" s="279">
        <f>Rounding!AI151</f>
        <v>-0.63500000000000001</v>
      </c>
      <c r="AJ56" s="279">
        <f>Rounding!AJ151</f>
        <v>-0.73799999999999999</v>
      </c>
      <c r="AK56" s="279">
        <f>Rounding!AK151</f>
        <v>-0.73799999999999999</v>
      </c>
      <c r="AL56" s="279">
        <f>Rounding!AL151</f>
        <v>-0.63500000000000001</v>
      </c>
      <c r="AM56" s="279">
        <f>Rounding!AM151</f>
        <v>-0.63500000000000001</v>
      </c>
      <c r="AN56" s="279">
        <f>Rounding!AN151</f>
        <v>-0.36699999999999999</v>
      </c>
      <c r="AO56" s="279">
        <f>Rounding!AO151</f>
        <v>-0.36699999999999999</v>
      </c>
      <c r="AP56" s="267"/>
      <c r="AQ56" s="267"/>
    </row>
    <row r="57" spans="1:43" x14ac:dyDescent="0.3">
      <c r="E57" s="28"/>
      <c r="F57" t="s">
        <v>160</v>
      </c>
      <c r="G57" s="13" t="s">
        <v>271</v>
      </c>
      <c r="H57" s="279"/>
      <c r="I57" s="267"/>
      <c r="J57" s="279">
        <f>Rounding!J152</f>
        <v>8.8999999999999996E-2</v>
      </c>
      <c r="K57" s="279">
        <f>Rounding!K152</f>
        <v>8.8999999999999996E-2</v>
      </c>
      <c r="L57" s="279">
        <f>Rounding!L152</f>
        <v>7.8E-2</v>
      </c>
      <c r="M57" s="279">
        <f>Rounding!M152</f>
        <v>7.8E-2</v>
      </c>
      <c r="N57" s="279">
        <f>Rounding!N152</f>
        <v>7.8E-2</v>
      </c>
      <c r="O57" s="279">
        <f>Rounding!O152</f>
        <v>7.8E-2</v>
      </c>
      <c r="P57" s="279">
        <f>Rounding!P152</f>
        <v>7.8E-2</v>
      </c>
      <c r="Q57" s="279">
        <f>Rounding!Q152</f>
        <v>7.8E-2</v>
      </c>
      <c r="R57" s="279">
        <f>Rounding!R152</f>
        <v>5.3999999999999999E-2</v>
      </c>
      <c r="S57" s="279">
        <f>Rounding!S152</f>
        <v>5.3999999999999999E-2</v>
      </c>
      <c r="T57" s="279">
        <f>Rounding!T152</f>
        <v>5.3999999999999999E-2</v>
      </c>
      <c r="U57" s="279">
        <f>Rounding!U152</f>
        <v>5.3999999999999999E-2</v>
      </c>
      <c r="V57" s="279">
        <f>Rounding!V152</f>
        <v>5.3999999999999999E-2</v>
      </c>
      <c r="W57" s="279">
        <f>Rounding!W152</f>
        <v>3.3000000000000002E-2</v>
      </c>
      <c r="X57" s="279">
        <f>Rounding!X152</f>
        <v>3.3000000000000002E-2</v>
      </c>
      <c r="Y57" s="279">
        <f>Rounding!Y152</f>
        <v>3.3000000000000002E-2</v>
      </c>
      <c r="Z57" s="279">
        <f>Rounding!Z152</f>
        <v>3.3000000000000002E-2</v>
      </c>
      <c r="AA57" s="279">
        <f>Rounding!AA152</f>
        <v>3.3000000000000002E-2</v>
      </c>
      <c r="AB57" s="279">
        <f>Rounding!AB152</f>
        <v>1.6E-2</v>
      </c>
      <c r="AC57" s="279">
        <f>Rounding!AC152</f>
        <v>1.6E-2</v>
      </c>
      <c r="AD57" s="279">
        <f>Rounding!AD152</f>
        <v>1.6E-2</v>
      </c>
      <c r="AE57" s="279">
        <f>Rounding!AE152</f>
        <v>1.6E-2</v>
      </c>
      <c r="AF57" s="279">
        <f>Rounding!AF152</f>
        <v>1.6E-2</v>
      </c>
      <c r="AG57" s="279">
        <f>Rounding!AG152</f>
        <v>1.9179999999999999</v>
      </c>
      <c r="AH57" s="279">
        <f>Rounding!AH152</f>
        <v>-5.3999999999999999E-2</v>
      </c>
      <c r="AI57" s="279">
        <f>Rounding!AI152</f>
        <v>-4.5999999999999999E-2</v>
      </c>
      <c r="AJ57" s="279">
        <f>Rounding!AJ152</f>
        <v>-5.3999999999999999E-2</v>
      </c>
      <c r="AK57" s="279">
        <f>Rounding!AK152</f>
        <v>-5.3999999999999999E-2</v>
      </c>
      <c r="AL57" s="279">
        <f>Rounding!AL152</f>
        <v>-4.5999999999999999E-2</v>
      </c>
      <c r="AM57" s="279">
        <f>Rounding!AM152</f>
        <v>-4.5999999999999999E-2</v>
      </c>
      <c r="AN57" s="279">
        <f>Rounding!AN152</f>
        <v>-2.5999999999999999E-2</v>
      </c>
      <c r="AO57" s="279">
        <f>Rounding!AO152</f>
        <v>-2.5999999999999999E-2</v>
      </c>
      <c r="AP57" s="267"/>
      <c r="AQ57" s="267"/>
    </row>
    <row r="58" spans="1:43" x14ac:dyDescent="0.3">
      <c r="E58" s="28"/>
      <c r="F58" t="s">
        <v>161</v>
      </c>
      <c r="G58" s="13" t="s">
        <v>272</v>
      </c>
      <c r="H58" s="51"/>
      <c r="J58" s="120">
        <f>Rounding!J153</f>
        <v>13.33</v>
      </c>
      <c r="K58" s="120">
        <f>Rounding!K153</f>
        <v>0</v>
      </c>
      <c r="L58" s="120">
        <f>Rounding!L153</f>
        <v>7.38</v>
      </c>
      <c r="M58" s="120">
        <f>Rounding!M153</f>
        <v>11.46</v>
      </c>
      <c r="N58" s="120">
        <f>Rounding!N153</f>
        <v>28.94</v>
      </c>
      <c r="O58" s="120">
        <f>Rounding!O153</f>
        <v>61.13</v>
      </c>
      <c r="P58" s="120">
        <f>Rounding!P153</f>
        <v>174.91</v>
      </c>
      <c r="Q58" s="120">
        <f>Rounding!Q153</f>
        <v>0</v>
      </c>
      <c r="R58" s="120">
        <f>Rounding!R153</f>
        <v>11.44</v>
      </c>
      <c r="S58" s="120">
        <f>Rounding!S153</f>
        <v>297.07</v>
      </c>
      <c r="T58" s="120">
        <f>Rounding!T153</f>
        <v>501.77</v>
      </c>
      <c r="U58" s="120">
        <f>Rounding!U153</f>
        <v>781.95</v>
      </c>
      <c r="V58" s="120">
        <f>Rounding!V153</f>
        <v>1435.83</v>
      </c>
      <c r="W58" s="120">
        <f>Rounding!W153</f>
        <v>8.94</v>
      </c>
      <c r="X58" s="120">
        <f>Rounding!X153</f>
        <v>294.57</v>
      </c>
      <c r="Y58" s="120">
        <f>Rounding!Y153</f>
        <v>499.26</v>
      </c>
      <c r="Z58" s="120">
        <f>Rounding!Z153</f>
        <v>779.45</v>
      </c>
      <c r="AA58" s="120">
        <f>Rounding!AA153</f>
        <v>1433.33</v>
      </c>
      <c r="AB58" s="120">
        <f>Rounding!AB153</f>
        <v>82.21</v>
      </c>
      <c r="AC58" s="120">
        <f>Rounding!AC153</f>
        <v>1284.3</v>
      </c>
      <c r="AD58" s="120">
        <f>Rounding!AD153</f>
        <v>4303.99</v>
      </c>
      <c r="AE58" s="120">
        <f>Rounding!AE153</f>
        <v>9425.09</v>
      </c>
      <c r="AF58" s="120">
        <f>Rounding!AF153</f>
        <v>24408.959999999999</v>
      </c>
      <c r="AG58" s="120">
        <f>Rounding!AG153</f>
        <v>0</v>
      </c>
      <c r="AH58" s="120">
        <f>Rounding!AH153</f>
        <v>0</v>
      </c>
      <c r="AI58" s="120">
        <f>Rounding!AI153</f>
        <v>0</v>
      </c>
      <c r="AJ58" s="120">
        <f>Rounding!AJ153</f>
        <v>0</v>
      </c>
      <c r="AK58" s="120">
        <f>Rounding!AK153</f>
        <v>0</v>
      </c>
      <c r="AL58" s="120">
        <f>Rounding!AL153</f>
        <v>0</v>
      </c>
      <c r="AM58" s="120">
        <f>Rounding!AM153</f>
        <v>0</v>
      </c>
      <c r="AN58" s="120">
        <f>Rounding!AN153</f>
        <v>51.42</v>
      </c>
      <c r="AO58" s="120">
        <f>Rounding!AO153</f>
        <v>51.42</v>
      </c>
    </row>
    <row r="59" spans="1:43" x14ac:dyDescent="0.3">
      <c r="E59" s="28"/>
      <c r="F59" t="s">
        <v>162</v>
      </c>
      <c r="G59" s="13" t="s">
        <v>273</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2.91</v>
      </c>
      <c r="S59" s="120">
        <f>Rounding!S154</f>
        <v>2.91</v>
      </c>
      <c r="T59" s="120">
        <f>Rounding!T154</f>
        <v>2.91</v>
      </c>
      <c r="U59" s="120">
        <f>Rounding!U154</f>
        <v>2.91</v>
      </c>
      <c r="V59" s="120">
        <f>Rounding!V154</f>
        <v>2.91</v>
      </c>
      <c r="W59" s="120">
        <f>Rounding!W154</f>
        <v>3.56</v>
      </c>
      <c r="X59" s="120">
        <f>Rounding!X154</f>
        <v>3.56</v>
      </c>
      <c r="Y59" s="120">
        <f>Rounding!Y154</f>
        <v>3.56</v>
      </c>
      <c r="Z59" s="120">
        <f>Rounding!Z154</f>
        <v>3.56</v>
      </c>
      <c r="AA59" s="120">
        <f>Rounding!AA154</f>
        <v>3.56</v>
      </c>
      <c r="AB59" s="120">
        <f>Rounding!AB154</f>
        <v>4.32</v>
      </c>
      <c r="AC59" s="120">
        <f>Rounding!AC154</f>
        <v>4.32</v>
      </c>
      <c r="AD59" s="120">
        <f>Rounding!AD154</f>
        <v>4.32</v>
      </c>
      <c r="AE59" s="120">
        <f>Rounding!AE154</f>
        <v>4.32</v>
      </c>
      <c r="AF59" s="120">
        <f>Rounding!AF154</f>
        <v>4.32</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163</v>
      </c>
      <c r="G60" s="13" t="s">
        <v>273</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5.73</v>
      </c>
      <c r="S60" s="120">
        <f>Rounding!S155</f>
        <v>5.73</v>
      </c>
      <c r="T60" s="120">
        <f>Rounding!T155</f>
        <v>5.73</v>
      </c>
      <c r="U60" s="120">
        <f>Rounding!U155</f>
        <v>5.73</v>
      </c>
      <c r="V60" s="120">
        <f>Rounding!V155</f>
        <v>5.73</v>
      </c>
      <c r="W60" s="120">
        <f>Rounding!W155</f>
        <v>5.36</v>
      </c>
      <c r="X60" s="120">
        <f>Rounding!X155</f>
        <v>5.36</v>
      </c>
      <c r="Y60" s="120">
        <f>Rounding!Y155</f>
        <v>5.36</v>
      </c>
      <c r="Z60" s="120">
        <f>Rounding!Z155</f>
        <v>5.36</v>
      </c>
      <c r="AA60" s="120">
        <f>Rounding!AA155</f>
        <v>5.36</v>
      </c>
      <c r="AB60" s="120">
        <f>Rounding!AB155</f>
        <v>6.23</v>
      </c>
      <c r="AC60" s="120">
        <f>Rounding!AC155</f>
        <v>6.23</v>
      </c>
      <c r="AD60" s="120">
        <f>Rounding!AD155</f>
        <v>6.23</v>
      </c>
      <c r="AE60" s="120">
        <f>Rounding!AE155</f>
        <v>6.23</v>
      </c>
      <c r="AF60" s="120">
        <f>Rounding!AF155</f>
        <v>6.23</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164</v>
      </c>
      <c r="G61" s="86" t="s">
        <v>274</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0.156</v>
      </c>
      <c r="S61" s="283">
        <f>Rounding!S156</f>
        <v>0.156</v>
      </c>
      <c r="T61" s="283">
        <f>Rounding!T156</f>
        <v>0.156</v>
      </c>
      <c r="U61" s="283">
        <f>Rounding!U156</f>
        <v>0.156</v>
      </c>
      <c r="V61" s="283">
        <f>Rounding!V156</f>
        <v>0.156</v>
      </c>
      <c r="W61" s="283">
        <f>Rounding!W156</f>
        <v>0.109</v>
      </c>
      <c r="X61" s="283">
        <f>Rounding!X156</f>
        <v>0.109</v>
      </c>
      <c r="Y61" s="283">
        <f>Rounding!Y156</f>
        <v>0.109</v>
      </c>
      <c r="Z61" s="283">
        <f>Rounding!Z156</f>
        <v>0.109</v>
      </c>
      <c r="AA61" s="283">
        <f>Rounding!AA156</f>
        <v>0.109</v>
      </c>
      <c r="AB61" s="283">
        <f>Rounding!AB156</f>
        <v>5.6000000000000001E-2</v>
      </c>
      <c r="AC61" s="283">
        <f>Rounding!AC156</f>
        <v>5.6000000000000001E-2</v>
      </c>
      <c r="AD61" s="283">
        <f>Rounding!AD156</f>
        <v>5.6000000000000001E-2</v>
      </c>
      <c r="AE61" s="283">
        <f>Rounding!AE156</f>
        <v>5.6000000000000001E-2</v>
      </c>
      <c r="AF61" s="283">
        <f>Rounding!AF156</f>
        <v>5.6000000000000001E-2</v>
      </c>
      <c r="AG61" s="283">
        <f>Rounding!AG156</f>
        <v>0</v>
      </c>
      <c r="AH61" s="283">
        <f>Rounding!AH156</f>
        <v>0</v>
      </c>
      <c r="AI61" s="283">
        <f>Rounding!AI156</f>
        <v>0</v>
      </c>
      <c r="AJ61" s="283">
        <f>Rounding!AJ156</f>
        <v>0.155</v>
      </c>
      <c r="AK61" s="283">
        <f>Rounding!AK156</f>
        <v>0</v>
      </c>
      <c r="AL61" s="283">
        <f>Rounding!AL156</f>
        <v>0.13100000000000001</v>
      </c>
      <c r="AM61" s="283">
        <f>Rounding!AM156</f>
        <v>0</v>
      </c>
      <c r="AN61" s="283">
        <f>Rounding!AN156</f>
        <v>0.105</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762</v>
      </c>
      <c r="G63" s="13"/>
      <c r="I63" t="s">
        <v>156</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157</v>
      </c>
    </row>
    <row r="64" spans="1:43" x14ac:dyDescent="0.3">
      <c r="F64" s="23" t="s">
        <v>158</v>
      </c>
      <c r="G64" s="85" t="s">
        <v>271</v>
      </c>
      <c r="H64" s="278"/>
      <c r="I64" s="266"/>
      <c r="J64" s="278">
        <f>Rounding!J159</f>
        <v>4.742</v>
      </c>
      <c r="K64" s="278">
        <f>Rounding!K159</f>
        <v>4.742</v>
      </c>
      <c r="L64" s="278">
        <f>Rounding!L159</f>
        <v>4.1479999999999997</v>
      </c>
      <c r="M64" s="278">
        <f>Rounding!M159</f>
        <v>4.1479999999999997</v>
      </c>
      <c r="N64" s="278">
        <f>Rounding!N159</f>
        <v>4.1479999999999997</v>
      </c>
      <c r="O64" s="278">
        <f>Rounding!O159</f>
        <v>4.1479999999999997</v>
      </c>
      <c r="P64" s="278">
        <f>Rounding!P159</f>
        <v>4.1479999999999997</v>
      </c>
      <c r="Q64" s="278">
        <f>Rounding!Q159</f>
        <v>4.1479999999999997</v>
      </c>
      <c r="R64" s="278">
        <f>Rounding!R159</f>
        <v>2.9980000000000002</v>
      </c>
      <c r="S64" s="278">
        <f>Rounding!S159</f>
        <v>2.9980000000000002</v>
      </c>
      <c r="T64" s="278">
        <f>Rounding!T159</f>
        <v>2.9980000000000002</v>
      </c>
      <c r="U64" s="278">
        <f>Rounding!U159</f>
        <v>2.9980000000000002</v>
      </c>
      <c r="V64" s="278">
        <f>Rounding!V159</f>
        <v>2.9980000000000002</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14.365</v>
      </c>
      <c r="AH64" s="278">
        <f>Rounding!AH159</f>
        <v>-4.1550000000000002</v>
      </c>
      <c r="AI64" s="278">
        <f>Rounding!AI159</f>
        <v>0</v>
      </c>
      <c r="AJ64" s="278">
        <f>Rounding!AJ159</f>
        <v>-4.1550000000000002</v>
      </c>
      <c r="AK64" s="278">
        <f>Rounding!AK159</f>
        <v>0</v>
      </c>
      <c r="AL64" s="278">
        <f>Rounding!AL159</f>
        <v>0</v>
      </c>
      <c r="AM64" s="278">
        <f>Rounding!AM159</f>
        <v>0</v>
      </c>
      <c r="AN64" s="278">
        <f>Rounding!AN159</f>
        <v>0</v>
      </c>
      <c r="AO64" s="278">
        <f>Rounding!AO159</f>
        <v>0</v>
      </c>
      <c r="AP64" s="267"/>
      <c r="AQ64" s="267"/>
    </row>
    <row r="65" spans="3:43" x14ac:dyDescent="0.3">
      <c r="E65" s="28"/>
      <c r="F65" t="s">
        <v>159</v>
      </c>
      <c r="G65" s="13" t="s">
        <v>271</v>
      </c>
      <c r="H65" s="279"/>
      <c r="I65" s="267"/>
      <c r="J65" s="279">
        <f>Rounding!J160</f>
        <v>0.84299999999999997</v>
      </c>
      <c r="K65" s="279">
        <f>Rounding!K160</f>
        <v>0.84299999999999997</v>
      </c>
      <c r="L65" s="279">
        <f>Rounding!L160</f>
        <v>0.73699999999999999</v>
      </c>
      <c r="M65" s="279">
        <f>Rounding!M160</f>
        <v>0.73699999999999999</v>
      </c>
      <c r="N65" s="279">
        <f>Rounding!N160</f>
        <v>0.73699999999999999</v>
      </c>
      <c r="O65" s="279">
        <f>Rounding!O160</f>
        <v>0.73699999999999999</v>
      </c>
      <c r="P65" s="279">
        <f>Rounding!P160</f>
        <v>0.73699999999999999</v>
      </c>
      <c r="Q65" s="279">
        <f>Rounding!Q160</f>
        <v>0.73699999999999999</v>
      </c>
      <c r="R65" s="279">
        <f>Rounding!R160</f>
        <v>0.51400000000000001</v>
      </c>
      <c r="S65" s="279">
        <f>Rounding!S160</f>
        <v>0.51400000000000001</v>
      </c>
      <c r="T65" s="279">
        <f>Rounding!T160</f>
        <v>0.51400000000000001</v>
      </c>
      <c r="U65" s="279">
        <f>Rounding!U160</f>
        <v>0.51400000000000001</v>
      </c>
      <c r="V65" s="279">
        <f>Rounding!V160</f>
        <v>0.51400000000000001</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2.0830000000000002</v>
      </c>
      <c r="AH65" s="279">
        <f>Rounding!AH160</f>
        <v>-0.73799999999999999</v>
      </c>
      <c r="AI65" s="279">
        <f>Rounding!AI160</f>
        <v>0</v>
      </c>
      <c r="AJ65" s="279">
        <f>Rounding!AJ160</f>
        <v>-0.73799999999999999</v>
      </c>
      <c r="AK65" s="279">
        <f>Rounding!AK160</f>
        <v>0</v>
      </c>
      <c r="AL65" s="279">
        <f>Rounding!AL160</f>
        <v>0</v>
      </c>
      <c r="AM65" s="279">
        <f>Rounding!AM160</f>
        <v>0</v>
      </c>
      <c r="AN65" s="279">
        <f>Rounding!AN160</f>
        <v>0</v>
      </c>
      <c r="AO65" s="279">
        <f>Rounding!AO160</f>
        <v>0</v>
      </c>
      <c r="AP65" s="267"/>
      <c r="AQ65" s="267"/>
    </row>
    <row r="66" spans="3:43" x14ac:dyDescent="0.3">
      <c r="E66" s="28"/>
      <c r="F66" t="s">
        <v>160</v>
      </c>
      <c r="G66" s="13" t="s">
        <v>271</v>
      </c>
      <c r="H66" s="279"/>
      <c r="I66" s="267"/>
      <c r="J66" s="279">
        <f>Rounding!J161</f>
        <v>6.2E-2</v>
      </c>
      <c r="K66" s="279">
        <f>Rounding!K161</f>
        <v>6.2E-2</v>
      </c>
      <c r="L66" s="279">
        <f>Rounding!L161</f>
        <v>5.3999999999999999E-2</v>
      </c>
      <c r="M66" s="279">
        <f>Rounding!M161</f>
        <v>5.3999999999999999E-2</v>
      </c>
      <c r="N66" s="279">
        <f>Rounding!N161</f>
        <v>5.3999999999999999E-2</v>
      </c>
      <c r="O66" s="279">
        <f>Rounding!O161</f>
        <v>5.3999999999999999E-2</v>
      </c>
      <c r="P66" s="279">
        <f>Rounding!P161</f>
        <v>5.3999999999999999E-2</v>
      </c>
      <c r="Q66" s="279">
        <f>Rounding!Q161</f>
        <v>5.3999999999999999E-2</v>
      </c>
      <c r="R66" s="279">
        <f>Rounding!R161</f>
        <v>3.6999999999999998E-2</v>
      </c>
      <c r="S66" s="279">
        <f>Rounding!S161</f>
        <v>3.6999999999999998E-2</v>
      </c>
      <c r="T66" s="279">
        <f>Rounding!T161</f>
        <v>3.6999999999999998E-2</v>
      </c>
      <c r="U66" s="279">
        <f>Rounding!U161</f>
        <v>3.6999999999999998E-2</v>
      </c>
      <c r="V66" s="279">
        <f>Rounding!V161</f>
        <v>3.6999999999999998E-2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1.337</v>
      </c>
      <c r="AH66" s="279">
        <f>Rounding!AH161</f>
        <v>-5.3999999999999999E-2</v>
      </c>
      <c r="AI66" s="279">
        <f>Rounding!AI161</f>
        <v>0</v>
      </c>
      <c r="AJ66" s="279">
        <f>Rounding!AJ161</f>
        <v>-5.3999999999999999E-2</v>
      </c>
      <c r="AK66" s="279">
        <f>Rounding!AK161</f>
        <v>0</v>
      </c>
      <c r="AL66" s="279">
        <f>Rounding!AL161</f>
        <v>0</v>
      </c>
      <c r="AM66" s="279">
        <f>Rounding!AM161</f>
        <v>0</v>
      </c>
      <c r="AN66" s="279">
        <f>Rounding!AN161</f>
        <v>0</v>
      </c>
      <c r="AO66" s="279">
        <f>Rounding!AO161</f>
        <v>0</v>
      </c>
      <c r="AP66" s="267"/>
      <c r="AQ66" s="267"/>
    </row>
    <row r="67" spans="3:43" x14ac:dyDescent="0.3">
      <c r="E67" s="28"/>
      <c r="F67" t="s">
        <v>161</v>
      </c>
      <c r="G67" s="13" t="s">
        <v>272</v>
      </c>
      <c r="H67" s="51"/>
      <c r="J67" s="120">
        <f>Rounding!J162</f>
        <v>9.31</v>
      </c>
      <c r="K67" s="120">
        <f>Rounding!K162</f>
        <v>0</v>
      </c>
      <c r="L67" s="120">
        <f>Rounding!L162</f>
        <v>5.16</v>
      </c>
      <c r="M67" s="120">
        <f>Rounding!M162</f>
        <v>8</v>
      </c>
      <c r="N67" s="120">
        <f>Rounding!N162</f>
        <v>20.190000000000001</v>
      </c>
      <c r="O67" s="120">
        <f>Rounding!O162</f>
        <v>42.63</v>
      </c>
      <c r="P67" s="120">
        <f>Rounding!P162</f>
        <v>121.93</v>
      </c>
      <c r="Q67" s="120">
        <f>Rounding!Q162</f>
        <v>0</v>
      </c>
      <c r="R67" s="120">
        <f>Rounding!R162</f>
        <v>7.99</v>
      </c>
      <c r="S67" s="120">
        <f>Rounding!S162</f>
        <v>207.09</v>
      </c>
      <c r="T67" s="120">
        <f>Rounding!T162</f>
        <v>349.78</v>
      </c>
      <c r="U67" s="120">
        <f>Rounding!U162</f>
        <v>545.08000000000004</v>
      </c>
      <c r="V67" s="120">
        <f>Rounding!V162</f>
        <v>1000.88</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162</v>
      </c>
      <c r="G68" s="13" t="s">
        <v>273</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2.0299999999999998</v>
      </c>
      <c r="S68" s="120">
        <f>Rounding!S163</f>
        <v>2.0299999999999998</v>
      </c>
      <c r="T68" s="120">
        <f>Rounding!T163</f>
        <v>2.0299999999999998</v>
      </c>
      <c r="U68" s="120">
        <f>Rounding!U163</f>
        <v>2.0299999999999998</v>
      </c>
      <c r="V68" s="120">
        <f>Rounding!V163</f>
        <v>2.0299999999999998</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163</v>
      </c>
      <c r="G69" s="13" t="s">
        <v>273</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4</v>
      </c>
      <c r="S69" s="120">
        <f>Rounding!S164</f>
        <v>4</v>
      </c>
      <c r="T69" s="120">
        <f>Rounding!T164</f>
        <v>4</v>
      </c>
      <c r="U69" s="120">
        <f>Rounding!U164</f>
        <v>4</v>
      </c>
      <c r="V69" s="120">
        <f>Rounding!V164</f>
        <v>4</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164</v>
      </c>
      <c r="G70" s="86" t="s">
        <v>274</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0.109</v>
      </c>
      <c r="S70" s="283">
        <f>Rounding!S165</f>
        <v>0.109</v>
      </c>
      <c r="T70" s="283">
        <f>Rounding!T165</f>
        <v>0.109</v>
      </c>
      <c r="U70" s="283">
        <f>Rounding!U165</f>
        <v>0.109</v>
      </c>
      <c r="V70" s="283">
        <f>Rounding!V165</f>
        <v>0.109</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0.155</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763</v>
      </c>
      <c r="G72" s="13"/>
      <c r="I72" t="s">
        <v>156</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157</v>
      </c>
    </row>
    <row r="73" spans="3:43" x14ac:dyDescent="0.3">
      <c r="C73" s="88"/>
      <c r="F73" s="23" t="s">
        <v>158</v>
      </c>
      <c r="G73" s="85" t="s">
        <v>271</v>
      </c>
      <c r="H73" s="278"/>
      <c r="I73" s="266"/>
      <c r="J73" s="278">
        <f>Rounding!J168</f>
        <v>3.8079999999999998</v>
      </c>
      <c r="K73" s="278">
        <f>Rounding!K168</f>
        <v>3.8079999999999998</v>
      </c>
      <c r="L73" s="278">
        <f>Rounding!L168</f>
        <v>3.33</v>
      </c>
      <c r="M73" s="278">
        <f>Rounding!M168</f>
        <v>3.33</v>
      </c>
      <c r="N73" s="278">
        <f>Rounding!N168</f>
        <v>3.33</v>
      </c>
      <c r="O73" s="278">
        <f>Rounding!O168</f>
        <v>3.33</v>
      </c>
      <c r="P73" s="278">
        <f>Rounding!P168</f>
        <v>3.33</v>
      </c>
      <c r="Q73" s="278">
        <f>Rounding!Q168</f>
        <v>3.33</v>
      </c>
      <c r="R73" s="278">
        <f>Rounding!R168</f>
        <v>2.4079999999999999</v>
      </c>
      <c r="S73" s="278">
        <f>Rounding!S168</f>
        <v>2.4079999999999999</v>
      </c>
      <c r="T73" s="278">
        <f>Rounding!T168</f>
        <v>2.4079999999999999</v>
      </c>
      <c r="U73" s="278">
        <f>Rounding!U168</f>
        <v>2.4079999999999999</v>
      </c>
      <c r="V73" s="278">
        <f>Rounding!V168</f>
        <v>2.4079999999999999</v>
      </c>
      <c r="W73" s="278">
        <f>Rounding!W168</f>
        <v>2.423</v>
      </c>
      <c r="X73" s="278">
        <f>Rounding!X168</f>
        <v>2.423</v>
      </c>
      <c r="Y73" s="278">
        <f>Rounding!Y168</f>
        <v>2.423</v>
      </c>
      <c r="Z73" s="278">
        <f>Rounding!Z168</f>
        <v>2.423</v>
      </c>
      <c r="AA73" s="278">
        <f>Rounding!AA168</f>
        <v>2.423</v>
      </c>
      <c r="AB73" s="278">
        <f>Rounding!AB168</f>
        <v>1.6479999999999999</v>
      </c>
      <c r="AC73" s="278">
        <f>Rounding!AC168</f>
        <v>1.6479999999999999</v>
      </c>
      <c r="AD73" s="278">
        <f>Rounding!AD168</f>
        <v>1.6479999999999999</v>
      </c>
      <c r="AE73" s="278">
        <f>Rounding!AE168</f>
        <v>1.6479999999999999</v>
      </c>
      <c r="AF73" s="278">
        <f>Rounding!AF168</f>
        <v>1.6479999999999999</v>
      </c>
      <c r="AG73" s="278">
        <f>Rounding!AG168</f>
        <v>11.534000000000001</v>
      </c>
      <c r="AH73" s="278">
        <f>Rounding!AH168</f>
        <v>-4.1550000000000002</v>
      </c>
      <c r="AI73" s="278">
        <f>Rounding!AI168</f>
        <v>-3.6520000000000001</v>
      </c>
      <c r="AJ73" s="278">
        <f>Rounding!AJ168</f>
        <v>-4.1550000000000002</v>
      </c>
      <c r="AK73" s="278">
        <f>Rounding!AK168</f>
        <v>0</v>
      </c>
      <c r="AL73" s="278">
        <f>Rounding!AL168</f>
        <v>-3.6520000000000001</v>
      </c>
      <c r="AM73" s="278">
        <f>Rounding!AM168</f>
        <v>0</v>
      </c>
      <c r="AN73" s="278">
        <f>Rounding!AN168</f>
        <v>-2.3889999999999998</v>
      </c>
      <c r="AO73" s="278">
        <f>Rounding!AO168</f>
        <v>0</v>
      </c>
      <c r="AP73" s="267"/>
      <c r="AQ73" s="267"/>
    </row>
    <row r="74" spans="3:43" x14ac:dyDescent="0.3">
      <c r="C74" s="88"/>
      <c r="F74" t="s">
        <v>159</v>
      </c>
      <c r="G74" s="13" t="s">
        <v>271</v>
      </c>
      <c r="H74" s="279"/>
      <c r="I74" s="267"/>
      <c r="J74" s="279">
        <f>Rounding!J169</f>
        <v>0.67700000000000005</v>
      </c>
      <c r="K74" s="279">
        <f>Rounding!K169</f>
        <v>0.67700000000000005</v>
      </c>
      <c r="L74" s="279">
        <f>Rounding!L169</f>
        <v>0.59199999999999997</v>
      </c>
      <c r="M74" s="279">
        <f>Rounding!M169</f>
        <v>0.59199999999999997</v>
      </c>
      <c r="N74" s="279">
        <f>Rounding!N169</f>
        <v>0.59199999999999997</v>
      </c>
      <c r="O74" s="279">
        <f>Rounding!O169</f>
        <v>0.59199999999999997</v>
      </c>
      <c r="P74" s="279">
        <f>Rounding!P169</f>
        <v>0.59199999999999997</v>
      </c>
      <c r="Q74" s="279">
        <f>Rounding!Q169</f>
        <v>0.59199999999999997</v>
      </c>
      <c r="R74" s="279">
        <f>Rounding!R169</f>
        <v>0.41299999999999998</v>
      </c>
      <c r="S74" s="279">
        <f>Rounding!S169</f>
        <v>0.41299999999999998</v>
      </c>
      <c r="T74" s="279">
        <f>Rounding!T169</f>
        <v>0.41299999999999998</v>
      </c>
      <c r="U74" s="279">
        <f>Rounding!U169</f>
        <v>0.41299999999999998</v>
      </c>
      <c r="V74" s="279">
        <f>Rounding!V169</f>
        <v>0.41299999999999998</v>
      </c>
      <c r="W74" s="279">
        <f>Rounding!W169</f>
        <v>0.38100000000000001</v>
      </c>
      <c r="X74" s="279">
        <f>Rounding!X169</f>
        <v>0.38100000000000001</v>
      </c>
      <c r="Y74" s="279">
        <f>Rounding!Y169</f>
        <v>0.38100000000000001</v>
      </c>
      <c r="Z74" s="279">
        <f>Rounding!Z169</f>
        <v>0.38100000000000001</v>
      </c>
      <c r="AA74" s="279">
        <f>Rounding!AA169</f>
        <v>0.38100000000000001</v>
      </c>
      <c r="AB74" s="279">
        <f>Rounding!AB169</f>
        <v>0.221</v>
      </c>
      <c r="AC74" s="279">
        <f>Rounding!AC169</f>
        <v>0.221</v>
      </c>
      <c r="AD74" s="279">
        <f>Rounding!AD169</f>
        <v>0.221</v>
      </c>
      <c r="AE74" s="279">
        <f>Rounding!AE169</f>
        <v>0.221</v>
      </c>
      <c r="AF74" s="279">
        <f>Rounding!AF169</f>
        <v>0.221</v>
      </c>
      <c r="AG74" s="279">
        <f>Rounding!AG169</f>
        <v>1.673</v>
      </c>
      <c r="AH74" s="279">
        <f>Rounding!AH169</f>
        <v>-0.73799999999999999</v>
      </c>
      <c r="AI74" s="279">
        <f>Rounding!AI169</f>
        <v>-0.63500000000000001</v>
      </c>
      <c r="AJ74" s="279">
        <f>Rounding!AJ169</f>
        <v>-0.73799999999999999</v>
      </c>
      <c r="AK74" s="279">
        <f>Rounding!AK169</f>
        <v>0</v>
      </c>
      <c r="AL74" s="279">
        <f>Rounding!AL169</f>
        <v>-0.63500000000000001</v>
      </c>
      <c r="AM74" s="279">
        <f>Rounding!AM169</f>
        <v>0</v>
      </c>
      <c r="AN74" s="279">
        <f>Rounding!AN169</f>
        <v>-0.36699999999999999</v>
      </c>
      <c r="AO74" s="279">
        <f>Rounding!AO169</f>
        <v>0</v>
      </c>
      <c r="AP74" s="267"/>
      <c r="AQ74" s="267"/>
    </row>
    <row r="75" spans="3:43" x14ac:dyDescent="0.3">
      <c r="C75" s="88"/>
      <c r="F75" t="s">
        <v>160</v>
      </c>
      <c r="G75" s="13" t="s">
        <v>271</v>
      </c>
      <c r="H75" s="279"/>
      <c r="I75" s="267"/>
      <c r="J75" s="279">
        <f>Rounding!J170</f>
        <v>0.05</v>
      </c>
      <c r="K75" s="279">
        <f>Rounding!K170</f>
        <v>0.05</v>
      </c>
      <c r="L75" s="279">
        <f>Rounding!L170</f>
        <v>4.2999999999999997E-2</v>
      </c>
      <c r="M75" s="279">
        <f>Rounding!M170</f>
        <v>4.2999999999999997E-2</v>
      </c>
      <c r="N75" s="279">
        <f>Rounding!N170</f>
        <v>4.2999999999999997E-2</v>
      </c>
      <c r="O75" s="279">
        <f>Rounding!O170</f>
        <v>4.2999999999999997E-2</v>
      </c>
      <c r="P75" s="279">
        <f>Rounding!P170</f>
        <v>4.2999999999999997E-2</v>
      </c>
      <c r="Q75" s="279">
        <f>Rounding!Q170</f>
        <v>4.2999999999999997E-2</v>
      </c>
      <c r="R75" s="279">
        <f>Rounding!R170</f>
        <v>0.03</v>
      </c>
      <c r="S75" s="279">
        <f>Rounding!S170</f>
        <v>0.03</v>
      </c>
      <c r="T75" s="279">
        <f>Rounding!T170</f>
        <v>0.03</v>
      </c>
      <c r="U75" s="279">
        <f>Rounding!U170</f>
        <v>0.03</v>
      </c>
      <c r="V75" s="279">
        <f>Rounding!V170</f>
        <v>0.03</v>
      </c>
      <c r="W75" s="279">
        <f>Rounding!W170</f>
        <v>2.7E-2</v>
      </c>
      <c r="X75" s="279">
        <f>Rounding!X170</f>
        <v>2.7E-2</v>
      </c>
      <c r="Y75" s="279">
        <f>Rounding!Y170</f>
        <v>2.7E-2</v>
      </c>
      <c r="Z75" s="279">
        <f>Rounding!Z170</f>
        <v>2.7E-2</v>
      </c>
      <c r="AA75" s="279">
        <f>Rounding!AA170</f>
        <v>2.7E-2</v>
      </c>
      <c r="AB75" s="279">
        <f>Rounding!AB170</f>
        <v>1.4999999999999999E-2</v>
      </c>
      <c r="AC75" s="279">
        <f>Rounding!AC170</f>
        <v>1.4999999999999999E-2</v>
      </c>
      <c r="AD75" s="279">
        <f>Rounding!AD170</f>
        <v>1.4999999999999999E-2</v>
      </c>
      <c r="AE75" s="279">
        <f>Rounding!AE170</f>
        <v>1.4999999999999999E-2</v>
      </c>
      <c r="AF75" s="279">
        <f>Rounding!AF170</f>
        <v>1.4999999999999999E-2</v>
      </c>
      <c r="AG75" s="279">
        <f>Rounding!AG170</f>
        <v>1.0740000000000001</v>
      </c>
      <c r="AH75" s="279">
        <f>Rounding!AH170</f>
        <v>-5.3999999999999999E-2</v>
      </c>
      <c r="AI75" s="279">
        <f>Rounding!AI170</f>
        <v>-4.5999999999999999E-2</v>
      </c>
      <c r="AJ75" s="279">
        <f>Rounding!AJ170</f>
        <v>-5.3999999999999999E-2</v>
      </c>
      <c r="AK75" s="279">
        <f>Rounding!AK170</f>
        <v>0</v>
      </c>
      <c r="AL75" s="279">
        <f>Rounding!AL170</f>
        <v>-4.5999999999999999E-2</v>
      </c>
      <c r="AM75" s="279">
        <f>Rounding!AM170</f>
        <v>0</v>
      </c>
      <c r="AN75" s="279">
        <f>Rounding!AN170</f>
        <v>-2.5999999999999999E-2</v>
      </c>
      <c r="AO75" s="279">
        <f>Rounding!AO170</f>
        <v>0</v>
      </c>
      <c r="AP75" s="267"/>
      <c r="AQ75" s="267"/>
    </row>
    <row r="76" spans="3:43" x14ac:dyDescent="0.3">
      <c r="C76" s="88"/>
      <c r="F76" t="s">
        <v>161</v>
      </c>
      <c r="G76" s="13" t="s">
        <v>272</v>
      </c>
      <c r="H76" s="51"/>
      <c r="J76" s="120">
        <f>Rounding!J171</f>
        <v>7.49</v>
      </c>
      <c r="K76" s="120">
        <f>Rounding!K171</f>
        <v>0</v>
      </c>
      <c r="L76" s="120">
        <f>Rounding!L171</f>
        <v>4.1500000000000004</v>
      </c>
      <c r="M76" s="120">
        <f>Rounding!M171</f>
        <v>6.43</v>
      </c>
      <c r="N76" s="120">
        <f>Rounding!N171</f>
        <v>16.22</v>
      </c>
      <c r="O76" s="120">
        <f>Rounding!O171</f>
        <v>34.229999999999997</v>
      </c>
      <c r="P76" s="120">
        <f>Rounding!P171</f>
        <v>97.91</v>
      </c>
      <c r="Q76" s="120">
        <f>Rounding!Q171</f>
        <v>0</v>
      </c>
      <c r="R76" s="120">
        <f>Rounding!R171</f>
        <v>6.42</v>
      </c>
      <c r="S76" s="120">
        <f>Rounding!S171</f>
        <v>166.29</v>
      </c>
      <c r="T76" s="120">
        <f>Rounding!T171</f>
        <v>280.85000000000002</v>
      </c>
      <c r="U76" s="120">
        <f>Rounding!U171</f>
        <v>437.67</v>
      </c>
      <c r="V76" s="120">
        <f>Rounding!V171</f>
        <v>803.65</v>
      </c>
      <c r="W76" s="120">
        <f>Rounding!W171</f>
        <v>7.32</v>
      </c>
      <c r="X76" s="120">
        <f>Rounding!X171</f>
        <v>240.8</v>
      </c>
      <c r="Y76" s="120">
        <f>Rounding!Y171</f>
        <v>408.14</v>
      </c>
      <c r="Z76" s="120">
        <f>Rounding!Z171</f>
        <v>637.17999999999995</v>
      </c>
      <c r="AA76" s="120">
        <f>Rounding!AA171</f>
        <v>1171.69</v>
      </c>
      <c r="AB76" s="120">
        <f>Rounding!AB171</f>
        <v>76.17</v>
      </c>
      <c r="AC76" s="120">
        <f>Rounding!AC171</f>
        <v>1189.93</v>
      </c>
      <c r="AD76" s="120">
        <f>Rounding!AD171</f>
        <v>3987.7</v>
      </c>
      <c r="AE76" s="120">
        <f>Rounding!AE171</f>
        <v>8732.4699999999993</v>
      </c>
      <c r="AF76" s="120">
        <f>Rounding!AF171</f>
        <v>22615.23</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162</v>
      </c>
      <c r="G77" s="13" t="s">
        <v>273</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1.63</v>
      </c>
      <c r="S77" s="120">
        <f>Rounding!S172</f>
        <v>1.63</v>
      </c>
      <c r="T77" s="120">
        <f>Rounding!T172</f>
        <v>1.63</v>
      </c>
      <c r="U77" s="120">
        <f>Rounding!U172</f>
        <v>1.63</v>
      </c>
      <c r="V77" s="120">
        <f>Rounding!V172</f>
        <v>1.63</v>
      </c>
      <c r="W77" s="120">
        <f>Rounding!W172</f>
        <v>2.91</v>
      </c>
      <c r="X77" s="120">
        <f>Rounding!X172</f>
        <v>2.91</v>
      </c>
      <c r="Y77" s="120">
        <f>Rounding!Y172</f>
        <v>2.91</v>
      </c>
      <c r="Z77" s="120">
        <f>Rounding!Z172</f>
        <v>2.91</v>
      </c>
      <c r="AA77" s="120">
        <f>Rounding!AA172</f>
        <v>2.91</v>
      </c>
      <c r="AB77" s="120">
        <f>Rounding!AB172</f>
        <v>4</v>
      </c>
      <c r="AC77" s="120">
        <f>Rounding!AC172</f>
        <v>4</v>
      </c>
      <c r="AD77" s="120">
        <f>Rounding!AD172</f>
        <v>4</v>
      </c>
      <c r="AE77" s="120">
        <f>Rounding!AE172</f>
        <v>4</v>
      </c>
      <c r="AF77" s="120">
        <f>Rounding!AF172</f>
        <v>4</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163</v>
      </c>
      <c r="G78" s="13" t="s">
        <v>273</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3.21</v>
      </c>
      <c r="S78" s="120">
        <f>Rounding!S173</f>
        <v>3.21</v>
      </c>
      <c r="T78" s="120">
        <f>Rounding!T173</f>
        <v>3.21</v>
      </c>
      <c r="U78" s="120">
        <f>Rounding!U173</f>
        <v>3.21</v>
      </c>
      <c r="V78" s="120">
        <f>Rounding!V173</f>
        <v>3.21</v>
      </c>
      <c r="W78" s="120">
        <f>Rounding!W173</f>
        <v>4.38</v>
      </c>
      <c r="X78" s="120">
        <f>Rounding!X173</f>
        <v>4.38</v>
      </c>
      <c r="Y78" s="120">
        <f>Rounding!Y173</f>
        <v>4.38</v>
      </c>
      <c r="Z78" s="120">
        <f>Rounding!Z173</f>
        <v>4.38</v>
      </c>
      <c r="AA78" s="120">
        <f>Rounding!AA173</f>
        <v>4.38</v>
      </c>
      <c r="AB78" s="120">
        <f>Rounding!AB173</f>
        <v>5.78</v>
      </c>
      <c r="AC78" s="120">
        <f>Rounding!AC173</f>
        <v>5.78</v>
      </c>
      <c r="AD78" s="120">
        <f>Rounding!AD173</f>
        <v>5.78</v>
      </c>
      <c r="AE78" s="120">
        <f>Rounding!AE173</f>
        <v>5.78</v>
      </c>
      <c r="AF78" s="120">
        <f>Rounding!AF173</f>
        <v>5.78</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164</v>
      </c>
      <c r="G79" s="86" t="s">
        <v>274</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8.6999999999999994E-2</v>
      </c>
      <c r="S79" s="283">
        <f>Rounding!S174</f>
        <v>8.6999999999999994E-2</v>
      </c>
      <c r="T79" s="283">
        <f>Rounding!T174</f>
        <v>8.6999999999999994E-2</v>
      </c>
      <c r="U79" s="283">
        <f>Rounding!U174</f>
        <v>8.6999999999999994E-2</v>
      </c>
      <c r="V79" s="283">
        <f>Rounding!V174</f>
        <v>8.6999999999999994E-2</v>
      </c>
      <c r="W79" s="283">
        <f>Rounding!W174</f>
        <v>8.8999999999999996E-2</v>
      </c>
      <c r="X79" s="283">
        <f>Rounding!X174</f>
        <v>8.8999999999999996E-2</v>
      </c>
      <c r="Y79" s="283">
        <f>Rounding!Y174</f>
        <v>8.8999999999999996E-2</v>
      </c>
      <c r="Z79" s="283">
        <f>Rounding!Z174</f>
        <v>8.8999999999999996E-2</v>
      </c>
      <c r="AA79" s="283">
        <f>Rounding!AA174</f>
        <v>8.8999999999999996E-2</v>
      </c>
      <c r="AB79" s="283">
        <f>Rounding!AB174</f>
        <v>5.1999999999999998E-2</v>
      </c>
      <c r="AC79" s="283">
        <f>Rounding!AC174</f>
        <v>5.1999999999999998E-2</v>
      </c>
      <c r="AD79" s="283">
        <f>Rounding!AD174</f>
        <v>5.1999999999999998E-2</v>
      </c>
      <c r="AE79" s="283">
        <f>Rounding!AE174</f>
        <v>5.1999999999999998E-2</v>
      </c>
      <c r="AF79" s="283">
        <f>Rounding!AF174</f>
        <v>5.1999999999999998E-2</v>
      </c>
      <c r="AG79" s="283">
        <f>Rounding!AG174</f>
        <v>0</v>
      </c>
      <c r="AH79" s="283">
        <f>Rounding!AH174</f>
        <v>0</v>
      </c>
      <c r="AI79" s="283">
        <f>Rounding!AI174</f>
        <v>0</v>
      </c>
      <c r="AJ79" s="283">
        <f>Rounding!AJ174</f>
        <v>0.155</v>
      </c>
      <c r="AK79" s="283">
        <f>Rounding!AK174</f>
        <v>0</v>
      </c>
      <c r="AL79" s="283">
        <f>Rounding!AL174</f>
        <v>0.13100000000000001</v>
      </c>
      <c r="AM79" s="283">
        <f>Rounding!AM174</f>
        <v>0</v>
      </c>
      <c r="AN79" s="283">
        <f>Rounding!AN174</f>
        <v>0.105</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739</v>
      </c>
      <c r="G83" s="13" t="s">
        <v>279</v>
      </c>
      <c r="H83" s="120">
        <f>'General inputs'!$H$87</f>
        <v>528100853.62913507</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764</v>
      </c>
      <c r="G85" s="13" t="s">
        <v>279</v>
      </c>
      <c r="H85" s="120">
        <f>'Revenue matching'!H82</f>
        <v>295682354.62048954</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895</v>
      </c>
      <c r="G86" s="13" t="s">
        <v>279</v>
      </c>
      <c r="H86" s="124">
        <f>'SoLR &amp; bad debt adders'!H52</f>
        <v>663462.29641602875</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896</v>
      </c>
      <c r="G87" s="13" t="s">
        <v>279</v>
      </c>
      <c r="H87" s="124">
        <f>'SoLR &amp; bad debt adders'!H56</f>
        <v>653.93195343912828</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1019</v>
      </c>
      <c r="G88" s="13" t="s">
        <v>279</v>
      </c>
      <c r="H88" s="124">
        <f>'Revenue matching'!H84</f>
        <v>231754382.78027606</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765</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766</v>
      </c>
      <c r="G94" s="13"/>
      <c r="H94" s="213" t="s">
        <v>547</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158</v>
      </c>
      <c r="G95" s="85" t="s">
        <v>279</v>
      </c>
      <c r="H95" s="126">
        <f t="shared" ref="H95:H101" si="0">SUM(J95:AO95)</f>
        <v>105953571.49447589</v>
      </c>
      <c r="I95" s="23"/>
      <c r="J95" s="126">
        <f t="shared" ref="J95:AO95" si="1">J22 * thousand * J55 / hundred</f>
        <v>65554495.75862731</v>
      </c>
      <c r="K95" s="126">
        <f t="shared" si="1"/>
        <v>61740.828467134445</v>
      </c>
      <c r="L95" s="126">
        <f t="shared" si="1"/>
        <v>0</v>
      </c>
      <c r="M95" s="126">
        <f t="shared" si="1"/>
        <v>599585.52325733332</v>
      </c>
      <c r="N95" s="126">
        <f t="shared" si="1"/>
        <v>2759657.4418851482</v>
      </c>
      <c r="O95" s="126">
        <f t="shared" si="1"/>
        <v>3415742.6731274873</v>
      </c>
      <c r="P95" s="126">
        <f t="shared" si="1"/>
        <v>12113835.133706618</v>
      </c>
      <c r="Q95" s="126">
        <f t="shared" si="1"/>
        <v>2292.699170945933</v>
      </c>
      <c r="R95" s="126">
        <f t="shared" si="1"/>
        <v>0</v>
      </c>
      <c r="S95" s="126">
        <f t="shared" si="1"/>
        <v>2341766.0208183066</v>
      </c>
      <c r="T95" s="126">
        <f t="shared" si="1"/>
        <v>4244416.2846613601</v>
      </c>
      <c r="U95" s="126">
        <f t="shared" si="1"/>
        <v>2701675.5022455915</v>
      </c>
      <c r="V95" s="126">
        <f t="shared" si="1"/>
        <v>4712764.3483664962</v>
      </c>
      <c r="W95" s="126">
        <f t="shared" si="1"/>
        <v>0</v>
      </c>
      <c r="X95" s="126">
        <f t="shared" si="1"/>
        <v>11174.234273000044</v>
      </c>
      <c r="Y95" s="126">
        <f t="shared" si="1"/>
        <v>22083.824580799275</v>
      </c>
      <c r="Z95" s="126">
        <f t="shared" si="1"/>
        <v>46745.634431637169</v>
      </c>
      <c r="AA95" s="126">
        <f t="shared" si="1"/>
        <v>671825.19345574919</v>
      </c>
      <c r="AB95" s="126">
        <f t="shared" si="1"/>
        <v>0</v>
      </c>
      <c r="AC95" s="126">
        <f t="shared" si="1"/>
        <v>1129324.9359510296</v>
      </c>
      <c r="AD95" s="126">
        <f t="shared" si="1"/>
        <v>2762322.6418278776</v>
      </c>
      <c r="AE95" s="126">
        <f t="shared" si="1"/>
        <v>1955715.9145650605</v>
      </c>
      <c r="AF95" s="126">
        <f t="shared" si="1"/>
        <v>5900291.3941728994</v>
      </c>
      <c r="AG95" s="126">
        <f t="shared" si="1"/>
        <v>1815851.2218424461</v>
      </c>
      <c r="AH95" s="126">
        <f t="shared" si="1"/>
        <v>-2834.9511359724102</v>
      </c>
      <c r="AI95" s="126">
        <f t="shared" si="1"/>
        <v>0</v>
      </c>
      <c r="AJ95" s="126">
        <f t="shared" si="1"/>
        <v>-198413.47739170425</v>
      </c>
      <c r="AK95" s="126">
        <f t="shared" si="1"/>
        <v>0</v>
      </c>
      <c r="AL95" s="126">
        <f t="shared" si="1"/>
        <v>-23504.008639950887</v>
      </c>
      <c r="AM95" s="126">
        <f t="shared" si="1"/>
        <v>0</v>
      </c>
      <c r="AN95" s="126">
        <f t="shared" si="1"/>
        <v>-6644983.2777907122</v>
      </c>
      <c r="AO95" s="126">
        <f t="shared" si="1"/>
        <v>0</v>
      </c>
    </row>
    <row r="96" spans="2:43" x14ac:dyDescent="0.3">
      <c r="E96" s="28"/>
      <c r="F96" t="s">
        <v>159</v>
      </c>
      <c r="G96" s="13" t="s">
        <v>279</v>
      </c>
      <c r="H96" s="98">
        <f t="shared" si="0"/>
        <v>64194477.457649276</v>
      </c>
      <c r="J96" s="98">
        <f t="shared" ref="J96:AO96" si="2">J23 * thousand * J56 / hundred</f>
        <v>34569956.527237788</v>
      </c>
      <c r="K96" s="98">
        <f t="shared" si="2"/>
        <v>70417.374079841393</v>
      </c>
      <c r="L96" s="98">
        <f t="shared" si="2"/>
        <v>0</v>
      </c>
      <c r="M96" s="98">
        <f t="shared" si="2"/>
        <v>438569.35922960506</v>
      </c>
      <c r="N96" s="98">
        <f t="shared" si="2"/>
        <v>2018563.0723798135</v>
      </c>
      <c r="O96" s="98">
        <f t="shared" si="2"/>
        <v>2498459.3812546139</v>
      </c>
      <c r="P96" s="98">
        <f t="shared" si="2"/>
        <v>8860715.788367413</v>
      </c>
      <c r="Q96" s="98">
        <f t="shared" si="2"/>
        <v>5309.9964761473129</v>
      </c>
      <c r="R96" s="98">
        <f t="shared" si="2"/>
        <v>0</v>
      </c>
      <c r="S96" s="98">
        <f t="shared" si="2"/>
        <v>1699014.6428989407</v>
      </c>
      <c r="T96" s="98">
        <f t="shared" si="2"/>
        <v>3079438.9166507949</v>
      </c>
      <c r="U96" s="98">
        <f t="shared" si="2"/>
        <v>1960138.7149142316</v>
      </c>
      <c r="V96" s="98">
        <f t="shared" si="2"/>
        <v>3419238.115688764</v>
      </c>
      <c r="W96" s="98">
        <f t="shared" si="2"/>
        <v>0</v>
      </c>
      <c r="X96" s="98">
        <f t="shared" si="2"/>
        <v>6836.7387342077554</v>
      </c>
      <c r="Y96" s="98">
        <f t="shared" si="2"/>
        <v>13511.560185901179</v>
      </c>
      <c r="Z96" s="98">
        <f t="shared" si="2"/>
        <v>28600.410709671578</v>
      </c>
      <c r="AA96" s="98">
        <f t="shared" si="2"/>
        <v>411043.22770587401</v>
      </c>
      <c r="AB96" s="98">
        <f t="shared" si="2"/>
        <v>0</v>
      </c>
      <c r="AC96" s="98">
        <f t="shared" si="2"/>
        <v>580837.14250707661</v>
      </c>
      <c r="AD96" s="98">
        <f t="shared" si="2"/>
        <v>1420724.4867136064</v>
      </c>
      <c r="AE96" s="98">
        <f t="shared" si="2"/>
        <v>1005868.556701064</v>
      </c>
      <c r="AF96" s="98">
        <f t="shared" si="2"/>
        <v>3034652.19287347</v>
      </c>
      <c r="AG96" s="98">
        <f t="shared" si="2"/>
        <v>1469769.0662346133</v>
      </c>
      <c r="AH96" s="98">
        <f t="shared" si="2"/>
        <v>-3318.2951819549326</v>
      </c>
      <c r="AI96" s="98">
        <f t="shared" si="2"/>
        <v>0</v>
      </c>
      <c r="AJ96" s="98">
        <f t="shared" si="2"/>
        <v>-175503.41969464251</v>
      </c>
      <c r="AK96" s="98">
        <f t="shared" si="2"/>
        <v>0</v>
      </c>
      <c r="AL96" s="98">
        <f t="shared" si="2"/>
        <v>-16031.248587506379</v>
      </c>
      <c r="AM96" s="98">
        <f t="shared" si="2"/>
        <v>0</v>
      </c>
      <c r="AN96" s="98">
        <f t="shared" si="2"/>
        <v>-2202334.8504300462</v>
      </c>
      <c r="AO96" s="98">
        <f t="shared" si="2"/>
        <v>0</v>
      </c>
    </row>
    <row r="97" spans="5:41" x14ac:dyDescent="0.3">
      <c r="E97" s="28"/>
      <c r="F97" t="s">
        <v>160</v>
      </c>
      <c r="G97" s="13" t="s">
        <v>279</v>
      </c>
      <c r="H97" s="98">
        <f t="shared" si="0"/>
        <v>9638381.2419870999</v>
      </c>
      <c r="J97" s="98">
        <f t="shared" ref="J97:AO97" si="3">J24 * thousand * J57 / hundred</f>
        <v>4216261.9792776471</v>
      </c>
      <c r="K97" s="98">
        <f t="shared" si="3"/>
        <v>9246.0606671139558</v>
      </c>
      <c r="L97" s="98">
        <f t="shared" si="3"/>
        <v>0</v>
      </c>
      <c r="M97" s="98">
        <f t="shared" si="3"/>
        <v>35549.055554456812</v>
      </c>
      <c r="N97" s="98">
        <f t="shared" si="3"/>
        <v>163618.38621433973</v>
      </c>
      <c r="O97" s="98">
        <f t="shared" si="3"/>
        <v>202517.27457839818</v>
      </c>
      <c r="P97" s="98">
        <f t="shared" si="3"/>
        <v>718221.80730144982</v>
      </c>
      <c r="Q97" s="98">
        <f t="shared" si="3"/>
        <v>1423.7166388232163</v>
      </c>
      <c r="R97" s="98">
        <f t="shared" si="3"/>
        <v>0</v>
      </c>
      <c r="S97" s="98">
        <f t="shared" si="3"/>
        <v>135671.01107482551</v>
      </c>
      <c r="T97" s="98">
        <f t="shared" si="3"/>
        <v>245901.70138399993</v>
      </c>
      <c r="U97" s="98">
        <f t="shared" si="3"/>
        <v>156522.4893209711</v>
      </c>
      <c r="V97" s="98">
        <f t="shared" si="3"/>
        <v>273035.60578475159</v>
      </c>
      <c r="W97" s="98">
        <f t="shared" si="3"/>
        <v>0</v>
      </c>
      <c r="X97" s="98">
        <f t="shared" si="3"/>
        <v>541.44677695819746</v>
      </c>
      <c r="Y97" s="98">
        <f t="shared" si="3"/>
        <v>1070.0702482205727</v>
      </c>
      <c r="Z97" s="98">
        <f t="shared" si="3"/>
        <v>2265.0566008833848</v>
      </c>
      <c r="AA97" s="98">
        <f t="shared" si="3"/>
        <v>32553.244973113648</v>
      </c>
      <c r="AB97" s="98">
        <f t="shared" si="3"/>
        <v>0</v>
      </c>
      <c r="AC97" s="98">
        <f t="shared" si="3"/>
        <v>55420.223465103816</v>
      </c>
      <c r="AD97" s="98">
        <f t="shared" si="3"/>
        <v>135557.56471798581</v>
      </c>
      <c r="AE97" s="98">
        <f t="shared" si="3"/>
        <v>95974.337915580632</v>
      </c>
      <c r="AF97" s="98">
        <f t="shared" si="3"/>
        <v>289549.49737200385</v>
      </c>
      <c r="AG97" s="98">
        <f t="shared" si="3"/>
        <v>3057642.7067755158</v>
      </c>
      <c r="AH97" s="98">
        <f t="shared" si="3"/>
        <v>-136.07906407235018</v>
      </c>
      <c r="AI97" s="98">
        <f t="shared" si="3"/>
        <v>0</v>
      </c>
      <c r="AJ97" s="98">
        <f t="shared" si="3"/>
        <v>-13066.683287145248</v>
      </c>
      <c r="AK97" s="98">
        <f t="shared" si="3"/>
        <v>0</v>
      </c>
      <c r="AL97" s="98">
        <f t="shared" si="3"/>
        <v>-1939.4544931710229</v>
      </c>
      <c r="AM97" s="98">
        <f t="shared" si="3"/>
        <v>0</v>
      </c>
      <c r="AN97" s="98">
        <f t="shared" si="3"/>
        <v>-175019.77781065364</v>
      </c>
      <c r="AO97" s="98">
        <f t="shared" si="3"/>
        <v>0</v>
      </c>
    </row>
    <row r="98" spans="5:41" x14ac:dyDescent="0.3">
      <c r="E98" s="28"/>
      <c r="F98" s="23" t="s">
        <v>161</v>
      </c>
      <c r="G98" s="85" t="s">
        <v>279</v>
      </c>
      <c r="H98" s="126">
        <f t="shared" si="0"/>
        <v>264169420.67813063</v>
      </c>
      <c r="I98" s="23"/>
      <c r="J98" s="126">
        <f t="shared" ref="J98:AO98" si="4" xml:space="preserve"> J25 * J58 * days_in_year / hundred</f>
        <v>120536507.59346315</v>
      </c>
      <c r="K98" s="126">
        <f t="shared" si="4"/>
        <v>0</v>
      </c>
      <c r="L98" s="126">
        <f t="shared" si="4"/>
        <v>0</v>
      </c>
      <c r="M98" s="126">
        <f t="shared" si="4"/>
        <v>2790306.9209719733</v>
      </c>
      <c r="N98" s="126">
        <f t="shared" si="4"/>
        <v>6127457.4872593703</v>
      </c>
      <c r="O98" s="126">
        <f t="shared" si="4"/>
        <v>6426428.0789451925</v>
      </c>
      <c r="P98" s="126">
        <f t="shared" si="4"/>
        <v>20923269.831231538</v>
      </c>
      <c r="Q98" s="126">
        <f t="shared" si="4"/>
        <v>0</v>
      </c>
      <c r="R98" s="126">
        <f t="shared" si="4"/>
        <v>0</v>
      </c>
      <c r="S98" s="126">
        <f t="shared" si="4"/>
        <v>5825027.8011552235</v>
      </c>
      <c r="T98" s="126">
        <f t="shared" si="4"/>
        <v>10351835.024982233</v>
      </c>
      <c r="U98" s="126">
        <f t="shared" si="4"/>
        <v>6553139.3604593445</v>
      </c>
      <c r="V98" s="126">
        <f t="shared" si="4"/>
        <v>11496316.713918243</v>
      </c>
      <c r="W98" s="126">
        <f t="shared" si="4"/>
        <v>0</v>
      </c>
      <c r="X98" s="126">
        <f t="shared" si="4"/>
        <v>14717.604583329679</v>
      </c>
      <c r="Y98" s="126">
        <f t="shared" si="4"/>
        <v>67350.24073577614</v>
      </c>
      <c r="Z98" s="126">
        <f t="shared" si="4"/>
        <v>136302.84524448219</v>
      </c>
      <c r="AA98" s="126">
        <f t="shared" si="4"/>
        <v>2105436.449116555</v>
      </c>
      <c r="AB98" s="126">
        <f t="shared" si="4"/>
        <v>0</v>
      </c>
      <c r="AC98" s="126">
        <f t="shared" si="4"/>
        <v>7161965.3154501505</v>
      </c>
      <c r="AD98" s="126">
        <f t="shared" si="4"/>
        <v>16716134.247747216</v>
      </c>
      <c r="AE98" s="126">
        <f t="shared" si="4"/>
        <v>11711056.353979653</v>
      </c>
      <c r="AF98" s="126">
        <f t="shared" si="4"/>
        <v>35141827.188539311</v>
      </c>
      <c r="AG98" s="126">
        <f t="shared" si="4"/>
        <v>0</v>
      </c>
      <c r="AH98" s="126">
        <f t="shared" si="4"/>
        <v>0</v>
      </c>
      <c r="AI98" s="126">
        <f t="shared" si="4"/>
        <v>0</v>
      </c>
      <c r="AJ98" s="126">
        <f t="shared" si="4"/>
        <v>0</v>
      </c>
      <c r="AK98" s="126">
        <f t="shared" si="4"/>
        <v>0</v>
      </c>
      <c r="AL98" s="126">
        <f t="shared" si="4"/>
        <v>0</v>
      </c>
      <c r="AM98" s="126">
        <f t="shared" si="4"/>
        <v>0</v>
      </c>
      <c r="AN98" s="126">
        <f t="shared" si="4"/>
        <v>84341.620347872056</v>
      </c>
      <c r="AO98" s="126">
        <f t="shared" si="4"/>
        <v>0</v>
      </c>
    </row>
    <row r="99" spans="5:41" x14ac:dyDescent="0.3">
      <c r="E99" s="28"/>
      <c r="F99" t="s">
        <v>162</v>
      </c>
      <c r="G99" s="13" t="s">
        <v>279</v>
      </c>
      <c r="H99" s="98">
        <f t="shared" si="0"/>
        <v>68019627.72417967</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2713371.4020678457</v>
      </c>
      <c r="T99" s="98">
        <f t="shared" si="5"/>
        <v>7037541.66436648</v>
      </c>
      <c r="U99" s="98">
        <f t="shared" si="5"/>
        <v>4438520.8967286274</v>
      </c>
      <c r="V99" s="98">
        <f t="shared" si="5"/>
        <v>7388856.3823370431</v>
      </c>
      <c r="W99" s="98">
        <f t="shared" si="5"/>
        <v>0</v>
      </c>
      <c r="X99" s="98">
        <f t="shared" si="5"/>
        <v>1420.9362987954489</v>
      </c>
      <c r="Y99" s="98">
        <f t="shared" si="5"/>
        <v>64093.881778085241</v>
      </c>
      <c r="Z99" s="98">
        <f t="shared" si="5"/>
        <v>121826.94439023735</v>
      </c>
      <c r="AA99" s="98">
        <f t="shared" si="5"/>
        <v>2793940.2430079267</v>
      </c>
      <c r="AB99" s="98">
        <f t="shared" si="5"/>
        <v>0</v>
      </c>
      <c r="AC99" s="98">
        <f t="shared" si="5"/>
        <v>4886980.7375381477</v>
      </c>
      <c r="AD99" s="98">
        <f t="shared" si="5"/>
        <v>10917117.041038668</v>
      </c>
      <c r="AE99" s="98">
        <f t="shared" si="5"/>
        <v>7304378.8713857289</v>
      </c>
      <c r="AF99" s="98">
        <f t="shared" si="5"/>
        <v>20351578.723242085</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163</v>
      </c>
      <c r="G100" s="13" t="s">
        <v>279</v>
      </c>
      <c r="H100" s="98">
        <f t="shared" si="0"/>
        <v>1563044.8694349653</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91176.160613049957</v>
      </c>
      <c r="T100" s="98">
        <f t="shared" si="6"/>
        <v>236479.24814948172</v>
      </c>
      <c r="U100" s="98">
        <f t="shared" si="6"/>
        <v>149145.55886308002</v>
      </c>
      <c r="V100" s="98">
        <f t="shared" si="6"/>
        <v>248284.31365839121</v>
      </c>
      <c r="W100" s="98">
        <f t="shared" si="6"/>
        <v>0</v>
      </c>
      <c r="X100" s="98">
        <f t="shared" si="6"/>
        <v>12.08869825892935</v>
      </c>
      <c r="Y100" s="98">
        <f t="shared" si="6"/>
        <v>545.28242942036411</v>
      </c>
      <c r="Z100" s="98">
        <f t="shared" si="6"/>
        <v>1036.4498195938845</v>
      </c>
      <c r="AA100" s="98">
        <f t="shared" si="6"/>
        <v>23769.609221633855</v>
      </c>
      <c r="AB100" s="98">
        <f t="shared" si="6"/>
        <v>0</v>
      </c>
      <c r="AC100" s="98">
        <f t="shared" si="6"/>
        <v>91374.521669482769</v>
      </c>
      <c r="AD100" s="98">
        <f t="shared" si="6"/>
        <v>204123.24116038746</v>
      </c>
      <c r="AE100" s="98">
        <f t="shared" si="6"/>
        <v>136573.92187753378</v>
      </c>
      <c r="AF100" s="98">
        <f t="shared" si="6"/>
        <v>380524.47327465087</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164</v>
      </c>
      <c r="G101" s="85" t="s">
        <v>279</v>
      </c>
      <c r="H101" s="126">
        <f t="shared" si="0"/>
        <v>917950.50326303719</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89607.530029678892</v>
      </c>
      <c r="T101" s="126">
        <f t="shared" si="7"/>
        <v>162412.32313779491</v>
      </c>
      <c r="U101" s="126">
        <f t="shared" si="7"/>
        <v>103379.44378120388</v>
      </c>
      <c r="V101" s="126">
        <f t="shared" si="7"/>
        <v>180333.63244440735</v>
      </c>
      <c r="W101" s="126">
        <f t="shared" si="7"/>
        <v>0</v>
      </c>
      <c r="X101" s="126">
        <f t="shared" si="7"/>
        <v>534.86422300569109</v>
      </c>
      <c r="Y101" s="126">
        <f t="shared" si="7"/>
        <v>1057.0610376358218</v>
      </c>
      <c r="Z101" s="126">
        <f t="shared" si="7"/>
        <v>2237.5195318392985</v>
      </c>
      <c r="AA101" s="126">
        <f t="shared" si="7"/>
        <v>32157.484022113982</v>
      </c>
      <c r="AB101" s="126">
        <f t="shared" si="7"/>
        <v>0</v>
      </c>
      <c r="AC101" s="126">
        <f t="shared" si="7"/>
        <v>30570.241872304538</v>
      </c>
      <c r="AD101" s="126">
        <f t="shared" si="7"/>
        <v>74774.64510150798</v>
      </c>
      <c r="AE101" s="126">
        <f t="shared" si="7"/>
        <v>52940.218212237975</v>
      </c>
      <c r="AF101" s="126">
        <f t="shared" si="7"/>
        <v>159717.83611157592</v>
      </c>
      <c r="AG101" s="126">
        <f t="shared" si="7"/>
        <v>0</v>
      </c>
      <c r="AH101" s="126">
        <f t="shared" si="7"/>
        <v>0</v>
      </c>
      <c r="AI101" s="126">
        <f t="shared" si="7"/>
        <v>0</v>
      </c>
      <c r="AJ101" s="126">
        <f t="shared" si="7"/>
        <v>5678.4987088225616</v>
      </c>
      <c r="AK101" s="126">
        <f t="shared" si="7"/>
        <v>0</v>
      </c>
      <c r="AL101" s="126">
        <f t="shared" si="7"/>
        <v>520.80441663117244</v>
      </c>
      <c r="AM101" s="126">
        <f t="shared" si="7"/>
        <v>0</v>
      </c>
      <c r="AN101" s="126">
        <f t="shared" si="7"/>
        <v>22028.400632277277</v>
      </c>
      <c r="AO101" s="126">
        <f t="shared" si="7"/>
        <v>0</v>
      </c>
    </row>
    <row r="102" spans="5:41" x14ac:dyDescent="0.3">
      <c r="E102" s="28"/>
      <c r="F102" s="108" t="s">
        <v>102</v>
      </c>
      <c r="G102" s="214" t="s">
        <v>279</v>
      </c>
      <c r="H102" s="153">
        <f>SUM(H95:H101)</f>
        <v>514456473.96912062</v>
      </c>
      <c r="I102" s="54"/>
      <c r="J102" s="153">
        <f t="shared" ref="J102" si="8">SUM(J95:J101)</f>
        <v>224877221.85860589</v>
      </c>
      <c r="K102" s="153">
        <f t="shared" ref="K102:AO102" si="9">SUM(K95:K101)</f>
        <v>141404.26321408979</v>
      </c>
      <c r="L102" s="153">
        <f t="shared" si="9"/>
        <v>0</v>
      </c>
      <c r="M102" s="153">
        <f t="shared" si="9"/>
        <v>3864010.8590133684</v>
      </c>
      <c r="N102" s="153">
        <f t="shared" si="9"/>
        <v>11069296.387738671</v>
      </c>
      <c r="O102" s="153">
        <f t="shared" si="9"/>
        <v>12543147.40790569</v>
      </c>
      <c r="P102" s="153">
        <f t="shared" si="9"/>
        <v>42616042.560607016</v>
      </c>
      <c r="Q102" s="153">
        <f t="shared" si="9"/>
        <v>9026.4122859164618</v>
      </c>
      <c r="R102" s="153">
        <f t="shared" si="9"/>
        <v>0</v>
      </c>
      <c r="S102" s="153">
        <f t="shared" si="9"/>
        <v>12895634.568657871</v>
      </c>
      <c r="T102" s="153">
        <f t="shared" si="9"/>
        <v>25358025.163332142</v>
      </c>
      <c r="U102" s="153">
        <f t="shared" si="9"/>
        <v>16062521.966313049</v>
      </c>
      <c r="V102" s="153">
        <f t="shared" si="9"/>
        <v>27718829.112198092</v>
      </c>
      <c r="W102" s="153">
        <f t="shared" si="9"/>
        <v>0</v>
      </c>
      <c r="X102" s="153">
        <f t="shared" si="9"/>
        <v>35237.913587555748</v>
      </c>
      <c r="Y102" s="153">
        <f t="shared" si="9"/>
        <v>169711.92099583859</v>
      </c>
      <c r="Z102" s="153">
        <f t="shared" si="9"/>
        <v>339014.86072834482</v>
      </c>
      <c r="AA102" s="153">
        <f t="shared" si="9"/>
        <v>6070725.4515029667</v>
      </c>
      <c r="AB102" s="153">
        <f t="shared" si="9"/>
        <v>0</v>
      </c>
      <c r="AC102" s="153">
        <f t="shared" si="9"/>
        <v>13936473.118453296</v>
      </c>
      <c r="AD102" s="153">
        <f t="shared" si="9"/>
        <v>32230753.868307248</v>
      </c>
      <c r="AE102" s="153">
        <f t="shared" si="9"/>
        <v>22262508.174636859</v>
      </c>
      <c r="AF102" s="153">
        <f t="shared" si="9"/>
        <v>65258141.305585995</v>
      </c>
      <c r="AG102" s="153">
        <f t="shared" si="9"/>
        <v>6343262.9948525745</v>
      </c>
      <c r="AH102" s="153">
        <f t="shared" si="9"/>
        <v>-6289.3253819996926</v>
      </c>
      <c r="AI102" s="153">
        <f t="shared" si="9"/>
        <v>0</v>
      </c>
      <c r="AJ102" s="153">
        <f t="shared" si="9"/>
        <v>-381305.08166466939</v>
      </c>
      <c r="AK102" s="153">
        <f t="shared" si="9"/>
        <v>0</v>
      </c>
      <c r="AL102" s="153">
        <f t="shared" si="9"/>
        <v>-40953.907303997119</v>
      </c>
      <c r="AM102" s="153">
        <f t="shared" si="9"/>
        <v>0</v>
      </c>
      <c r="AN102" s="153">
        <f t="shared" si="9"/>
        <v>-8915967.8850512635</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767</v>
      </c>
      <c r="G104" s="13"/>
      <c r="H104" s="213" t="s">
        <v>547</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158</v>
      </c>
      <c r="G105" s="85" t="s">
        <v>279</v>
      </c>
      <c r="H105" s="126">
        <f t="shared" ref="H105:H111" si="10">SUM(J105:AO105)</f>
        <v>891667.37758995057</v>
      </c>
      <c r="I105" s="23"/>
      <c r="J105" s="126">
        <f t="shared" ref="J105:AO105" si="11">J33 * thousand * J64 / hundred</f>
        <v>798781.84314095764</v>
      </c>
      <c r="K105" s="126">
        <f t="shared" si="11"/>
        <v>0</v>
      </c>
      <c r="L105" s="126">
        <f t="shared" si="11"/>
        <v>0</v>
      </c>
      <c r="M105" s="126">
        <f t="shared" si="11"/>
        <v>785.73047965266539</v>
      </c>
      <c r="N105" s="126">
        <f t="shared" si="11"/>
        <v>3616.4098054095994</v>
      </c>
      <c r="O105" s="126">
        <f t="shared" si="11"/>
        <v>4476.1806695167115</v>
      </c>
      <c r="P105" s="126">
        <f t="shared" si="11"/>
        <v>15874.648604475287</v>
      </c>
      <c r="Q105" s="126">
        <f t="shared" si="11"/>
        <v>0</v>
      </c>
      <c r="R105" s="126">
        <f t="shared" si="11"/>
        <v>0</v>
      </c>
      <c r="S105" s="126">
        <f t="shared" si="11"/>
        <v>11352.155575155306</v>
      </c>
      <c r="T105" s="126">
        <f t="shared" si="11"/>
        <v>20575.61411381367</v>
      </c>
      <c r="U105" s="126">
        <f t="shared" si="11"/>
        <v>13096.885146689649</v>
      </c>
      <c r="V105" s="126">
        <f t="shared" si="11"/>
        <v>22846.020309495667</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339.70687597139374</v>
      </c>
      <c r="AH105" s="126">
        <f t="shared" si="11"/>
        <v>-77.817131186823175</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159</v>
      </c>
      <c r="G106" s="13" t="s">
        <v>279</v>
      </c>
      <c r="H106" s="98">
        <f t="shared" si="10"/>
        <v>470123.77827153221</v>
      </c>
      <c r="J106" s="98">
        <f t="shared" ref="J106:AO106" si="12">J34 * thousand * J65 / hundred</f>
        <v>402962.86600514746</v>
      </c>
      <c r="K106" s="98">
        <f t="shared" si="12"/>
        <v>0</v>
      </c>
      <c r="L106" s="98">
        <f t="shared" si="12"/>
        <v>0</v>
      </c>
      <c r="M106" s="98">
        <f t="shared" si="12"/>
        <v>604.5566450229685</v>
      </c>
      <c r="N106" s="98">
        <f t="shared" si="12"/>
        <v>2782.5375693113815</v>
      </c>
      <c r="O106" s="98">
        <f t="shared" si="12"/>
        <v>3444.0623574586671</v>
      </c>
      <c r="P106" s="98">
        <f t="shared" si="12"/>
        <v>12214.270096130886</v>
      </c>
      <c r="Q106" s="98">
        <f t="shared" si="12"/>
        <v>0</v>
      </c>
      <c r="R106" s="98">
        <f t="shared" si="12"/>
        <v>0</v>
      </c>
      <c r="S106" s="98">
        <f t="shared" si="12"/>
        <v>7342.1032103278803</v>
      </c>
      <c r="T106" s="98">
        <f t="shared" si="12"/>
        <v>13307.453499855003</v>
      </c>
      <c r="U106" s="98">
        <f t="shared" si="12"/>
        <v>8470.5219060997642</v>
      </c>
      <c r="V106" s="98">
        <f t="shared" si="12"/>
        <v>14775.85802511954</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4286.297473928721</v>
      </c>
      <c r="AH106" s="98">
        <f t="shared" si="12"/>
        <v>-66.748516870063611</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160</v>
      </c>
      <c r="G107" s="13" t="s">
        <v>279</v>
      </c>
      <c r="H107" s="98">
        <f t="shared" si="10"/>
        <v>54638.360645298431</v>
      </c>
      <c r="J107" s="98">
        <f t="shared" ref="J107:AO107" si="13">J35 * thousand * J66 / hundred</f>
        <v>44668.756354317324</v>
      </c>
      <c r="K107" s="98">
        <f t="shared" si="13"/>
        <v>0</v>
      </c>
      <c r="L107" s="98">
        <f t="shared" si="13"/>
        <v>0</v>
      </c>
      <c r="M107" s="98">
        <f t="shared" si="13"/>
        <v>41.641619426242052</v>
      </c>
      <c r="N107" s="98">
        <f t="shared" si="13"/>
        <v>191.66007264064237</v>
      </c>
      <c r="O107" s="98">
        <f t="shared" si="13"/>
        <v>237.22563493465717</v>
      </c>
      <c r="P107" s="98">
        <f t="shared" si="13"/>
        <v>841.31402921406561</v>
      </c>
      <c r="Q107" s="98">
        <f t="shared" si="13"/>
        <v>0</v>
      </c>
      <c r="R107" s="98">
        <f t="shared" si="13"/>
        <v>0</v>
      </c>
      <c r="S107" s="98">
        <f t="shared" si="13"/>
        <v>667.5678586001934</v>
      </c>
      <c r="T107" s="98">
        <f t="shared" si="13"/>
        <v>1209.9568722792628</v>
      </c>
      <c r="U107" s="98">
        <f t="shared" si="13"/>
        <v>770.16734961269026</v>
      </c>
      <c r="V107" s="98">
        <f t="shared" si="13"/>
        <v>1343.4689786074307</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4669.4383362467688</v>
      </c>
      <c r="AH107" s="98">
        <f t="shared" si="13"/>
        <v>-2.8364605808466119</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161</v>
      </c>
      <c r="G108" s="85" t="s">
        <v>279</v>
      </c>
      <c r="H108" s="126">
        <f t="shared" si="10"/>
        <v>1607969.7224575747</v>
      </c>
      <c r="I108" s="23"/>
      <c r="J108" s="126">
        <f t="shared" ref="J108:AO108" si="14" xml:space="preserve"> J36 * J67 * days_in_year / hundred</f>
        <v>1388206.9393913331</v>
      </c>
      <c r="K108" s="126">
        <f t="shared" si="14"/>
        <v>0</v>
      </c>
      <c r="L108" s="126">
        <f t="shared" si="14"/>
        <v>0</v>
      </c>
      <c r="M108" s="126">
        <f t="shared" si="14"/>
        <v>7564.2498278511703</v>
      </c>
      <c r="N108" s="126">
        <f t="shared" si="14"/>
        <v>16600.708257854854</v>
      </c>
      <c r="O108" s="126">
        <f t="shared" si="14"/>
        <v>17403.600550624975</v>
      </c>
      <c r="P108" s="126">
        <f t="shared" si="14"/>
        <v>56641.403784808768</v>
      </c>
      <c r="Q108" s="126">
        <f t="shared" si="14"/>
        <v>0</v>
      </c>
      <c r="R108" s="126">
        <f t="shared" si="14"/>
        <v>0</v>
      </c>
      <c r="S108" s="126">
        <f t="shared" si="14"/>
        <v>20687.914421349102</v>
      </c>
      <c r="T108" s="126">
        <f t="shared" si="14"/>
        <v>36764.274508720177</v>
      </c>
      <c r="U108" s="126">
        <f t="shared" si="14"/>
        <v>23272.821781532191</v>
      </c>
      <c r="V108" s="126">
        <f t="shared" si="14"/>
        <v>40827.80993350043</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162</v>
      </c>
      <c r="G109" s="13" t="s">
        <v>279</v>
      </c>
      <c r="H109" s="98">
        <f t="shared" si="10"/>
        <v>104075.89641512677</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13087.068366205027</v>
      </c>
      <c r="T109" s="98">
        <f t="shared" si="15"/>
        <v>33943.303456869537</v>
      </c>
      <c r="U109" s="98">
        <f t="shared" si="15"/>
        <v>21407.768349017471</v>
      </c>
      <c r="V109" s="98">
        <f t="shared" si="15"/>
        <v>35637.756243034724</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163</v>
      </c>
      <c r="G110" s="13" t="s">
        <v>279</v>
      </c>
      <c r="H110" s="98">
        <f t="shared" si="10"/>
        <v>410.01794425579089</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51.557882782419853</v>
      </c>
      <c r="T110" s="98">
        <f t="shared" si="16"/>
        <v>133.72321530745256</v>
      </c>
      <c r="U110" s="98">
        <f t="shared" si="16"/>
        <v>84.338155825795695</v>
      </c>
      <c r="V110" s="98">
        <f t="shared" si="16"/>
        <v>140.39869034012278</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164</v>
      </c>
      <c r="G111" s="85" t="s">
        <v>279</v>
      </c>
      <c r="H111" s="126">
        <f t="shared" si="10"/>
        <v>1538.2669939553857</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257.29295007248493</v>
      </c>
      <c r="T111" s="126">
        <f t="shared" si="17"/>
        <v>466.33966737403097</v>
      </c>
      <c r="U111" s="126">
        <f t="shared" si="17"/>
        <v>296.83668390936305</v>
      </c>
      <c r="V111" s="126">
        <f t="shared" si="17"/>
        <v>517.79769259950683</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102</v>
      </c>
      <c r="G112" s="214" t="s">
        <v>279</v>
      </c>
      <c r="H112" s="153">
        <f>SUM(H105:H111)</f>
        <v>3130423.4203176936</v>
      </c>
      <c r="I112" s="108"/>
      <c r="J112" s="153">
        <f t="shared" ref="J112" si="18">SUM(J105:J111)</f>
        <v>2634620.4048917554</v>
      </c>
      <c r="K112" s="153">
        <f t="shared" ref="K112:AO112" si="19">SUM(K105:K111)</f>
        <v>0</v>
      </c>
      <c r="L112" s="153">
        <f t="shared" si="19"/>
        <v>0</v>
      </c>
      <c r="M112" s="153">
        <f t="shared" si="19"/>
        <v>8996.1785719530453</v>
      </c>
      <c r="N112" s="153">
        <f t="shared" si="19"/>
        <v>23191.315705216479</v>
      </c>
      <c r="O112" s="153">
        <f t="shared" si="19"/>
        <v>25561.069212535011</v>
      </c>
      <c r="P112" s="153">
        <f t="shared" si="19"/>
        <v>85571.636514629005</v>
      </c>
      <c r="Q112" s="153">
        <f t="shared" si="19"/>
        <v>0</v>
      </c>
      <c r="R112" s="153">
        <f t="shared" si="19"/>
        <v>0</v>
      </c>
      <c r="S112" s="153">
        <f t="shared" si="19"/>
        <v>53445.660264492413</v>
      </c>
      <c r="T112" s="153">
        <f t="shared" si="19"/>
        <v>106400.66533421914</v>
      </c>
      <c r="U112" s="153">
        <f t="shared" si="19"/>
        <v>67399.339372686925</v>
      </c>
      <c r="V112" s="153">
        <f t="shared" si="19"/>
        <v>116089.10987269743</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9295.4426861468837</v>
      </c>
      <c r="AH112" s="153">
        <f t="shared" si="19"/>
        <v>-147.40210863773342</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768</v>
      </c>
      <c r="G114" s="13"/>
      <c r="H114" s="213" t="s">
        <v>547</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158</v>
      </c>
      <c r="G115" s="85" t="s">
        <v>279</v>
      </c>
      <c r="H115" s="126">
        <f t="shared" ref="H115:H121" si="20">SUM(J115:AO115)</f>
        <v>2331501.7522737514</v>
      </c>
      <c r="I115" s="23"/>
      <c r="J115" s="126">
        <f t="shared" ref="J115:AO115" si="21">J44 * thousand * J73 / hundred</f>
        <v>1451175.1762438659</v>
      </c>
      <c r="K115" s="126">
        <f t="shared" si="21"/>
        <v>0</v>
      </c>
      <c r="L115" s="126">
        <f t="shared" si="21"/>
        <v>0</v>
      </c>
      <c r="M115" s="126">
        <f t="shared" si="21"/>
        <v>3031.0071281017458</v>
      </c>
      <c r="N115" s="126">
        <f t="shared" si="21"/>
        <v>13950.539252567942</v>
      </c>
      <c r="O115" s="126">
        <f t="shared" si="21"/>
        <v>17267.162045150497</v>
      </c>
      <c r="P115" s="126">
        <f t="shared" si="21"/>
        <v>61237.503599892094</v>
      </c>
      <c r="Q115" s="126">
        <f t="shared" si="21"/>
        <v>0</v>
      </c>
      <c r="R115" s="126">
        <f t="shared" si="21"/>
        <v>0</v>
      </c>
      <c r="S115" s="126">
        <f t="shared" si="21"/>
        <v>83292.949772482098</v>
      </c>
      <c r="T115" s="126">
        <f t="shared" si="21"/>
        <v>150967.23979634236</v>
      </c>
      <c r="U115" s="126">
        <f t="shared" si="21"/>
        <v>96094.36634982549</v>
      </c>
      <c r="V115" s="126">
        <f t="shared" si="21"/>
        <v>167625.64691277983</v>
      </c>
      <c r="W115" s="126">
        <f t="shared" si="21"/>
        <v>0</v>
      </c>
      <c r="X115" s="126">
        <f t="shared" si="21"/>
        <v>1235.0657816136893</v>
      </c>
      <c r="Y115" s="126">
        <f t="shared" si="21"/>
        <v>2440.8809946653923</v>
      </c>
      <c r="Z115" s="126">
        <f t="shared" si="21"/>
        <v>5166.7015489229971</v>
      </c>
      <c r="AA115" s="126">
        <f t="shared" si="21"/>
        <v>74255.495937478947</v>
      </c>
      <c r="AB115" s="126">
        <f t="shared" si="21"/>
        <v>0</v>
      </c>
      <c r="AC115" s="126">
        <f t="shared" si="21"/>
        <v>19562.525357634331</v>
      </c>
      <c r="AD115" s="126">
        <f t="shared" si="21"/>
        <v>47849.830466391591</v>
      </c>
      <c r="AE115" s="126">
        <f t="shared" si="21"/>
        <v>33877.532455961824</v>
      </c>
      <c r="AF115" s="126">
        <f t="shared" si="21"/>
        <v>102206.7222120951</v>
      </c>
      <c r="AG115" s="126">
        <f t="shared" si="21"/>
        <v>656.68948586147337</v>
      </c>
      <c r="AH115" s="126">
        <f t="shared" si="21"/>
        <v>-4.2414118826355978</v>
      </c>
      <c r="AI115" s="126">
        <f t="shared" si="21"/>
        <v>0</v>
      </c>
      <c r="AJ115" s="126">
        <f t="shared" si="21"/>
        <v>-387.04165599907145</v>
      </c>
      <c r="AK115" s="126">
        <f t="shared" si="21"/>
        <v>0</v>
      </c>
      <c r="AL115" s="126">
        <f t="shared" si="21"/>
        <v>0</v>
      </c>
      <c r="AM115" s="126">
        <f t="shared" si="21"/>
        <v>0</v>
      </c>
      <c r="AN115" s="126">
        <f t="shared" si="21"/>
        <v>0</v>
      </c>
      <c r="AO115" s="126">
        <f t="shared" si="21"/>
        <v>0</v>
      </c>
    </row>
    <row r="116" spans="3:43" x14ac:dyDescent="0.3">
      <c r="C116" s="88"/>
      <c r="F116" t="s">
        <v>159</v>
      </c>
      <c r="G116" s="13" t="s">
        <v>279</v>
      </c>
      <c r="H116" s="98">
        <f t="shared" si="20"/>
        <v>1273556.5359983675</v>
      </c>
      <c r="J116" s="98">
        <f t="shared" ref="J116:AO116" si="22">J45 * thousand * J74 / hundred</f>
        <v>730823.00443854078</v>
      </c>
      <c r="K116" s="98">
        <f t="shared" si="22"/>
        <v>0</v>
      </c>
      <c r="L116" s="98">
        <f t="shared" si="22"/>
        <v>0</v>
      </c>
      <c r="M116" s="98">
        <f t="shared" si="22"/>
        <v>2315.9078259739872</v>
      </c>
      <c r="N116" s="98">
        <f t="shared" si="22"/>
        <v>10659.217107091825</v>
      </c>
      <c r="O116" s="98">
        <f t="shared" si="22"/>
        <v>13193.355878964689</v>
      </c>
      <c r="P116" s="98">
        <f t="shared" si="22"/>
        <v>46789.864832458959</v>
      </c>
      <c r="Q116" s="98">
        <f t="shared" si="22"/>
        <v>0</v>
      </c>
      <c r="R116" s="98">
        <f t="shared" si="22"/>
        <v>0</v>
      </c>
      <c r="S116" s="98">
        <f t="shared" si="22"/>
        <v>52834.956125416888</v>
      </c>
      <c r="T116" s="98">
        <f t="shared" si="22"/>
        <v>95762.576698300851</v>
      </c>
      <c r="U116" s="98">
        <f t="shared" si="22"/>
        <v>60955.238634976602</v>
      </c>
      <c r="V116" s="98">
        <f t="shared" si="22"/>
        <v>106329.45194429059</v>
      </c>
      <c r="W116" s="98">
        <f t="shared" si="22"/>
        <v>0</v>
      </c>
      <c r="X116" s="98">
        <f t="shared" si="22"/>
        <v>738.62966350279601</v>
      </c>
      <c r="Y116" s="98">
        <f t="shared" si="22"/>
        <v>1459.7660582778515</v>
      </c>
      <c r="Z116" s="98">
        <f t="shared" si="22"/>
        <v>3089.9398909053784</v>
      </c>
      <c r="AA116" s="98">
        <f t="shared" si="22"/>
        <v>44408.413538809196</v>
      </c>
      <c r="AB116" s="98">
        <f t="shared" si="22"/>
        <v>0</v>
      </c>
      <c r="AC116" s="98">
        <f t="shared" si="22"/>
        <v>9274.1909125989987</v>
      </c>
      <c r="AD116" s="98">
        <f t="shared" si="22"/>
        <v>22684.620455079927</v>
      </c>
      <c r="AE116" s="98">
        <f t="shared" si="22"/>
        <v>16060.641348727837</v>
      </c>
      <c r="AF116" s="98">
        <f t="shared" si="22"/>
        <v>48454.104826298812</v>
      </c>
      <c r="AG116" s="98">
        <f t="shared" si="22"/>
        <v>8102.456648633367</v>
      </c>
      <c r="AH116" s="98">
        <f t="shared" si="22"/>
        <v>-5.2104858223739106</v>
      </c>
      <c r="AI116" s="98">
        <f t="shared" si="22"/>
        <v>0</v>
      </c>
      <c r="AJ116" s="98">
        <f t="shared" si="22"/>
        <v>-374.59034465899254</v>
      </c>
      <c r="AK116" s="98">
        <f t="shared" si="22"/>
        <v>0</v>
      </c>
      <c r="AL116" s="98">
        <f t="shared" si="22"/>
        <v>0</v>
      </c>
      <c r="AM116" s="98">
        <f t="shared" si="22"/>
        <v>0</v>
      </c>
      <c r="AN116" s="98">
        <f t="shared" si="22"/>
        <v>0</v>
      </c>
      <c r="AO116" s="98">
        <f t="shared" si="22"/>
        <v>0</v>
      </c>
    </row>
    <row r="117" spans="3:43" x14ac:dyDescent="0.3">
      <c r="C117" s="88"/>
      <c r="F117" t="s">
        <v>160</v>
      </c>
      <c r="G117" s="13" t="s">
        <v>279</v>
      </c>
      <c r="H117" s="98">
        <f t="shared" si="20"/>
        <v>138964.18593551079</v>
      </c>
      <c r="J117" s="98">
        <f t="shared" ref="J117:AO117" si="23">J46 * thousand * J75 / hundred</f>
        <v>81446.157222847527</v>
      </c>
      <c r="K117" s="98">
        <f t="shared" si="23"/>
        <v>0</v>
      </c>
      <c r="L117" s="98">
        <f t="shared" si="23"/>
        <v>0</v>
      </c>
      <c r="M117" s="98">
        <f t="shared" si="23"/>
        <v>152.0766504735939</v>
      </c>
      <c r="N117" s="98">
        <f t="shared" si="23"/>
        <v>699.94928819570555</v>
      </c>
      <c r="O117" s="98">
        <f t="shared" si="23"/>
        <v>866.3563152541393</v>
      </c>
      <c r="P117" s="98">
        <f t="shared" si="23"/>
        <v>3072.5082578966544</v>
      </c>
      <c r="Q117" s="98">
        <f t="shared" si="23"/>
        <v>0</v>
      </c>
      <c r="R117" s="98">
        <f t="shared" si="23"/>
        <v>0</v>
      </c>
      <c r="S117" s="98">
        <f t="shared" si="23"/>
        <v>4846.7573576119457</v>
      </c>
      <c r="T117" s="98">
        <f t="shared" si="23"/>
        <v>8784.6760408889368</v>
      </c>
      <c r="U117" s="98">
        <f t="shared" si="23"/>
        <v>5591.6626605646425</v>
      </c>
      <c r="V117" s="98">
        <f t="shared" si="23"/>
        <v>9754.0168731950453</v>
      </c>
      <c r="W117" s="98">
        <f t="shared" si="23"/>
        <v>0</v>
      </c>
      <c r="X117" s="98">
        <f t="shared" si="23"/>
        <v>75.266977443353838</v>
      </c>
      <c r="Y117" s="98">
        <f t="shared" si="23"/>
        <v>148.75137624439139</v>
      </c>
      <c r="Z117" s="98">
        <f t="shared" si="23"/>
        <v>314.8674465187031</v>
      </c>
      <c r="AA117" s="98">
        <f t="shared" si="23"/>
        <v>4525.2542989806816</v>
      </c>
      <c r="AB117" s="98">
        <f t="shared" si="23"/>
        <v>0</v>
      </c>
      <c r="AC117" s="98">
        <f t="shared" si="23"/>
        <v>977.05477306821979</v>
      </c>
      <c r="AD117" s="98">
        <f t="shared" si="23"/>
        <v>2389.8706528422704</v>
      </c>
      <c r="AE117" s="98">
        <f t="shared" si="23"/>
        <v>1692.0210545799284</v>
      </c>
      <c r="AF117" s="98">
        <f t="shared" si="23"/>
        <v>5104.7379595096036</v>
      </c>
      <c r="AG117" s="98">
        <f t="shared" si="23"/>
        <v>8577.6930297567105</v>
      </c>
      <c r="AH117" s="98">
        <f t="shared" si="23"/>
        <v>-0.29044346035296981</v>
      </c>
      <c r="AI117" s="98">
        <f t="shared" si="23"/>
        <v>0</v>
      </c>
      <c r="AJ117" s="98">
        <f t="shared" si="23"/>
        <v>-55.20185690093458</v>
      </c>
      <c r="AK117" s="98">
        <f t="shared" si="23"/>
        <v>0</v>
      </c>
      <c r="AL117" s="98">
        <f t="shared" si="23"/>
        <v>0</v>
      </c>
      <c r="AM117" s="98">
        <f t="shared" si="23"/>
        <v>0</v>
      </c>
      <c r="AN117" s="98">
        <f t="shared" si="23"/>
        <v>0</v>
      </c>
      <c r="AO117" s="98">
        <f t="shared" si="23"/>
        <v>0</v>
      </c>
    </row>
    <row r="118" spans="3:43" x14ac:dyDescent="0.3">
      <c r="C118" s="88"/>
      <c r="F118" s="23" t="s">
        <v>161</v>
      </c>
      <c r="G118" s="85" t="s">
        <v>279</v>
      </c>
      <c r="H118" s="126">
        <f t="shared" si="20"/>
        <v>4584009.1326668058</v>
      </c>
      <c r="I118" s="23"/>
      <c r="J118" s="126">
        <f t="shared" ref="J118:AO118" si="24" xml:space="preserve"> J47 * J76 * days_in_year / hundred</f>
        <v>2606232.4261331852</v>
      </c>
      <c r="K118" s="126">
        <f t="shared" si="24"/>
        <v>0</v>
      </c>
      <c r="L118" s="126">
        <f t="shared" si="24"/>
        <v>0</v>
      </c>
      <c r="M118" s="126">
        <f t="shared" si="24"/>
        <v>18224.823350335086</v>
      </c>
      <c r="N118" s="126">
        <f t="shared" si="24"/>
        <v>39977.683532265284</v>
      </c>
      <c r="O118" s="126">
        <f t="shared" si="24"/>
        <v>41889.690417116901</v>
      </c>
      <c r="P118" s="126">
        <f t="shared" si="24"/>
        <v>136341.15303949098</v>
      </c>
      <c r="Q118" s="126">
        <f t="shared" si="24"/>
        <v>0</v>
      </c>
      <c r="R118" s="126">
        <f t="shared" si="24"/>
        <v>0</v>
      </c>
      <c r="S118" s="126">
        <f t="shared" si="24"/>
        <v>107772.25864087077</v>
      </c>
      <c r="T118" s="126">
        <f t="shared" si="24"/>
        <v>191508.79492440197</v>
      </c>
      <c r="U118" s="126">
        <f t="shared" si="24"/>
        <v>121232.43941076212</v>
      </c>
      <c r="V118" s="126">
        <f t="shared" si="24"/>
        <v>212678.84384506146</v>
      </c>
      <c r="W118" s="126">
        <f t="shared" si="24"/>
        <v>0</v>
      </c>
      <c r="X118" s="126">
        <f t="shared" si="24"/>
        <v>906.00813350007377</v>
      </c>
      <c r="Y118" s="126">
        <f t="shared" si="24"/>
        <v>4146.1836832979407</v>
      </c>
      <c r="Z118" s="126">
        <f t="shared" si="24"/>
        <v>8390.8468387147805</v>
      </c>
      <c r="AA118" s="126">
        <f t="shared" si="24"/>
        <v>129609.15156252748</v>
      </c>
      <c r="AB118" s="126">
        <f t="shared" si="24"/>
        <v>0</v>
      </c>
      <c r="AC118" s="126">
        <f t="shared" si="24"/>
        <v>97723.120139376872</v>
      </c>
      <c r="AD118" s="126">
        <f t="shared" si="24"/>
        <v>228085.27845452836</v>
      </c>
      <c r="AE118" s="126">
        <f t="shared" si="24"/>
        <v>159793.03561908382</v>
      </c>
      <c r="AF118" s="126">
        <f t="shared" si="24"/>
        <v>479497.39494228765</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162</v>
      </c>
      <c r="G119" s="13" t="s">
        <v>279</v>
      </c>
      <c r="H119" s="98">
        <f t="shared" si="20"/>
        <v>2187933.2935344116</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107283.64701046434</v>
      </c>
      <c r="T119" s="98">
        <f t="shared" si="25"/>
        <v>278256.46543113777</v>
      </c>
      <c r="U119" s="98">
        <f t="shared" si="25"/>
        <v>175494.11362200874</v>
      </c>
      <c r="V119" s="98">
        <f t="shared" si="25"/>
        <v>292147.05341463722</v>
      </c>
      <c r="W119" s="98">
        <f t="shared" si="25"/>
        <v>0</v>
      </c>
      <c r="X119" s="98">
        <f t="shared" si="25"/>
        <v>128.13024559776258</v>
      </c>
      <c r="Y119" s="98">
        <f t="shared" si="25"/>
        <v>5779.5446710044471</v>
      </c>
      <c r="Z119" s="98">
        <f t="shared" si="25"/>
        <v>10985.514493773357</v>
      </c>
      <c r="AA119" s="98">
        <f t="shared" si="25"/>
        <v>251938.28169887044</v>
      </c>
      <c r="AB119" s="98">
        <f t="shared" si="25"/>
        <v>0</v>
      </c>
      <c r="AC119" s="98">
        <f t="shared" si="25"/>
        <v>119860.25135944692</v>
      </c>
      <c r="AD119" s="98">
        <f t="shared" si="25"/>
        <v>267758.0418126586</v>
      </c>
      <c r="AE119" s="98">
        <f t="shared" si="25"/>
        <v>179150.42734340072</v>
      </c>
      <c r="AF119" s="98">
        <f t="shared" si="25"/>
        <v>499151.82243141124</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163</v>
      </c>
      <c r="G120" s="13" t="s">
        <v>279</v>
      </c>
      <c r="H120" s="98">
        <f t="shared" si="20"/>
        <v>6191.3299341511347</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513.86220571824163</v>
      </c>
      <c r="T120" s="98">
        <f t="shared" si="26"/>
        <v>1332.7798323994284</v>
      </c>
      <c r="U120" s="98">
        <f t="shared" si="26"/>
        <v>840.57351543592756</v>
      </c>
      <c r="V120" s="98">
        <f t="shared" si="26"/>
        <v>1399.3123224743429</v>
      </c>
      <c r="W120" s="98">
        <f t="shared" si="26"/>
        <v>0</v>
      </c>
      <c r="X120" s="98">
        <f t="shared" si="26"/>
        <v>0.66743746230879908</v>
      </c>
      <c r="Y120" s="98">
        <f t="shared" si="26"/>
        <v>30.105964524764101</v>
      </c>
      <c r="Z120" s="98">
        <f t="shared" si="26"/>
        <v>57.224146271430037</v>
      </c>
      <c r="AA120" s="98">
        <f t="shared" si="26"/>
        <v>1312.3602987807724</v>
      </c>
      <c r="AB120" s="98">
        <f t="shared" si="26"/>
        <v>0</v>
      </c>
      <c r="AC120" s="98">
        <f t="shared" si="26"/>
        <v>79.213090288879613</v>
      </c>
      <c r="AD120" s="98">
        <f t="shared" si="26"/>
        <v>176.95559371115931</v>
      </c>
      <c r="AE120" s="98">
        <f t="shared" si="26"/>
        <v>118.39670629328845</v>
      </c>
      <c r="AF120" s="98">
        <f t="shared" si="26"/>
        <v>329.87882079059091</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164</v>
      </c>
      <c r="G121" s="85" t="s">
        <v>279</v>
      </c>
      <c r="H121" s="126">
        <f t="shared" si="20"/>
        <v>15688.777269195643</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1944.3227787602709</v>
      </c>
      <c r="T121" s="126">
        <f t="shared" si="27"/>
        <v>3524.0562854884884</v>
      </c>
      <c r="U121" s="126">
        <f t="shared" si="27"/>
        <v>2243.1486207999192</v>
      </c>
      <c r="V121" s="126">
        <f t="shared" si="27"/>
        <v>3912.9165732178126</v>
      </c>
      <c r="W121" s="126">
        <f t="shared" si="27"/>
        <v>0</v>
      </c>
      <c r="X121" s="126">
        <f t="shared" si="27"/>
        <v>33.032182778443314</v>
      </c>
      <c r="Y121" s="126">
        <f t="shared" si="27"/>
        <v>65.282050848231606</v>
      </c>
      <c r="Z121" s="126">
        <f t="shared" si="27"/>
        <v>138.18489060777245</v>
      </c>
      <c r="AA121" s="126">
        <f t="shared" si="27"/>
        <v>1985.9841885555265</v>
      </c>
      <c r="AB121" s="126">
        <f t="shared" si="27"/>
        <v>0</v>
      </c>
      <c r="AC121" s="126">
        <f t="shared" si="27"/>
        <v>164.67545152355558</v>
      </c>
      <c r="AD121" s="126">
        <f t="shared" si="27"/>
        <v>402.79525742843566</v>
      </c>
      <c r="AE121" s="126">
        <f t="shared" si="27"/>
        <v>285.17780049866013</v>
      </c>
      <c r="AF121" s="126">
        <f t="shared" si="27"/>
        <v>860.36632905633826</v>
      </c>
      <c r="AG121" s="126">
        <f t="shared" si="27"/>
        <v>0</v>
      </c>
      <c r="AH121" s="126">
        <f t="shared" si="27"/>
        <v>0</v>
      </c>
      <c r="AI121" s="126">
        <f t="shared" si="27"/>
        <v>0</v>
      </c>
      <c r="AJ121" s="126">
        <f t="shared" si="27"/>
        <v>128.83485963218919</v>
      </c>
      <c r="AK121" s="126">
        <f t="shared" si="27"/>
        <v>0</v>
      </c>
      <c r="AL121" s="126">
        <f t="shared" si="27"/>
        <v>0</v>
      </c>
      <c r="AM121" s="126">
        <f t="shared" si="27"/>
        <v>0</v>
      </c>
      <c r="AN121" s="126">
        <f t="shared" si="27"/>
        <v>0</v>
      </c>
      <c r="AO121" s="126">
        <f t="shared" si="27"/>
        <v>0</v>
      </c>
    </row>
    <row r="122" spans="3:43" x14ac:dyDescent="0.3">
      <c r="C122" s="88"/>
      <c r="F122" s="108" t="s">
        <v>102</v>
      </c>
      <c r="G122" s="214" t="s">
        <v>279</v>
      </c>
      <c r="H122" s="153">
        <f>SUM(H115:H121)</f>
        <v>10537845.007612195</v>
      </c>
      <c r="I122" s="108"/>
      <c r="J122" s="153">
        <f t="shared" ref="J122" si="28">SUM(J115:J121)</f>
        <v>4869676.7640384398</v>
      </c>
      <c r="K122" s="153">
        <f t="shared" ref="K122:AO122" si="29">SUM(K115:K121)</f>
        <v>0</v>
      </c>
      <c r="L122" s="153">
        <f t="shared" si="29"/>
        <v>0</v>
      </c>
      <c r="M122" s="153">
        <f t="shared" si="29"/>
        <v>23723.814954884412</v>
      </c>
      <c r="N122" s="153">
        <f t="shared" si="29"/>
        <v>65287.389180120757</v>
      </c>
      <c r="O122" s="153">
        <f t="shared" si="29"/>
        <v>73216.564656486225</v>
      </c>
      <c r="P122" s="153">
        <f t="shared" si="29"/>
        <v>247441.02972973869</v>
      </c>
      <c r="Q122" s="153">
        <f t="shared" si="29"/>
        <v>0</v>
      </c>
      <c r="R122" s="153">
        <f t="shared" si="29"/>
        <v>0</v>
      </c>
      <c r="S122" s="153">
        <f t="shared" si="29"/>
        <v>358488.75389132451</v>
      </c>
      <c r="T122" s="153">
        <f t="shared" si="29"/>
        <v>730136.58900895983</v>
      </c>
      <c r="U122" s="153">
        <f t="shared" si="29"/>
        <v>462451.54281437345</v>
      </c>
      <c r="V122" s="153">
        <f t="shared" si="29"/>
        <v>793847.24188565637</v>
      </c>
      <c r="W122" s="153">
        <f t="shared" si="29"/>
        <v>0</v>
      </c>
      <c r="X122" s="153">
        <f t="shared" si="29"/>
        <v>3116.8004218984274</v>
      </c>
      <c r="Y122" s="153">
        <f t="shared" si="29"/>
        <v>14070.514798863018</v>
      </c>
      <c r="Z122" s="153">
        <f t="shared" si="29"/>
        <v>28143.27925571442</v>
      </c>
      <c r="AA122" s="153">
        <f t="shared" si="29"/>
        <v>508034.94152400299</v>
      </c>
      <c r="AB122" s="153">
        <f t="shared" si="29"/>
        <v>0</v>
      </c>
      <c r="AC122" s="153">
        <f t="shared" si="29"/>
        <v>247641.03108393779</v>
      </c>
      <c r="AD122" s="153">
        <f t="shared" si="29"/>
        <v>569347.39269264031</v>
      </c>
      <c r="AE122" s="153">
        <f t="shared" si="29"/>
        <v>390977.23232854606</v>
      </c>
      <c r="AF122" s="153">
        <f t="shared" si="29"/>
        <v>1135605.0275214496</v>
      </c>
      <c r="AG122" s="153">
        <f t="shared" si="29"/>
        <v>17336.839164251549</v>
      </c>
      <c r="AH122" s="153">
        <f t="shared" si="29"/>
        <v>-9.7423411653624772</v>
      </c>
      <c r="AI122" s="153">
        <f t="shared" si="29"/>
        <v>0</v>
      </c>
      <c r="AJ122" s="153">
        <f t="shared" si="29"/>
        <v>-687.99899792680935</v>
      </c>
      <c r="AK122" s="153">
        <f t="shared" si="29"/>
        <v>0</v>
      </c>
      <c r="AL122" s="153">
        <f t="shared" si="29"/>
        <v>0</v>
      </c>
      <c r="AM122" s="153">
        <f t="shared" si="29"/>
        <v>0</v>
      </c>
      <c r="AN122" s="153">
        <f t="shared" si="29"/>
        <v>0</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739</v>
      </c>
      <c r="G126" s="13" t="s">
        <v>279</v>
      </c>
      <c r="H126" s="215">
        <f>H83</f>
        <v>528100853.62913507</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769</v>
      </c>
      <c r="F128" s="311"/>
      <c r="G128" s="400" t="s">
        <v>279</v>
      </c>
      <c r="H128" s="401">
        <f>H85</f>
        <v>295682354.62048954</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895</v>
      </c>
      <c r="F129" s="311"/>
      <c r="G129" s="400" t="s">
        <v>279</v>
      </c>
      <c r="H129" s="401">
        <f>H86</f>
        <v>663462.29641602875</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896</v>
      </c>
      <c r="F130" s="311"/>
      <c r="G130" s="400" t="s">
        <v>279</v>
      </c>
      <c r="H130" s="401">
        <f>H87</f>
        <v>653.93195343912828</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1020</v>
      </c>
      <c r="F131" s="311"/>
      <c r="G131" s="400" t="s">
        <v>279</v>
      </c>
      <c r="H131" s="401">
        <f>H88</f>
        <v>231754382.78027606</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770</v>
      </c>
      <c r="F132" s="37"/>
      <c r="G132" s="86" t="s">
        <v>279</v>
      </c>
      <c r="H132" s="216">
        <f>SUM(H102,H112,H122) - SUM(H128:H129, H131)</f>
        <v>24542.699868857861</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771</v>
      </c>
      <c r="F133" s="108"/>
      <c r="G133" s="214" t="s">
        <v>279</v>
      </c>
      <c r="H133" s="216">
        <f>SUM(H128:H132)</f>
        <v>528125396.32900393</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772</v>
      </c>
      <c r="G135" s="13" t="s">
        <v>279</v>
      </c>
      <c r="H135" s="318">
        <f>H133 - H126</f>
        <v>24542.699868857861</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772</v>
      </c>
      <c r="G136" s="13" t="s">
        <v>169</v>
      </c>
      <c r="H136" s="319">
        <f>(H133 - H126) / H126</f>
        <v>4.6473509179542544E-5</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773</v>
      </c>
      <c r="G140" s="13" t="s">
        <v>774</v>
      </c>
      <c r="H140" t="s">
        <v>775</v>
      </c>
      <c r="J140" s="199">
        <f t="shared" ref="J140:AO140" si="30" xml:space="preserve"> IF( J25 &lt;&gt; 0, J102 / J25, 0)</f>
        <v>90.771576258219881</v>
      </c>
      <c r="K140" s="199">
        <f t="shared" si="30"/>
        <v>0</v>
      </c>
      <c r="L140" s="199">
        <f t="shared" si="30"/>
        <v>0</v>
      </c>
      <c r="M140" s="199">
        <f t="shared" si="30"/>
        <v>57.92470677934201</v>
      </c>
      <c r="N140" s="199">
        <f t="shared" si="30"/>
        <v>190.82316754778489</v>
      </c>
      <c r="O140" s="199">
        <f t="shared" si="30"/>
        <v>435.49596438876165</v>
      </c>
      <c r="P140" s="199">
        <f t="shared" si="30"/>
        <v>1300.3224656117322</v>
      </c>
      <c r="Q140" s="199">
        <f t="shared" si="30"/>
        <v>0</v>
      </c>
      <c r="R140" s="199">
        <f t="shared" si="30"/>
        <v>0</v>
      </c>
      <c r="S140" s="199">
        <f t="shared" si="30"/>
        <v>2400.4705155248835</v>
      </c>
      <c r="T140" s="199">
        <f t="shared" si="30"/>
        <v>4486.3757326666409</v>
      </c>
      <c r="U140" s="199">
        <f t="shared" si="30"/>
        <v>6995.7805742399178</v>
      </c>
      <c r="V140" s="199">
        <f t="shared" si="30"/>
        <v>12636.070751194515</v>
      </c>
      <c r="W140" s="199">
        <f t="shared" si="30"/>
        <v>0</v>
      </c>
      <c r="X140" s="199">
        <f t="shared" si="30"/>
        <v>2574.2720111490776</v>
      </c>
      <c r="Y140" s="199">
        <f t="shared" si="30"/>
        <v>4591.9043575818296</v>
      </c>
      <c r="Z140" s="199">
        <f t="shared" si="30"/>
        <v>7076.1159418990937</v>
      </c>
      <c r="AA140" s="199">
        <f t="shared" si="30"/>
        <v>15084.728935868168</v>
      </c>
      <c r="AB140" s="199">
        <f t="shared" si="30"/>
        <v>0</v>
      </c>
      <c r="AC140" s="199">
        <f t="shared" si="30"/>
        <v>9121.7888495040461</v>
      </c>
      <c r="AD140" s="199">
        <f t="shared" si="30"/>
        <v>30289.962203149935</v>
      </c>
      <c r="AE140" s="199">
        <f t="shared" si="30"/>
        <v>65396.783981524015</v>
      </c>
      <c r="AF140" s="199">
        <f t="shared" si="30"/>
        <v>165444.56370284737</v>
      </c>
      <c r="AG140" s="199">
        <f t="shared" si="30"/>
        <v>170913.36986565214</v>
      </c>
      <c r="AH140" s="199">
        <f t="shared" si="30"/>
        <v>0</v>
      </c>
      <c r="AI140" s="199">
        <f t="shared" si="30"/>
        <v>0</v>
      </c>
      <c r="AJ140" s="199">
        <f t="shared" si="30"/>
        <v>-519.3039463203728</v>
      </c>
      <c r="AK140" s="199">
        <f t="shared" si="30"/>
        <v>0</v>
      </c>
      <c r="AL140" s="199">
        <f t="shared" si="30"/>
        <v>-818.39051131618839</v>
      </c>
      <c r="AM140" s="199">
        <f t="shared" si="30"/>
        <v>0</v>
      </c>
      <c r="AN140" s="199">
        <f t="shared" si="30"/>
        <v>-19840.448804138912</v>
      </c>
      <c r="AO140" s="199">
        <f t="shared" si="30"/>
        <v>0</v>
      </c>
    </row>
    <row r="141" spans="3:43" x14ac:dyDescent="0.3">
      <c r="E141" t="s">
        <v>776</v>
      </c>
      <c r="G141" s="13" t="s">
        <v>774</v>
      </c>
      <c r="H141" t="s">
        <v>450</v>
      </c>
      <c r="J141" s="98">
        <f t="shared" ref="J141:AO141" si="31" xml:space="preserve"> IF( J36 &lt;&gt; 0, J112 / J36, 0)</f>
        <v>64.492080213979762</v>
      </c>
      <c r="K141" s="98">
        <f t="shared" si="31"/>
        <v>0</v>
      </c>
      <c r="L141" s="98">
        <f t="shared" si="31"/>
        <v>0</v>
      </c>
      <c r="M141" s="98">
        <f t="shared" si="31"/>
        <v>34.727622735809703</v>
      </c>
      <c r="N141" s="98">
        <f t="shared" si="31"/>
        <v>102.95038003054542</v>
      </c>
      <c r="O141" s="98">
        <f t="shared" si="31"/>
        <v>228.53257160013447</v>
      </c>
      <c r="P141" s="98">
        <f t="shared" si="31"/>
        <v>672.3559735828569</v>
      </c>
      <c r="Q141" s="98">
        <f t="shared" si="31"/>
        <v>0</v>
      </c>
      <c r="R141" s="98">
        <f t="shared" si="31"/>
        <v>0</v>
      </c>
      <c r="S141" s="98">
        <f t="shared" si="31"/>
        <v>1952.7548639965646</v>
      </c>
      <c r="T141" s="98">
        <f t="shared" si="31"/>
        <v>3694.929712212358</v>
      </c>
      <c r="U141" s="98">
        <f t="shared" si="31"/>
        <v>5761.8202774457932</v>
      </c>
      <c r="V141" s="98">
        <f t="shared" si="31"/>
        <v>10387.481717658131</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777</v>
      </c>
      <c r="G142" s="13" t="s">
        <v>774</v>
      </c>
      <c r="H142" t="s">
        <v>451</v>
      </c>
      <c r="J142" s="98">
        <f t="shared" ref="J142:AO142" si="32" xml:space="preserve"> IF( J47 &lt;&gt; 0, J122 / J47, 0)</f>
        <v>51.081268454320735</v>
      </c>
      <c r="K142" s="98">
        <f t="shared" si="32"/>
        <v>0</v>
      </c>
      <c r="L142" s="98">
        <f t="shared" si="32"/>
        <v>0</v>
      </c>
      <c r="M142" s="98">
        <f t="shared" si="32"/>
        <v>30.550972395209666</v>
      </c>
      <c r="N142" s="98">
        <f t="shared" si="32"/>
        <v>96.684173771878164</v>
      </c>
      <c r="O142" s="98">
        <f t="shared" si="32"/>
        <v>218.37451861809808</v>
      </c>
      <c r="P142" s="98">
        <f t="shared" si="32"/>
        <v>648.58166433760607</v>
      </c>
      <c r="Q142" s="98">
        <f t="shared" si="32"/>
        <v>0</v>
      </c>
      <c r="R142" s="98">
        <f t="shared" si="32"/>
        <v>0</v>
      </c>
      <c r="S142" s="98">
        <f t="shared" si="32"/>
        <v>2018.9592300725067</v>
      </c>
      <c r="T142" s="98">
        <f t="shared" si="32"/>
        <v>3908.2531067568643</v>
      </c>
      <c r="U142" s="98">
        <f t="shared" si="32"/>
        <v>6093.7836622335335</v>
      </c>
      <c r="V142" s="98">
        <f t="shared" si="32"/>
        <v>10948.949759584701</v>
      </c>
      <c r="W142" s="98">
        <f t="shared" si="32"/>
        <v>0</v>
      </c>
      <c r="X142" s="98">
        <f t="shared" si="32"/>
        <v>3023.6132828433852</v>
      </c>
      <c r="Y142" s="98">
        <f t="shared" si="32"/>
        <v>5055.4925378646776</v>
      </c>
      <c r="Z142" s="98">
        <f t="shared" si="32"/>
        <v>7800.5263146949783</v>
      </c>
      <c r="AA142" s="98">
        <f t="shared" si="32"/>
        <v>16763.453854312665</v>
      </c>
      <c r="AB142" s="98">
        <f t="shared" si="32"/>
        <v>0</v>
      </c>
      <c r="AC142" s="98">
        <f t="shared" si="32"/>
        <v>11006.254658013626</v>
      </c>
      <c r="AD142" s="98">
        <f t="shared" si="32"/>
        <v>36332.511849377035</v>
      </c>
      <c r="AE142" s="98">
        <f t="shared" si="32"/>
        <v>77987.246606151326</v>
      </c>
      <c r="AF142" s="98">
        <f t="shared" si="32"/>
        <v>195494.67301528144</v>
      </c>
      <c r="AG142" s="98">
        <f t="shared" si="32"/>
        <v>0</v>
      </c>
      <c r="AH142" s="98">
        <f t="shared" si="32"/>
        <v>0</v>
      </c>
      <c r="AI142" s="98">
        <f t="shared" si="32"/>
        <v>0</v>
      </c>
      <c r="AJ142" s="98">
        <f t="shared" si="32"/>
        <v>-91.45526739604324</v>
      </c>
      <c r="AK142" s="98">
        <f t="shared" si="32"/>
        <v>0</v>
      </c>
      <c r="AL142" s="98">
        <f t="shared" si="32"/>
        <v>0</v>
      </c>
      <c r="AM142" s="98">
        <f t="shared" si="32"/>
        <v>0</v>
      </c>
      <c r="AN142" s="98">
        <f t="shared" si="32"/>
        <v>0</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778</v>
      </c>
      <c r="G146" s="13" t="s">
        <v>271</v>
      </c>
      <c r="H146" s="267" t="s">
        <v>775</v>
      </c>
      <c r="I146" s="267"/>
      <c r="J146" s="275">
        <f t="shared" ref="J146:AO146" si="33" xml:space="preserve"> IF( SUM(J$22:J$24) &lt;&gt; 0, J$102 / SUM(J$22:J$24) * hundred / thousand, 0)</f>
        <v>2.6269571324430285</v>
      </c>
      <c r="K146" s="275">
        <f t="shared" si="33"/>
        <v>0.82592009334114957</v>
      </c>
      <c r="L146" s="275">
        <f t="shared" si="33"/>
        <v>0</v>
      </c>
      <c r="M146" s="275">
        <f t="shared" si="33"/>
        <v>3.977583696555175</v>
      </c>
      <c r="N146" s="275">
        <f t="shared" si="33"/>
        <v>2.4756940166300758</v>
      </c>
      <c r="O146" s="275">
        <f t="shared" si="33"/>
        <v>2.2664884372238525</v>
      </c>
      <c r="P146" s="275">
        <f t="shared" si="33"/>
        <v>2.1713187660043358</v>
      </c>
      <c r="Q146" s="275">
        <f t="shared" si="33"/>
        <v>0.38147689590795603</v>
      </c>
      <c r="R146" s="275">
        <f t="shared" si="33"/>
        <v>0</v>
      </c>
      <c r="S146" s="275">
        <f t="shared" si="33"/>
        <v>2.4049113589238478</v>
      </c>
      <c r="T146" s="275">
        <f t="shared" si="33"/>
        <v>2.6091395756095284</v>
      </c>
      <c r="U146" s="275">
        <f t="shared" si="33"/>
        <v>2.596452642246851</v>
      </c>
      <c r="V146" s="275">
        <f t="shared" si="33"/>
        <v>2.5686149895096477</v>
      </c>
      <c r="W146" s="275">
        <f t="shared" si="33"/>
        <v>0</v>
      </c>
      <c r="X146" s="275">
        <f t="shared" si="33"/>
        <v>1.0111722718250375</v>
      </c>
      <c r="Y146" s="275">
        <f t="shared" si="33"/>
        <v>2.4641707528259853</v>
      </c>
      <c r="Z146" s="275">
        <f t="shared" si="33"/>
        <v>2.3254682563119995</v>
      </c>
      <c r="AA146" s="275">
        <f t="shared" si="33"/>
        <v>2.8974573004815714</v>
      </c>
      <c r="AB146" s="275">
        <f t="shared" si="33"/>
        <v>0</v>
      </c>
      <c r="AC146" s="275">
        <f t="shared" si="33"/>
        <v>2.1344805048682369</v>
      </c>
      <c r="AD146" s="275">
        <f t="shared" si="33"/>
        <v>2.0181539358334937</v>
      </c>
      <c r="AE146" s="275">
        <f t="shared" si="33"/>
        <v>1.9689131106458977</v>
      </c>
      <c r="AF146" s="275">
        <f t="shared" si="33"/>
        <v>1.9130198143989194</v>
      </c>
      <c r="AG146" s="275">
        <f t="shared" si="33"/>
        <v>2.9175328629120671</v>
      </c>
      <c r="AH146" s="275">
        <f t="shared" si="33"/>
        <v>-0.81694230848457328</v>
      </c>
      <c r="AI146" s="275">
        <f t="shared" si="33"/>
        <v>0</v>
      </c>
      <c r="AJ146" s="275">
        <f t="shared" si="33"/>
        <v>-0.72280106898184782</v>
      </c>
      <c r="AK146" s="275">
        <f t="shared" si="33"/>
        <v>0</v>
      </c>
      <c r="AL146" s="275">
        <f t="shared" si="33"/>
        <v>-0.55460001540581105</v>
      </c>
      <c r="AM146" s="275">
        <f t="shared" si="33"/>
        <v>0</v>
      </c>
      <c r="AN146" s="275">
        <f t="shared" si="33"/>
        <v>-0.57470709693734534</v>
      </c>
      <c r="AO146" s="275">
        <f t="shared" si="33"/>
        <v>0</v>
      </c>
      <c r="AP146" s="267"/>
      <c r="AQ146" s="267"/>
    </row>
    <row r="147" spans="1:43" x14ac:dyDescent="0.3">
      <c r="E147" t="s">
        <v>779</v>
      </c>
      <c r="G147" s="13" t="s">
        <v>271</v>
      </c>
      <c r="H147" s="267" t="s">
        <v>450</v>
      </c>
      <c r="I147" s="267"/>
      <c r="J147" s="282">
        <f t="shared" ref="J147:AO147" si="34" xml:space="preserve"> IF( SUM(J$33:J$35) &lt;&gt; 0, J$112 / SUM(J$33:J$35) * hundred / thousand, 0)</f>
        <v>1.9274100424063996</v>
      </c>
      <c r="K147" s="282">
        <f t="shared" si="34"/>
        <v>0</v>
      </c>
      <c r="L147" s="282">
        <f t="shared" si="34"/>
        <v>0</v>
      </c>
      <c r="M147" s="282">
        <f t="shared" si="34"/>
        <v>5.0515951133959351</v>
      </c>
      <c r="N147" s="282">
        <f t="shared" si="34"/>
        <v>2.8293835049022134</v>
      </c>
      <c r="O147" s="282">
        <f t="shared" si="34"/>
        <v>2.5195064603073996</v>
      </c>
      <c r="P147" s="282">
        <f t="shared" si="34"/>
        <v>2.3783172423140857</v>
      </c>
      <c r="Q147" s="282">
        <f t="shared" si="34"/>
        <v>0</v>
      </c>
      <c r="R147" s="282">
        <f t="shared" si="34"/>
        <v>0</v>
      </c>
      <c r="S147" s="282">
        <f t="shared" si="34"/>
        <v>1.4799481296279344</v>
      </c>
      <c r="T147" s="282">
        <f t="shared" si="34"/>
        <v>1.6255634247662112</v>
      </c>
      <c r="U147" s="282">
        <f t="shared" si="34"/>
        <v>1.617707513156589</v>
      </c>
      <c r="V147" s="282">
        <f t="shared" si="34"/>
        <v>1.5973250569475645</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1.6676805941345474</v>
      </c>
      <c r="AH147" s="282">
        <f t="shared" si="34"/>
        <v>-0.91157347184466053</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780</v>
      </c>
      <c r="G148" s="13" t="s">
        <v>271</v>
      </c>
      <c r="H148" s="267" t="s">
        <v>451</v>
      </c>
      <c r="I148" s="267"/>
      <c r="J148" s="282">
        <f t="shared" ref="J148:AO148" si="35" xml:space="preserve"> IF( SUM(J$44:J$46) &lt;&gt; 0, J$122 / SUM(J$44:J$46) * hundred / thousand, 0)</f>
        <v>1.5761964644679938</v>
      </c>
      <c r="K148" s="282">
        <f t="shared" si="35"/>
        <v>0</v>
      </c>
      <c r="L148" s="282">
        <f t="shared" si="35"/>
        <v>0</v>
      </c>
      <c r="M148" s="282">
        <f t="shared" si="35"/>
        <v>2.8381554071726889</v>
      </c>
      <c r="N148" s="282">
        <f t="shared" si="35"/>
        <v>1.6969807202987699</v>
      </c>
      <c r="O148" s="282">
        <f t="shared" si="35"/>
        <v>1.5375419899121079</v>
      </c>
      <c r="P148" s="282">
        <f t="shared" si="35"/>
        <v>1.4651862632824175</v>
      </c>
      <c r="Q148" s="282">
        <f t="shared" si="35"/>
        <v>0</v>
      </c>
      <c r="R148" s="282">
        <f t="shared" si="35"/>
        <v>0</v>
      </c>
      <c r="S148" s="282">
        <f t="shared" si="35"/>
        <v>1.1061792743965051</v>
      </c>
      <c r="T148" s="282">
        <f t="shared" si="35"/>
        <v>1.243024308297817</v>
      </c>
      <c r="U148" s="282">
        <f t="shared" si="35"/>
        <v>1.2368770436069674</v>
      </c>
      <c r="V148" s="282">
        <f t="shared" si="35"/>
        <v>1.2171796901516392</v>
      </c>
      <c r="W148" s="282">
        <f t="shared" si="35"/>
        <v>0</v>
      </c>
      <c r="X148" s="282">
        <f t="shared" si="35"/>
        <v>0.59525770220379426</v>
      </c>
      <c r="Y148" s="282">
        <f t="shared" si="35"/>
        <v>1.3597200464765868</v>
      </c>
      <c r="Z148" s="282">
        <f t="shared" si="35"/>
        <v>1.2848352511519023</v>
      </c>
      <c r="AA148" s="282">
        <f t="shared" si="35"/>
        <v>1.6138051577885428</v>
      </c>
      <c r="AB148" s="282">
        <f t="shared" si="35"/>
        <v>0</v>
      </c>
      <c r="AC148" s="282">
        <f t="shared" si="35"/>
        <v>2.0815048388528932</v>
      </c>
      <c r="AD148" s="282">
        <f t="shared" si="35"/>
        <v>1.9564856723299886</v>
      </c>
      <c r="AE148" s="282">
        <f t="shared" si="35"/>
        <v>1.8976645166041459</v>
      </c>
      <c r="AF148" s="282">
        <f t="shared" si="35"/>
        <v>1.8269538840144219</v>
      </c>
      <c r="AG148" s="282">
        <f t="shared" si="35"/>
        <v>1.3453297110802092</v>
      </c>
      <c r="AH148" s="282">
        <f t="shared" si="35"/>
        <v>-0.72381785252185038</v>
      </c>
      <c r="AI148" s="282">
        <f t="shared" si="35"/>
        <v>0</v>
      </c>
      <c r="AJ148" s="282">
        <f t="shared" si="35"/>
        <v>-0.42391032009736479</v>
      </c>
      <c r="AK148" s="282">
        <f t="shared" si="35"/>
        <v>0</v>
      </c>
      <c r="AL148" s="282">
        <f t="shared" si="35"/>
        <v>0</v>
      </c>
      <c r="AM148" s="282">
        <f t="shared" si="35"/>
        <v>0</v>
      </c>
      <c r="AN148" s="282">
        <f t="shared" si="35"/>
        <v>0</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781</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782</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158</v>
      </c>
      <c r="G155" s="23" t="s">
        <v>271</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159</v>
      </c>
      <c r="G156" t="s">
        <v>271</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160</v>
      </c>
      <c r="G157" t="s">
        <v>271</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161</v>
      </c>
      <c r="G158" t="s">
        <v>272</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162</v>
      </c>
      <c r="G159" t="s">
        <v>273</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163</v>
      </c>
      <c r="G160" t="s">
        <v>273</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164</v>
      </c>
      <c r="G161" s="37" t="s">
        <v>274</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783</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784</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785</v>
      </c>
      <c r="F168" s="108"/>
      <c r="G168" s="108" t="s">
        <v>279</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786</v>
      </c>
      <c r="G170" t="s">
        <v>279</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787</v>
      </c>
      <c r="G172" s="13" t="s">
        <v>169</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788</v>
      </c>
      <c r="G174" s="13" t="s">
        <v>271</v>
      </c>
      <c r="H174" s="267"/>
      <c r="I174" s="267"/>
      <c r="J174" s="275">
        <f t="shared" ref="J174:AO174" si="39" xml:space="preserve"> IF( SUM(J22:J24) = 0, "-", (J102 - J170) / SUM(J22:J24)/ ten)</f>
        <v>2.6269571324430285</v>
      </c>
      <c r="K174" s="275">
        <f t="shared" si="39"/>
        <v>0.82592009334114957</v>
      </c>
      <c r="L174" s="275" t="str">
        <f t="shared" si="39"/>
        <v>-</v>
      </c>
      <c r="M174" s="275">
        <f t="shared" si="39"/>
        <v>3.9775836965551745</v>
      </c>
      <c r="N174" s="275">
        <f t="shared" si="39"/>
        <v>2.4756940166300758</v>
      </c>
      <c r="O174" s="275">
        <f t="shared" si="39"/>
        <v>2.2664884372238525</v>
      </c>
      <c r="P174" s="275">
        <f t="shared" si="39"/>
        <v>2.1713187660043358</v>
      </c>
      <c r="Q174" s="275">
        <f t="shared" si="39"/>
        <v>0.38147689590795603</v>
      </c>
      <c r="R174" s="275" t="str">
        <f t="shared" si="39"/>
        <v>-</v>
      </c>
      <c r="S174" s="275">
        <f t="shared" si="39"/>
        <v>2.4049113589238478</v>
      </c>
      <c r="T174" s="275">
        <f t="shared" si="39"/>
        <v>2.6091395756095284</v>
      </c>
      <c r="U174" s="275">
        <f t="shared" si="39"/>
        <v>2.5964526422468515</v>
      </c>
      <c r="V174" s="275">
        <f t="shared" si="39"/>
        <v>2.5686149895096477</v>
      </c>
      <c r="W174" s="275" t="str">
        <f t="shared" si="39"/>
        <v>-</v>
      </c>
      <c r="X174" s="275">
        <f t="shared" si="39"/>
        <v>1.0111722718250375</v>
      </c>
      <c r="Y174" s="275">
        <f t="shared" si="39"/>
        <v>2.4641707528259853</v>
      </c>
      <c r="Z174" s="275">
        <f t="shared" si="39"/>
        <v>2.3254682563119995</v>
      </c>
      <c r="AA174" s="275">
        <f t="shared" si="39"/>
        <v>2.8974573004815714</v>
      </c>
      <c r="AB174" s="275" t="str">
        <f t="shared" si="39"/>
        <v>-</v>
      </c>
      <c r="AC174" s="275">
        <f t="shared" si="39"/>
        <v>2.1344805048682369</v>
      </c>
      <c r="AD174" s="275">
        <f t="shared" si="39"/>
        <v>2.0181539358334937</v>
      </c>
      <c r="AE174" s="275">
        <f t="shared" si="39"/>
        <v>1.9689131106458977</v>
      </c>
      <c r="AF174" s="275">
        <f t="shared" si="39"/>
        <v>1.9130198143989194</v>
      </c>
      <c r="AG174" s="275">
        <f t="shared" si="39"/>
        <v>2.9175328629120676</v>
      </c>
      <c r="AH174" s="275">
        <f t="shared" si="39"/>
        <v>-0.81694230848457328</v>
      </c>
      <c r="AI174" s="275" t="str">
        <f t="shared" si="39"/>
        <v>-</v>
      </c>
      <c r="AJ174" s="275">
        <f t="shared" si="39"/>
        <v>-0.72280106898184782</v>
      </c>
      <c r="AK174" s="275" t="str">
        <f t="shared" si="39"/>
        <v>-</v>
      </c>
      <c r="AL174" s="275">
        <f t="shared" si="39"/>
        <v>-0.55460001540581105</v>
      </c>
      <c r="AM174" s="275" t="str">
        <f t="shared" si="39"/>
        <v>-</v>
      </c>
      <c r="AN174" s="275">
        <f t="shared" si="39"/>
        <v>-0.57470709693734534</v>
      </c>
      <c r="AO174" s="275" t="str">
        <f t="shared" si="39"/>
        <v>-</v>
      </c>
      <c r="AP174" s="267"/>
      <c r="AQ174" s="267"/>
    </row>
    <row r="175" spans="1:43" x14ac:dyDescent="0.3">
      <c r="C175" s="88"/>
      <c r="D175" s="2"/>
      <c r="E175" s="2"/>
      <c r="G175" s="13"/>
    </row>
    <row r="176" spans="1:43" x14ac:dyDescent="0.3">
      <c r="B176" s="30" t="s">
        <v>789</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790</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791</v>
      </c>
    </row>
    <row r="182" spans="3:43" x14ac:dyDescent="0.3">
      <c r="E182" s="28"/>
      <c r="F182" s="23" t="s">
        <v>158</v>
      </c>
      <c r="G182" s="85" t="s">
        <v>792</v>
      </c>
      <c r="H182" s="218"/>
      <c r="I182" s="23"/>
      <c r="J182" s="126">
        <f t="shared" ref="J182:AO182" si="40" xml:space="preserve"> IF( J$25 &lt;&gt; 0, J$22 * thousand * J64 / hundred / J$25, 0)</f>
        <v>18.444545989840485</v>
      </c>
      <c r="K182" s="126">
        <f t="shared" si="40"/>
        <v>0</v>
      </c>
      <c r="L182" s="126">
        <f t="shared" si="40"/>
        <v>0</v>
      </c>
      <c r="M182" s="126">
        <f t="shared" si="40"/>
        <v>6.2661159397138881</v>
      </c>
      <c r="N182" s="126">
        <f t="shared" si="40"/>
        <v>33.165614056481573</v>
      </c>
      <c r="O182" s="126">
        <f t="shared" si="40"/>
        <v>82.676966994375164</v>
      </c>
      <c r="P182" s="126">
        <f t="shared" si="40"/>
        <v>257.68040186062848</v>
      </c>
      <c r="Q182" s="126">
        <f t="shared" si="40"/>
        <v>0</v>
      </c>
      <c r="R182" s="126">
        <f t="shared" si="40"/>
        <v>0</v>
      </c>
      <c r="S182" s="126">
        <f t="shared" si="40"/>
        <v>303.85007245595671</v>
      </c>
      <c r="T182" s="126">
        <f t="shared" si="40"/>
        <v>523.43212382441675</v>
      </c>
      <c r="U182" s="126">
        <f t="shared" si="40"/>
        <v>820.19631799327794</v>
      </c>
      <c r="V182" s="126">
        <f t="shared" si="40"/>
        <v>1497.5284373563604</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34104.631909338292</v>
      </c>
      <c r="AH182" s="126">
        <f t="shared" si="40"/>
        <v>0</v>
      </c>
      <c r="AI182" s="126">
        <f t="shared" si="40"/>
        <v>0</v>
      </c>
      <c r="AJ182" s="126">
        <f t="shared" si="40"/>
        <v>-270.22168538334267</v>
      </c>
      <c r="AK182" s="126">
        <f t="shared" si="40"/>
        <v>0</v>
      </c>
      <c r="AL182" s="126">
        <f t="shared" si="40"/>
        <v>0</v>
      </c>
      <c r="AM182" s="126">
        <f t="shared" si="40"/>
        <v>0</v>
      </c>
      <c r="AN182" s="126">
        <f t="shared" si="40"/>
        <v>0</v>
      </c>
      <c r="AO182" s="126">
        <f t="shared" si="40"/>
        <v>0</v>
      </c>
    </row>
    <row r="183" spans="3:43" x14ac:dyDescent="0.3">
      <c r="E183" s="28"/>
      <c r="F183" t="s">
        <v>159</v>
      </c>
      <c r="G183" s="13" t="s">
        <v>792</v>
      </c>
      <c r="H183" s="102"/>
      <c r="J183" s="98">
        <f t="shared" ref="J183:AO183" si="41" xml:space="preserve"> IF( J$25 &lt;&gt; 0, J$23 * thousand * J65 / hundred / J$25, 0)</f>
        <v>9.7298135239282253</v>
      </c>
      <c r="K183" s="98">
        <f t="shared" si="41"/>
        <v>0</v>
      </c>
      <c r="L183" s="98">
        <f t="shared" si="41"/>
        <v>0</v>
      </c>
      <c r="M183" s="98">
        <f t="shared" si="41"/>
        <v>4.5841233234138317</v>
      </c>
      <c r="N183" s="98">
        <f t="shared" si="41"/>
        <v>24.263078818583232</v>
      </c>
      <c r="O183" s="98">
        <f t="shared" si="41"/>
        <v>60.484264312118057</v>
      </c>
      <c r="P183" s="98">
        <f t="shared" si="41"/>
        <v>188.5121104557621</v>
      </c>
      <c r="Q183" s="98">
        <f t="shared" si="41"/>
        <v>0</v>
      </c>
      <c r="R183" s="98">
        <f t="shared" si="41"/>
        <v>0</v>
      </c>
      <c r="S183" s="98">
        <f t="shared" si="41"/>
        <v>220.56998374950726</v>
      </c>
      <c r="T183" s="98">
        <f t="shared" si="41"/>
        <v>379.96836437370519</v>
      </c>
      <c r="U183" s="98">
        <f t="shared" si="41"/>
        <v>595.39458743228079</v>
      </c>
      <c r="V183" s="98">
        <f t="shared" si="41"/>
        <v>1087.0816005482309</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27607.119733280302</v>
      </c>
      <c r="AH183" s="98">
        <f t="shared" si="41"/>
        <v>0</v>
      </c>
      <c r="AI183" s="98">
        <f t="shared" si="41"/>
        <v>0</v>
      </c>
      <c r="AJ183" s="98">
        <f t="shared" si="41"/>
        <v>-239.02020409027563</v>
      </c>
      <c r="AK183" s="98">
        <f t="shared" si="41"/>
        <v>0</v>
      </c>
      <c r="AL183" s="98">
        <f t="shared" si="41"/>
        <v>0</v>
      </c>
      <c r="AM183" s="98">
        <f t="shared" si="41"/>
        <v>0</v>
      </c>
      <c r="AN183" s="98">
        <f t="shared" si="41"/>
        <v>0</v>
      </c>
      <c r="AO183" s="98">
        <f t="shared" si="41"/>
        <v>0</v>
      </c>
    </row>
    <row r="184" spans="3:43" x14ac:dyDescent="0.3">
      <c r="E184" s="28"/>
      <c r="F184" t="s">
        <v>160</v>
      </c>
      <c r="G184" s="13" t="s">
        <v>792</v>
      </c>
      <c r="H184" s="102"/>
      <c r="J184" s="98">
        <f t="shared" ref="J184:AO184" si="42" xml:space="preserve"> IF( J$25 &lt;&gt; 0, J$24 * thousand * J66 / hundred / J$25, 0)</f>
        <v>1.1855876882223351</v>
      </c>
      <c r="K184" s="98">
        <f t="shared" si="42"/>
        <v>0</v>
      </c>
      <c r="L184" s="98">
        <f t="shared" si="42"/>
        <v>0</v>
      </c>
      <c r="M184" s="98">
        <f t="shared" si="42"/>
        <v>0.36893744011017532</v>
      </c>
      <c r="N184" s="98">
        <f t="shared" si="42"/>
        <v>1.9527306655993757</v>
      </c>
      <c r="O184" s="98">
        <f t="shared" si="42"/>
        <v>4.867868525326231</v>
      </c>
      <c r="P184" s="98">
        <f t="shared" si="42"/>
        <v>15.171750529940299</v>
      </c>
      <c r="Q184" s="98">
        <f t="shared" si="42"/>
        <v>0</v>
      </c>
      <c r="R184" s="98">
        <f t="shared" si="42"/>
        <v>0</v>
      </c>
      <c r="S184" s="98">
        <f t="shared" si="42"/>
        <v>17.304086763593297</v>
      </c>
      <c r="T184" s="98">
        <f t="shared" si="42"/>
        <v>29.809158221683521</v>
      </c>
      <c r="U184" s="98">
        <f t="shared" si="42"/>
        <v>46.709708294681043</v>
      </c>
      <c r="V184" s="98">
        <f t="shared" si="42"/>
        <v>85.28338269433489</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57429.212281478569</v>
      </c>
      <c r="AH184" s="98">
        <f t="shared" si="42"/>
        <v>0</v>
      </c>
      <c r="AI184" s="98">
        <f t="shared" si="42"/>
        <v>0</v>
      </c>
      <c r="AJ184" s="98">
        <f t="shared" si="42"/>
        <v>-17.795672081549707</v>
      </c>
      <c r="AK184" s="98">
        <f t="shared" si="42"/>
        <v>0</v>
      </c>
      <c r="AL184" s="98">
        <f t="shared" si="42"/>
        <v>0</v>
      </c>
      <c r="AM184" s="98">
        <f t="shared" si="42"/>
        <v>0</v>
      </c>
      <c r="AN184" s="98">
        <f t="shared" si="42"/>
        <v>0</v>
      </c>
      <c r="AO184" s="98">
        <f t="shared" si="42"/>
        <v>0</v>
      </c>
    </row>
    <row r="185" spans="3:43" x14ac:dyDescent="0.3">
      <c r="E185" s="28"/>
      <c r="F185" s="23" t="s">
        <v>161</v>
      </c>
      <c r="G185" s="85" t="s">
        <v>792</v>
      </c>
      <c r="H185" s="218"/>
      <c r="I185" s="23"/>
      <c r="J185" s="126">
        <f t="shared" ref="J185:AO185" si="43" xml:space="preserve"> IF( J$25 &lt;&gt; 0, J$25 * J67 * days_in_year / hundred / J$25, 0)</f>
        <v>33.981500000000004</v>
      </c>
      <c r="K185" s="126">
        <f t="shared" si="43"/>
        <v>0</v>
      </c>
      <c r="L185" s="126">
        <f t="shared" si="43"/>
        <v>0</v>
      </c>
      <c r="M185" s="126">
        <f t="shared" si="43"/>
        <v>29.2</v>
      </c>
      <c r="N185" s="126">
        <f t="shared" si="43"/>
        <v>73.6935</v>
      </c>
      <c r="O185" s="126">
        <f t="shared" si="43"/>
        <v>155.59950000000003</v>
      </c>
      <c r="P185" s="126">
        <f t="shared" si="43"/>
        <v>445.04450000000003</v>
      </c>
      <c r="Q185" s="126">
        <f t="shared" si="43"/>
        <v>0</v>
      </c>
      <c r="R185" s="126">
        <f t="shared" si="43"/>
        <v>0</v>
      </c>
      <c r="S185" s="126">
        <f t="shared" si="43"/>
        <v>755.87849999999992</v>
      </c>
      <c r="T185" s="126">
        <f t="shared" si="43"/>
        <v>1276.6969999999999</v>
      </c>
      <c r="U185" s="126">
        <f t="shared" si="43"/>
        <v>1989.5420000000004</v>
      </c>
      <c r="V185" s="126">
        <f t="shared" si="43"/>
        <v>3653.2119999999995</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162</v>
      </c>
      <c r="G186" s="13" t="s">
        <v>792</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352.34324561482771</v>
      </c>
      <c r="T186" s="98">
        <f t="shared" si="44"/>
        <v>868.56883468995056</v>
      </c>
      <c r="U186" s="98">
        <f t="shared" si="44"/>
        <v>1348.5397811297505</v>
      </c>
      <c r="V186" s="98">
        <f t="shared" si="44"/>
        <v>2349.7271882108648</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163</v>
      </c>
      <c r="G187" s="13" t="s">
        <v>792</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11.847871298960126</v>
      </c>
      <c r="T187" s="98">
        <f t="shared" si="45"/>
        <v>29.206439731056506</v>
      </c>
      <c r="U187" s="98">
        <f t="shared" si="45"/>
        <v>45.345911883377291</v>
      </c>
      <c r="V187" s="98">
        <f t="shared" si="45"/>
        <v>79.011775193848692</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164</v>
      </c>
      <c r="G188" s="85" t="s">
        <v>792</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11.654672232915239</v>
      </c>
      <c r="T188" s="126">
        <f t="shared" si="46"/>
        <v>20.077105100037599</v>
      </c>
      <c r="U188" s="126">
        <f t="shared" si="46"/>
        <v>31.459986748040599</v>
      </c>
      <c r="V188" s="126">
        <f t="shared" si="46"/>
        <v>57.440180796362903</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7.7336152347951543</v>
      </c>
      <c r="AK188" s="126">
        <f t="shared" si="46"/>
        <v>0</v>
      </c>
      <c r="AL188" s="126">
        <f t="shared" si="46"/>
        <v>0</v>
      </c>
      <c r="AM188" s="126">
        <f t="shared" si="46"/>
        <v>0</v>
      </c>
      <c r="AN188" s="126">
        <f t="shared" si="46"/>
        <v>0</v>
      </c>
      <c r="AO188" s="126">
        <f t="shared" si="46"/>
        <v>0</v>
      </c>
    </row>
    <row r="189" spans="3:43" x14ac:dyDescent="0.3">
      <c r="E189" s="28"/>
      <c r="F189" s="108" t="s">
        <v>102</v>
      </c>
      <c r="G189" s="214" t="s">
        <v>792</v>
      </c>
      <c r="H189" s="219"/>
      <c r="I189" s="108"/>
      <c r="J189" s="153">
        <f t="shared" ref="J189" si="47">SUM(J182:J188)</f>
        <v>63.341447201991045</v>
      </c>
      <c r="K189" s="153">
        <f t="shared" ref="K189:AO189" si="48">SUM(K182:K188)</f>
        <v>0</v>
      </c>
      <c r="L189" s="153">
        <f t="shared" si="48"/>
        <v>0</v>
      </c>
      <c r="M189" s="153">
        <f t="shared" si="48"/>
        <v>40.419176703237895</v>
      </c>
      <c r="N189" s="153">
        <f t="shared" si="48"/>
        <v>133.07492354066417</v>
      </c>
      <c r="O189" s="153">
        <f t="shared" si="48"/>
        <v>303.62859983181949</v>
      </c>
      <c r="P189" s="153">
        <f t="shared" si="48"/>
        <v>906.40876284633089</v>
      </c>
      <c r="Q189" s="153">
        <f t="shared" si="48"/>
        <v>0</v>
      </c>
      <c r="R189" s="153">
        <f t="shared" si="48"/>
        <v>0</v>
      </c>
      <c r="S189" s="153">
        <f t="shared" si="48"/>
        <v>1673.4484321157606</v>
      </c>
      <c r="T189" s="153">
        <f t="shared" si="48"/>
        <v>3127.7590259408498</v>
      </c>
      <c r="U189" s="153">
        <f t="shared" si="48"/>
        <v>4877.1882934814093</v>
      </c>
      <c r="V189" s="153">
        <f t="shared" si="48"/>
        <v>8809.284564800002</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119140.96392409716</v>
      </c>
      <c r="AH189" s="153">
        <f t="shared" si="48"/>
        <v>0</v>
      </c>
      <c r="AI189" s="153">
        <f t="shared" si="48"/>
        <v>0</v>
      </c>
      <c r="AJ189" s="153">
        <f t="shared" si="48"/>
        <v>-519.30394632037292</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793</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794</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158</v>
      </c>
      <c r="G193" s="85" t="s">
        <v>792</v>
      </c>
      <c r="H193" s="218"/>
      <c r="I193" s="23"/>
      <c r="J193" s="126">
        <f t="shared" ref="J193:AO193" si="49" xml:space="preserve"> IF( J$25 &lt;&gt; 0, J$22 * thousand * J73 / hundred / J$25,0)</f>
        <v>14.811647222545879</v>
      </c>
      <c r="K193" s="126">
        <f t="shared" si="49"/>
        <v>0</v>
      </c>
      <c r="L193" s="126">
        <f t="shared" si="49"/>
        <v>0</v>
      </c>
      <c r="M193" s="126">
        <f t="shared" si="49"/>
        <v>5.0304161232515066</v>
      </c>
      <c r="N193" s="126">
        <f t="shared" si="49"/>
        <v>26.625239828371178</v>
      </c>
      <c r="O193" s="126">
        <f t="shared" si="49"/>
        <v>66.372782085648339</v>
      </c>
      <c r="P193" s="126">
        <f t="shared" si="49"/>
        <v>206.86493206265496</v>
      </c>
      <c r="Q193" s="126">
        <f t="shared" si="49"/>
        <v>0</v>
      </c>
      <c r="R193" s="126">
        <f t="shared" si="49"/>
        <v>0</v>
      </c>
      <c r="S193" s="126">
        <f t="shared" si="49"/>
        <v>244.05302684254295</v>
      </c>
      <c r="T193" s="126">
        <f t="shared" si="49"/>
        <v>420.42179925590244</v>
      </c>
      <c r="U193" s="126">
        <f t="shared" si="49"/>
        <v>658.78343353162541</v>
      </c>
      <c r="V193" s="126">
        <f t="shared" si="49"/>
        <v>1202.8180377432004</v>
      </c>
      <c r="W193" s="126">
        <f t="shared" si="49"/>
        <v>0</v>
      </c>
      <c r="X193" s="126">
        <f t="shared" si="49"/>
        <v>667.32475509187543</v>
      </c>
      <c r="Y193" s="126">
        <f t="shared" si="49"/>
        <v>488.46110547973927</v>
      </c>
      <c r="Z193" s="126">
        <f t="shared" si="49"/>
        <v>797.61346598374257</v>
      </c>
      <c r="AA193" s="126">
        <f t="shared" si="49"/>
        <v>1364.6724336189809</v>
      </c>
      <c r="AB193" s="126">
        <f t="shared" si="49"/>
        <v>0</v>
      </c>
      <c r="AC193" s="126">
        <f t="shared" si="49"/>
        <v>685.12766112092561</v>
      </c>
      <c r="AD193" s="126">
        <f t="shared" si="49"/>
        <v>2406.180050020429</v>
      </c>
      <c r="AE193" s="126">
        <f t="shared" si="49"/>
        <v>5324.9253054868723</v>
      </c>
      <c r="AF193" s="126">
        <f t="shared" si="49"/>
        <v>13864.899072324744</v>
      </c>
      <c r="AG193" s="126">
        <f t="shared" si="49"/>
        <v>27383.419731451995</v>
      </c>
      <c r="AH193" s="126">
        <f t="shared" si="49"/>
        <v>0</v>
      </c>
      <c r="AI193" s="126">
        <f t="shared" si="49"/>
        <v>0</v>
      </c>
      <c r="AJ193" s="126">
        <f t="shared" si="49"/>
        <v>-270.22168538334267</v>
      </c>
      <c r="AK193" s="126">
        <f t="shared" si="49"/>
        <v>0</v>
      </c>
      <c r="AL193" s="126">
        <f t="shared" si="49"/>
        <v>-469.68552978465448</v>
      </c>
      <c r="AM193" s="126">
        <f t="shared" si="49"/>
        <v>0</v>
      </c>
      <c r="AN193" s="126">
        <f t="shared" si="49"/>
        <v>-14786.891589012019</v>
      </c>
      <c r="AO193" s="126">
        <f t="shared" si="49"/>
        <v>0</v>
      </c>
    </row>
    <row r="194" spans="3:43" x14ac:dyDescent="0.3">
      <c r="C194" s="88"/>
      <c r="F194" t="s">
        <v>159</v>
      </c>
      <c r="G194" s="13" t="s">
        <v>792</v>
      </c>
      <c r="H194" s="102"/>
      <c r="J194" s="98">
        <f t="shared" ref="J194:AO194" si="50" xml:space="preserve"> IF( J$25 &lt;&gt; 0, J$23 * thousand * J74 / hundred / J$25, 0)</f>
        <v>7.8138597339257538</v>
      </c>
      <c r="K194" s="98">
        <f t="shared" si="50"/>
        <v>0</v>
      </c>
      <c r="L194" s="98">
        <f t="shared" si="50"/>
        <v>0</v>
      </c>
      <c r="M194" s="98">
        <f t="shared" si="50"/>
        <v>3.6822266044246788</v>
      </c>
      <c r="N194" s="98">
        <f t="shared" si="50"/>
        <v>19.489474437722219</v>
      </c>
      <c r="O194" s="98">
        <f t="shared" si="50"/>
        <v>48.584375132664704</v>
      </c>
      <c r="P194" s="98">
        <f t="shared" si="50"/>
        <v>151.42356769309521</v>
      </c>
      <c r="Q194" s="98">
        <f t="shared" si="50"/>
        <v>0</v>
      </c>
      <c r="R194" s="98">
        <f t="shared" si="50"/>
        <v>0</v>
      </c>
      <c r="S194" s="98">
        <f t="shared" si="50"/>
        <v>177.22841106721106</v>
      </c>
      <c r="T194" s="98">
        <f t="shared" si="50"/>
        <v>305.30532001233507</v>
      </c>
      <c r="U194" s="98">
        <f t="shared" si="50"/>
        <v>478.40070935706603</v>
      </c>
      <c r="V194" s="98">
        <f t="shared" si="50"/>
        <v>873.47218098525173</v>
      </c>
      <c r="W194" s="98">
        <f t="shared" si="50"/>
        <v>0</v>
      </c>
      <c r="X194" s="98">
        <f t="shared" si="50"/>
        <v>408.34974738690642</v>
      </c>
      <c r="Y194" s="98">
        <f t="shared" si="50"/>
        <v>298.89940019311746</v>
      </c>
      <c r="Z194" s="98">
        <f t="shared" si="50"/>
        <v>488.07609018192949</v>
      </c>
      <c r="AA194" s="98">
        <f t="shared" si="50"/>
        <v>835.07113932475522</v>
      </c>
      <c r="AB194" s="98">
        <f t="shared" si="50"/>
        <v>0</v>
      </c>
      <c r="AC194" s="98">
        <f t="shared" si="50"/>
        <v>351.54092124334034</v>
      </c>
      <c r="AD194" s="98">
        <f t="shared" si="50"/>
        <v>1234.6177208457962</v>
      </c>
      <c r="AE194" s="98">
        <f t="shared" si="50"/>
        <v>2732.2340837621405</v>
      </c>
      <c r="AF194" s="98">
        <f t="shared" si="50"/>
        <v>7114.1185350137212</v>
      </c>
      <c r="AG194" s="98">
        <f t="shared" si="50"/>
        <v>22173.169137675446</v>
      </c>
      <c r="AH194" s="98">
        <f t="shared" si="50"/>
        <v>0</v>
      </c>
      <c r="AI194" s="98">
        <f t="shared" si="50"/>
        <v>0</v>
      </c>
      <c r="AJ194" s="98">
        <f t="shared" si="50"/>
        <v>-239.02020409027563</v>
      </c>
      <c r="AK194" s="98">
        <f t="shared" si="50"/>
        <v>0</v>
      </c>
      <c r="AL194" s="98">
        <f t="shared" si="50"/>
        <v>-320.35579978191163</v>
      </c>
      <c r="AM194" s="98">
        <f t="shared" si="50"/>
        <v>0</v>
      </c>
      <c r="AN194" s="98">
        <f t="shared" si="50"/>
        <v>-4900.7928710453207</v>
      </c>
      <c r="AO194" s="98">
        <f t="shared" si="50"/>
        <v>0</v>
      </c>
    </row>
    <row r="195" spans="3:43" x14ac:dyDescent="0.3">
      <c r="C195" s="88"/>
      <c r="F195" t="s">
        <v>160</v>
      </c>
      <c r="G195" s="13" t="s">
        <v>792</v>
      </c>
      <c r="H195" s="102"/>
      <c r="J195" s="98">
        <f t="shared" ref="J195:AO195" si="51" xml:space="preserve"> IF( J$25 &lt;&gt; 0, J$24 * thousand * J75 / hundred / J$25, 0)</f>
        <v>0.95611910340510908</v>
      </c>
      <c r="K195" s="98">
        <f t="shared" si="51"/>
        <v>0</v>
      </c>
      <c r="L195" s="98">
        <f t="shared" si="51"/>
        <v>0</v>
      </c>
      <c r="M195" s="98">
        <f t="shared" si="51"/>
        <v>0.29378351712476924</v>
      </c>
      <c r="N195" s="98">
        <f t="shared" si="51"/>
        <v>1.5549521966809845</v>
      </c>
      <c r="O195" s="98">
        <f t="shared" si="51"/>
        <v>3.8762656775745912</v>
      </c>
      <c r="P195" s="98">
        <f t="shared" si="51"/>
        <v>12.081208755322828</v>
      </c>
      <c r="Q195" s="98">
        <f t="shared" si="51"/>
        <v>0</v>
      </c>
      <c r="R195" s="98">
        <f t="shared" si="51"/>
        <v>0</v>
      </c>
      <c r="S195" s="98">
        <f t="shared" si="51"/>
        <v>14.030340619129699</v>
      </c>
      <c r="T195" s="98">
        <f t="shared" si="51"/>
        <v>24.169587747310963</v>
      </c>
      <c r="U195" s="98">
        <f t="shared" si="51"/>
        <v>37.872736455146786</v>
      </c>
      <c r="V195" s="98">
        <f t="shared" si="51"/>
        <v>69.14868867108234</v>
      </c>
      <c r="W195" s="98">
        <f t="shared" si="51"/>
        <v>0</v>
      </c>
      <c r="X195" s="98">
        <f t="shared" si="51"/>
        <v>32.36307992238369</v>
      </c>
      <c r="Y195" s="98">
        <f t="shared" si="51"/>
        <v>23.688774730738526</v>
      </c>
      <c r="Z195" s="98">
        <f t="shared" si="51"/>
        <v>38.681658592520577</v>
      </c>
      <c r="AA195" s="98">
        <f t="shared" si="51"/>
        <v>66.182173971658543</v>
      </c>
      <c r="AB195" s="98">
        <f t="shared" si="51"/>
        <v>0</v>
      </c>
      <c r="AC195" s="98">
        <f t="shared" si="51"/>
        <v>34.006871672999154</v>
      </c>
      <c r="AD195" s="98">
        <f t="shared" si="51"/>
        <v>119.43271426131038</v>
      </c>
      <c r="AE195" s="98">
        <f t="shared" si="51"/>
        <v>264.30702160781158</v>
      </c>
      <c r="AF195" s="98">
        <f t="shared" si="51"/>
        <v>688.19560246657761</v>
      </c>
      <c r="AG195" s="98">
        <f t="shared" si="51"/>
        <v>46132.366484897517</v>
      </c>
      <c r="AH195" s="98">
        <f t="shared" si="51"/>
        <v>0</v>
      </c>
      <c r="AI195" s="98">
        <f t="shared" si="51"/>
        <v>0</v>
      </c>
      <c r="AJ195" s="98">
        <f t="shared" si="51"/>
        <v>-17.795672081549707</v>
      </c>
      <c r="AK195" s="98">
        <f t="shared" si="51"/>
        <v>0</v>
      </c>
      <c r="AL195" s="98">
        <f t="shared" si="51"/>
        <v>-38.75652553879268</v>
      </c>
      <c r="AM195" s="98">
        <f t="shared" si="51"/>
        <v>0</v>
      </c>
      <c r="AN195" s="98">
        <f t="shared" si="51"/>
        <v>-389.4665151481841</v>
      </c>
      <c r="AO195" s="98">
        <f t="shared" si="51"/>
        <v>0</v>
      </c>
    </row>
    <row r="196" spans="3:43" x14ac:dyDescent="0.3">
      <c r="C196" s="88"/>
      <c r="F196" s="23" t="s">
        <v>161</v>
      </c>
      <c r="G196" s="85" t="s">
        <v>792</v>
      </c>
      <c r="H196" s="218"/>
      <c r="I196" s="23"/>
      <c r="J196" s="126">
        <f t="shared" ref="J196:AO196" si="52" xml:space="preserve"> IF( J$25 &lt;&gt; 0, J$25 * J76 * days_in_year / hundred / J$25, 0)</f>
        <v>27.3385</v>
      </c>
      <c r="K196" s="126">
        <f t="shared" si="52"/>
        <v>0</v>
      </c>
      <c r="L196" s="126">
        <f t="shared" si="52"/>
        <v>0</v>
      </c>
      <c r="M196" s="126">
        <f t="shared" si="52"/>
        <v>23.469500000000004</v>
      </c>
      <c r="N196" s="126">
        <f t="shared" si="52"/>
        <v>59.202999999999996</v>
      </c>
      <c r="O196" s="126">
        <f t="shared" si="52"/>
        <v>124.93949999999998</v>
      </c>
      <c r="P196" s="126">
        <f t="shared" si="52"/>
        <v>357.37149999999997</v>
      </c>
      <c r="Q196" s="126">
        <f t="shared" si="52"/>
        <v>0</v>
      </c>
      <c r="R196" s="126">
        <f t="shared" si="52"/>
        <v>0</v>
      </c>
      <c r="S196" s="126">
        <f t="shared" si="52"/>
        <v>606.95849999999984</v>
      </c>
      <c r="T196" s="126">
        <f t="shared" si="52"/>
        <v>1025.1025</v>
      </c>
      <c r="U196" s="126">
        <f t="shared" si="52"/>
        <v>1597.4955000000002</v>
      </c>
      <c r="V196" s="126">
        <f t="shared" si="52"/>
        <v>2933.3225000000002</v>
      </c>
      <c r="W196" s="126">
        <f t="shared" si="52"/>
        <v>0</v>
      </c>
      <c r="X196" s="126">
        <f t="shared" si="52"/>
        <v>878.92</v>
      </c>
      <c r="Y196" s="126">
        <f t="shared" si="52"/>
        <v>1489.711</v>
      </c>
      <c r="Z196" s="126">
        <f t="shared" si="52"/>
        <v>2325.7069999999999</v>
      </c>
      <c r="AA196" s="126">
        <f t="shared" si="52"/>
        <v>4276.6684999999998</v>
      </c>
      <c r="AB196" s="126">
        <f t="shared" si="52"/>
        <v>0</v>
      </c>
      <c r="AC196" s="126">
        <f t="shared" si="52"/>
        <v>4343.2445000000007</v>
      </c>
      <c r="AD196" s="126">
        <f t="shared" si="52"/>
        <v>14555.105</v>
      </c>
      <c r="AE196" s="126">
        <f t="shared" si="52"/>
        <v>31873.515499999998</v>
      </c>
      <c r="AF196" s="126">
        <f t="shared" si="52"/>
        <v>82545.589500000002</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162</v>
      </c>
      <c r="G197" s="13" t="s">
        <v>792</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282.91600509959079</v>
      </c>
      <c r="T197" s="98">
        <f t="shared" si="53"/>
        <v>697.42226627813761</v>
      </c>
      <c r="U197" s="98">
        <f t="shared" si="53"/>
        <v>1082.8176567692087</v>
      </c>
      <c r="V197" s="98">
        <f t="shared" si="53"/>
        <v>1886.7267570363101</v>
      </c>
      <c r="W197" s="98">
        <f t="shared" si="53"/>
        <v>0</v>
      </c>
      <c r="X197" s="98">
        <f t="shared" si="53"/>
        <v>84.851954102008804</v>
      </c>
      <c r="Y197" s="98">
        <f t="shared" si="53"/>
        <v>1417.5554317050237</v>
      </c>
      <c r="Z197" s="98">
        <f t="shared" si="53"/>
        <v>2078.5599110251574</v>
      </c>
      <c r="AA197" s="98">
        <f t="shared" si="53"/>
        <v>5674.8844416961774</v>
      </c>
      <c r="AB197" s="98">
        <f t="shared" si="53"/>
        <v>0</v>
      </c>
      <c r="AC197" s="98">
        <f t="shared" si="53"/>
        <v>2961.72004928981</v>
      </c>
      <c r="AD197" s="98">
        <f t="shared" si="53"/>
        <v>9499.7566119027051</v>
      </c>
      <c r="AE197" s="98">
        <f t="shared" si="53"/>
        <v>19867.436594897365</v>
      </c>
      <c r="AF197" s="98">
        <f t="shared" si="53"/>
        <v>47774.05993830302</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163</v>
      </c>
      <c r="G198" s="13" t="s">
        <v>792</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9.507916717415501</v>
      </c>
      <c r="T198" s="98">
        <f t="shared" si="54"/>
        <v>23.438167884172845</v>
      </c>
      <c r="U198" s="98">
        <f t="shared" si="54"/>
        <v>36.390094286410275</v>
      </c>
      <c r="V198" s="98">
        <f t="shared" si="54"/>
        <v>63.406949593063565</v>
      </c>
      <c r="W198" s="98">
        <f t="shared" si="54"/>
        <v>0</v>
      </c>
      <c r="X198" s="98">
        <f t="shared" si="54"/>
        <v>0.72166078580883164</v>
      </c>
      <c r="Y198" s="98">
        <f t="shared" si="54"/>
        <v>12.056224015088493</v>
      </c>
      <c r="Z198" s="98">
        <f t="shared" si="54"/>
        <v>17.6780275082155</v>
      </c>
      <c r="AA198" s="98">
        <f t="shared" si="54"/>
        <v>48.264552171012681</v>
      </c>
      <c r="AB198" s="98">
        <f t="shared" si="54"/>
        <v>0</v>
      </c>
      <c r="AC198" s="98">
        <f t="shared" si="54"/>
        <v>55.487101861891261</v>
      </c>
      <c r="AD198" s="98">
        <f t="shared" si="54"/>
        <v>177.97562025290568</v>
      </c>
      <c r="AE198" s="98">
        <f t="shared" si="54"/>
        <v>372.21157291354297</v>
      </c>
      <c r="AF198" s="98">
        <f t="shared" si="54"/>
        <v>895.03534636515133</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164</v>
      </c>
      <c r="G199" s="85" t="s">
        <v>792</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9.3023530666387675</v>
      </c>
      <c r="T199" s="126">
        <f t="shared" si="55"/>
        <v>16.024845355075879</v>
      </c>
      <c r="U199" s="126">
        <f t="shared" si="55"/>
        <v>25.110264652105798</v>
      </c>
      <c r="V199" s="126">
        <f t="shared" si="55"/>
        <v>45.846749809941031</v>
      </c>
      <c r="W199" s="126">
        <f t="shared" si="55"/>
        <v>0</v>
      </c>
      <c r="X199" s="126">
        <f t="shared" si="55"/>
        <v>31.904453236204983</v>
      </c>
      <c r="Y199" s="126">
        <f t="shared" si="55"/>
        <v>23.353074164523921</v>
      </c>
      <c r="Z199" s="126">
        <f t="shared" si="55"/>
        <v>38.133489477012077</v>
      </c>
      <c r="AA199" s="126">
        <f t="shared" si="55"/>
        <v>65.24428699657706</v>
      </c>
      <c r="AB199" s="126">
        <f t="shared" si="55"/>
        <v>0</v>
      </c>
      <c r="AC199" s="126">
        <f t="shared" si="55"/>
        <v>18.579812419822122</v>
      </c>
      <c r="AD199" s="126">
        <f t="shared" si="55"/>
        <v>65.252618620819433</v>
      </c>
      <c r="AE199" s="126">
        <f t="shared" si="55"/>
        <v>144.40536988922975</v>
      </c>
      <c r="AF199" s="126">
        <f t="shared" si="55"/>
        <v>375.99886649167365</v>
      </c>
      <c r="AG199" s="126">
        <f t="shared" si="55"/>
        <v>0</v>
      </c>
      <c r="AH199" s="126">
        <f t="shared" si="55"/>
        <v>0</v>
      </c>
      <c r="AI199" s="126">
        <f t="shared" si="55"/>
        <v>0</v>
      </c>
      <c r="AJ199" s="126">
        <f t="shared" si="55"/>
        <v>7.7336152347951543</v>
      </c>
      <c r="AK199" s="126">
        <f t="shared" si="55"/>
        <v>0</v>
      </c>
      <c r="AL199" s="126">
        <f t="shared" si="55"/>
        <v>10.407343789170394</v>
      </c>
      <c r="AM199" s="126">
        <f t="shared" si="55"/>
        <v>0</v>
      </c>
      <c r="AN199" s="126">
        <f t="shared" si="55"/>
        <v>49.019171066613332</v>
      </c>
      <c r="AO199" s="126">
        <f t="shared" si="55"/>
        <v>0</v>
      </c>
    </row>
    <row r="200" spans="3:43" x14ac:dyDescent="0.3">
      <c r="C200" s="88"/>
      <c r="F200" s="108" t="s">
        <v>102</v>
      </c>
      <c r="G200" s="214" t="s">
        <v>792</v>
      </c>
      <c r="H200" s="219"/>
      <c r="I200" s="108"/>
      <c r="J200" s="153">
        <f t="shared" ref="J200" si="56">SUM(J193:J199)</f>
        <v>50.920126059876736</v>
      </c>
      <c r="K200" s="153">
        <f t="shared" ref="K200:AO200" si="57">SUM(K193:K199)</f>
        <v>0</v>
      </c>
      <c r="L200" s="153">
        <f t="shared" si="57"/>
        <v>0</v>
      </c>
      <c r="M200" s="153">
        <f t="shared" si="57"/>
        <v>32.475926244800959</v>
      </c>
      <c r="N200" s="153">
        <f t="shared" si="57"/>
        <v>106.87266646277439</v>
      </c>
      <c r="O200" s="153">
        <f t="shared" si="57"/>
        <v>243.77292289588763</v>
      </c>
      <c r="P200" s="153">
        <f t="shared" si="57"/>
        <v>727.74120851107295</v>
      </c>
      <c r="Q200" s="153">
        <f t="shared" si="57"/>
        <v>0</v>
      </c>
      <c r="R200" s="153">
        <f t="shared" si="57"/>
        <v>0</v>
      </c>
      <c r="S200" s="153">
        <f t="shared" si="57"/>
        <v>1343.9965534125286</v>
      </c>
      <c r="T200" s="153">
        <f t="shared" si="57"/>
        <v>2511.8844865329347</v>
      </c>
      <c r="U200" s="153">
        <f t="shared" si="57"/>
        <v>3916.8703950515637</v>
      </c>
      <c r="V200" s="153">
        <f t="shared" si="57"/>
        <v>7074.741863838849</v>
      </c>
      <c r="W200" s="153">
        <f t="shared" si="57"/>
        <v>0</v>
      </c>
      <c r="X200" s="153">
        <f t="shared" si="57"/>
        <v>2104.4356505251885</v>
      </c>
      <c r="Y200" s="153">
        <f t="shared" si="57"/>
        <v>3753.7250102882313</v>
      </c>
      <c r="Z200" s="153">
        <f t="shared" si="57"/>
        <v>5784.4496427685772</v>
      </c>
      <c r="AA200" s="153">
        <f t="shared" si="57"/>
        <v>12330.987527779162</v>
      </c>
      <c r="AB200" s="153">
        <f t="shared" si="57"/>
        <v>0</v>
      </c>
      <c r="AC200" s="153">
        <f t="shared" si="57"/>
        <v>8449.7069176087898</v>
      </c>
      <c r="AD200" s="153">
        <f t="shared" si="57"/>
        <v>28058.320335903965</v>
      </c>
      <c r="AE200" s="153">
        <f t="shared" si="57"/>
        <v>60579.035448556955</v>
      </c>
      <c r="AF200" s="153">
        <f t="shared" si="57"/>
        <v>153257.89686096489</v>
      </c>
      <c r="AG200" s="153">
        <f t="shared" si="57"/>
        <v>95688.955354024962</v>
      </c>
      <c r="AH200" s="153">
        <f t="shared" si="57"/>
        <v>0</v>
      </c>
      <c r="AI200" s="153">
        <f t="shared" si="57"/>
        <v>0</v>
      </c>
      <c r="AJ200" s="153">
        <f t="shared" si="57"/>
        <v>-519.30394632037292</v>
      </c>
      <c r="AK200" s="153">
        <f t="shared" si="57"/>
        <v>0</v>
      </c>
      <c r="AL200" s="153">
        <f t="shared" si="57"/>
        <v>-818.39051131618839</v>
      </c>
      <c r="AM200" s="153">
        <f t="shared" si="57"/>
        <v>0</v>
      </c>
      <c r="AN200" s="153">
        <f t="shared" si="57"/>
        <v>-20028.13180413891</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795</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796</v>
      </c>
      <c r="G206" s="28" t="s">
        <v>169</v>
      </c>
      <c r="J206" s="111">
        <f>IF( AND( ISNUMBER(J$140), J$140 &lt;&gt; 0), ( J$140 - J189 ) / J$140, 0)</f>
        <v>0.30218852846840238</v>
      </c>
      <c r="K206" s="111">
        <f>IF( AND( ISNUMBER(K$140), K$140 &lt;&gt; 0), ( K$140 - K189 ) / K$140, 0)</f>
        <v>0</v>
      </c>
      <c r="L206" s="111">
        <f t="shared" ref="L206:AK206" si="58">IF( AND( ISNUMBER(L$140), L$140 &lt;&gt; 0), ( L$140 - L189 ) / L$140, 0)</f>
        <v>0</v>
      </c>
      <c r="M206" s="111">
        <f t="shared" si="58"/>
        <v>0.30221180303578515</v>
      </c>
      <c r="N206" s="111">
        <f t="shared" si="58"/>
        <v>0.30262700671636067</v>
      </c>
      <c r="O206" s="111">
        <f t="shared" si="58"/>
        <v>0.30279813210674406</v>
      </c>
      <c r="P206" s="111">
        <f t="shared" si="58"/>
        <v>0.30293539732091457</v>
      </c>
      <c r="Q206" s="111">
        <f t="shared" si="58"/>
        <v>0</v>
      </c>
      <c r="R206" s="111">
        <f t="shared" si="58"/>
        <v>0</v>
      </c>
      <c r="S206" s="111">
        <f t="shared" si="58"/>
        <v>0.30286649167617591</v>
      </c>
      <c r="T206" s="111">
        <f t="shared" si="58"/>
        <v>0.30283168144685191</v>
      </c>
      <c r="U206" s="111">
        <f t="shared" si="58"/>
        <v>0.3028385836685123</v>
      </c>
      <c r="V206" s="111">
        <f t="shared" si="58"/>
        <v>0.30284621396510925</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0.30291606784332387</v>
      </c>
      <c r="AH206" s="111">
        <f t="shared" si="58"/>
        <v>0</v>
      </c>
      <c r="AI206" s="406"/>
      <c r="AJ206" s="111">
        <f t="shared" si="58"/>
        <v>-2.1892157478710841E-16</v>
      </c>
      <c r="AK206" s="111">
        <f t="shared" si="58"/>
        <v>0</v>
      </c>
      <c r="AL206" s="406"/>
      <c r="AM206" s="406"/>
      <c r="AN206" s="406"/>
      <c r="AO206" s="406"/>
    </row>
    <row r="207" spans="3:43" x14ac:dyDescent="0.3">
      <c r="C207" s="88"/>
      <c r="D207" s="2"/>
      <c r="E207" t="s">
        <v>797</v>
      </c>
      <c r="G207" s="28" t="s">
        <v>169</v>
      </c>
      <c r="J207" s="111">
        <f>IF( AND( ISNUMBER(J$140), J$140 &lt;&gt; 0), ( J$140 - J200 ) / J$140, 0)</f>
        <v>0.4390300558952161</v>
      </c>
      <c r="K207" s="111">
        <f>IF( AND( ISNUMBER(K$140), K$140 &lt;&gt; 0), ( K$140 - K200 ) / K$140, 0)</f>
        <v>0</v>
      </c>
      <c r="L207" s="111">
        <f t="shared" ref="L207:AO207" si="59">IF( AND( ISNUMBER(L$140), L$140 &lt;&gt; 0), ( L$140 - L200 ) / L$140, 0)</f>
        <v>0</v>
      </c>
      <c r="M207" s="111">
        <f t="shared" si="59"/>
        <v>0.43934241448101696</v>
      </c>
      <c r="N207" s="111">
        <f t="shared" si="59"/>
        <v>0.43993872528076589</v>
      </c>
      <c r="O207" s="111">
        <f t="shared" si="59"/>
        <v>0.44024068457664356</v>
      </c>
      <c r="P207" s="111">
        <f t="shared" si="59"/>
        <v>0.44033789482464292</v>
      </c>
      <c r="Q207" s="111">
        <f t="shared" si="59"/>
        <v>0</v>
      </c>
      <c r="R207" s="111">
        <f t="shared" si="59"/>
        <v>0</v>
      </c>
      <c r="S207" s="111">
        <f t="shared" si="59"/>
        <v>0.44011120123312486</v>
      </c>
      <c r="T207" s="111">
        <f t="shared" si="59"/>
        <v>0.44010831098181236</v>
      </c>
      <c r="U207" s="111">
        <f t="shared" si="59"/>
        <v>0.44010959842360031</v>
      </c>
      <c r="V207" s="111">
        <f t="shared" si="59"/>
        <v>0.44011536472522056</v>
      </c>
      <c r="W207" s="111">
        <f t="shared" si="59"/>
        <v>0</v>
      </c>
      <c r="X207" s="111">
        <f t="shared" si="59"/>
        <v>0.18251232138214027</v>
      </c>
      <c r="Y207" s="111">
        <f t="shared" si="59"/>
        <v>0.18253414749583263</v>
      </c>
      <c r="Z207" s="111">
        <f t="shared" si="59"/>
        <v>0.18253888287532186</v>
      </c>
      <c r="AA207" s="111">
        <f t="shared" si="59"/>
        <v>0.18255160035002121</v>
      </c>
      <c r="AB207" s="111">
        <f t="shared" si="59"/>
        <v>0</v>
      </c>
      <c r="AC207" s="111">
        <f t="shared" si="59"/>
        <v>7.3678742512418224E-2</v>
      </c>
      <c r="AD207" s="111">
        <f t="shared" si="59"/>
        <v>7.3675954175139086E-2</v>
      </c>
      <c r="AE207" s="111">
        <f t="shared" si="59"/>
        <v>7.3669502376877985E-2</v>
      </c>
      <c r="AF207" s="111">
        <f t="shared" si="59"/>
        <v>7.366012257598735E-2</v>
      </c>
      <c r="AG207" s="111">
        <f t="shared" si="59"/>
        <v>0.44013183152820606</v>
      </c>
      <c r="AH207" s="111">
        <f t="shared" si="59"/>
        <v>0</v>
      </c>
      <c r="AI207" s="111">
        <f t="shared" si="59"/>
        <v>0</v>
      </c>
      <c r="AJ207" s="111">
        <f t="shared" si="59"/>
        <v>-2.1892157478710841E-16</v>
      </c>
      <c r="AK207" s="111">
        <f t="shared" si="59"/>
        <v>0</v>
      </c>
      <c r="AL207" s="111">
        <f t="shared" si="59"/>
        <v>0</v>
      </c>
      <c r="AM207" s="111">
        <f t="shared" si="59"/>
        <v>0</v>
      </c>
      <c r="AN207" s="111">
        <f t="shared" si="59"/>
        <v>-9.4596146414210516E-3</v>
      </c>
      <c r="AO207" s="111">
        <f t="shared" si="59"/>
        <v>0</v>
      </c>
    </row>
    <row r="208" spans="3:43" x14ac:dyDescent="0.3">
      <c r="C208" s="88"/>
      <c r="D208" s="2"/>
      <c r="E208" s="2"/>
      <c r="F208" s="102"/>
      <c r="G208" s="102"/>
    </row>
    <row r="209" spans="2:43" x14ac:dyDescent="0.3">
      <c r="B209" s="30" t="s">
        <v>233</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234</v>
      </c>
      <c r="G211" s="6" t="s">
        <v>57</v>
      </c>
      <c r="H211" s="103">
        <f t="array" ref="H211">SUM(IF(ISERROR($H$13:$AP$207), 1))</f>
        <v>0</v>
      </c>
      <c r="I211" s="3"/>
    </row>
    <row r="212" spans="2:43" x14ac:dyDescent="0.3">
      <c r="F212" s="3"/>
      <c r="G212" s="3"/>
      <c r="H212" s="3"/>
      <c r="I212" s="3"/>
    </row>
    <row r="213" spans="2:43" x14ac:dyDescent="0.3">
      <c r="B213" s="30" t="s">
        <v>108</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6" activePane="bottomRight" state="frozen"/>
      <selection pane="topRight"/>
      <selection pane="bottomLeft"/>
      <selection pane="bottomRight" activeCell="J21" sqref="J21"/>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[enter DNO name] - [enter data version name]</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144</v>
      </c>
      <c r="C5" s="60"/>
      <c r="D5" s="60"/>
      <c r="E5" s="60"/>
      <c r="F5" s="60"/>
      <c r="G5" s="61"/>
      <c r="H5" s="61" t="s">
        <v>798</v>
      </c>
      <c r="J5" s="62" t="s">
        <v>799</v>
      </c>
      <c r="K5" s="62" t="s">
        <v>800</v>
      </c>
      <c r="L5" s="62" t="s">
        <v>801</v>
      </c>
      <c r="M5" s="62" t="s">
        <v>802</v>
      </c>
      <c r="N5" s="62" t="s">
        <v>803</v>
      </c>
      <c r="O5" s="62" t="s">
        <v>804</v>
      </c>
      <c r="P5" s="62" t="s">
        <v>805</v>
      </c>
      <c r="R5" s="61" t="s">
        <v>147</v>
      </c>
    </row>
    <row r="7" spans="1:44"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806</v>
      </c>
    </row>
    <row r="11" spans="1:44" x14ac:dyDescent="0.3">
      <c r="B11" s="30" t="s">
        <v>98</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807</v>
      </c>
    </row>
    <row r="16" spans="1:44" x14ac:dyDescent="0.3">
      <c r="F16" s="23" t="s">
        <v>915</v>
      </c>
      <c r="G16" s="23"/>
      <c r="H16" s="23" t="s">
        <v>775</v>
      </c>
      <c r="I16" s="23"/>
      <c r="J16" s="220">
        <f t="array" ref="J16:P47">TRANSPOSE(Rounding!J150:AO156)</f>
        <v>6.8029999999999999</v>
      </c>
      <c r="K16" s="220">
        <v>1.2090000000000001</v>
      </c>
      <c r="L16" s="220">
        <v>8.8999999999999996E-2</v>
      </c>
      <c r="M16" s="388">
        <v>13.33</v>
      </c>
      <c r="N16" s="221">
        <v>0</v>
      </c>
      <c r="O16" s="221">
        <v>0</v>
      </c>
      <c r="P16" s="220">
        <v>0</v>
      </c>
    </row>
    <row r="17" spans="6:16" x14ac:dyDescent="0.3">
      <c r="F17" t="s">
        <v>833</v>
      </c>
      <c r="H17" t="s">
        <v>775</v>
      </c>
      <c r="J17" s="222">
        <v>6.8029999999999999</v>
      </c>
      <c r="K17" s="222">
        <v>1.2090000000000001</v>
      </c>
      <c r="L17" s="222">
        <v>8.8999999999999996E-2</v>
      </c>
      <c r="M17" s="389">
        <v>0</v>
      </c>
      <c r="N17" s="223">
        <v>0</v>
      </c>
      <c r="O17" s="223">
        <v>0</v>
      </c>
      <c r="P17" s="222">
        <v>0</v>
      </c>
    </row>
    <row r="18" spans="6:16" x14ac:dyDescent="0.3">
      <c r="F18" t="s">
        <v>916</v>
      </c>
      <c r="H18" t="s">
        <v>775</v>
      </c>
      <c r="J18" s="222">
        <v>5.95</v>
      </c>
      <c r="K18" s="222">
        <v>1.0569999999999999</v>
      </c>
      <c r="L18" s="222">
        <v>7.8E-2</v>
      </c>
      <c r="M18" s="389">
        <v>7.38</v>
      </c>
      <c r="N18" s="223">
        <v>0</v>
      </c>
      <c r="O18" s="223">
        <v>0</v>
      </c>
      <c r="P18" s="222">
        <v>0</v>
      </c>
    </row>
    <row r="19" spans="6:16" x14ac:dyDescent="0.3">
      <c r="F19" t="s">
        <v>917</v>
      </c>
      <c r="H19" t="s">
        <v>775</v>
      </c>
      <c r="J19" s="222">
        <v>5.95</v>
      </c>
      <c r="K19" s="222">
        <v>1.0569999999999999</v>
      </c>
      <c r="L19" s="222">
        <v>7.8E-2</v>
      </c>
      <c r="M19" s="389">
        <v>11.46</v>
      </c>
      <c r="N19" s="223">
        <v>0</v>
      </c>
      <c r="O19" s="223">
        <v>0</v>
      </c>
      <c r="P19" s="222">
        <v>0</v>
      </c>
    </row>
    <row r="20" spans="6:16" x14ac:dyDescent="0.3">
      <c r="F20" t="s">
        <v>918</v>
      </c>
      <c r="H20" t="s">
        <v>775</v>
      </c>
      <c r="J20" s="222">
        <v>5.95</v>
      </c>
      <c r="K20" s="222">
        <v>1.0569999999999999</v>
      </c>
      <c r="L20" s="222">
        <v>7.8E-2</v>
      </c>
      <c r="M20" s="389">
        <v>28.94</v>
      </c>
      <c r="N20" s="223">
        <v>0</v>
      </c>
      <c r="O20" s="223">
        <v>0</v>
      </c>
      <c r="P20" s="222">
        <v>0</v>
      </c>
    </row>
    <row r="21" spans="6:16" x14ac:dyDescent="0.3">
      <c r="F21" t="s">
        <v>919</v>
      </c>
      <c r="H21" t="s">
        <v>775</v>
      </c>
      <c r="J21" s="222">
        <v>5.95</v>
      </c>
      <c r="K21" s="222">
        <v>1.0569999999999999</v>
      </c>
      <c r="L21" s="222">
        <v>7.8E-2</v>
      </c>
      <c r="M21" s="389">
        <v>61.13</v>
      </c>
      <c r="N21" s="223">
        <v>0</v>
      </c>
      <c r="O21" s="223">
        <v>0</v>
      </c>
      <c r="P21" s="222">
        <v>0</v>
      </c>
    </row>
    <row r="22" spans="6:16" x14ac:dyDescent="0.3">
      <c r="F22" t="s">
        <v>920</v>
      </c>
      <c r="H22" t="s">
        <v>775</v>
      </c>
      <c r="J22" s="222">
        <v>5.95</v>
      </c>
      <c r="K22" s="222">
        <v>1.0569999999999999</v>
      </c>
      <c r="L22" s="222">
        <v>7.8E-2</v>
      </c>
      <c r="M22" s="389">
        <v>174.91</v>
      </c>
      <c r="N22" s="223">
        <v>0</v>
      </c>
      <c r="O22" s="223">
        <v>0</v>
      </c>
      <c r="P22" s="222">
        <v>0</v>
      </c>
    </row>
    <row r="23" spans="6:16" x14ac:dyDescent="0.3">
      <c r="F23" t="s">
        <v>834</v>
      </c>
      <c r="H23" t="s">
        <v>775</v>
      </c>
      <c r="J23" s="222">
        <v>5.95</v>
      </c>
      <c r="K23" s="222">
        <v>1.0569999999999999</v>
      </c>
      <c r="L23" s="222">
        <v>7.8E-2</v>
      </c>
      <c r="M23" s="389">
        <v>0</v>
      </c>
      <c r="N23" s="223">
        <v>0</v>
      </c>
      <c r="O23" s="223">
        <v>0</v>
      </c>
      <c r="P23" s="222">
        <v>0</v>
      </c>
    </row>
    <row r="24" spans="6:16" x14ac:dyDescent="0.3">
      <c r="F24" t="s">
        <v>921</v>
      </c>
      <c r="H24" t="s">
        <v>775</v>
      </c>
      <c r="J24" s="222">
        <v>4.3010000000000002</v>
      </c>
      <c r="K24" s="222">
        <v>0.73699999999999999</v>
      </c>
      <c r="L24" s="222">
        <v>5.3999999999999999E-2</v>
      </c>
      <c r="M24" s="389">
        <v>11.44</v>
      </c>
      <c r="N24" s="223">
        <v>2.91</v>
      </c>
      <c r="O24" s="223">
        <v>5.73</v>
      </c>
      <c r="P24" s="222">
        <v>0.156</v>
      </c>
    </row>
    <row r="25" spans="6:16" x14ac:dyDescent="0.3">
      <c r="F25" t="s">
        <v>922</v>
      </c>
      <c r="H25" t="s">
        <v>775</v>
      </c>
      <c r="J25" s="222">
        <v>4.3010000000000002</v>
      </c>
      <c r="K25" s="222">
        <v>0.73699999999999999</v>
      </c>
      <c r="L25" s="222">
        <v>5.3999999999999999E-2</v>
      </c>
      <c r="M25" s="389">
        <v>297.07</v>
      </c>
      <c r="N25" s="223">
        <v>2.91</v>
      </c>
      <c r="O25" s="223">
        <v>5.73</v>
      </c>
      <c r="P25" s="222">
        <v>0.156</v>
      </c>
    </row>
    <row r="26" spans="6:16" x14ac:dyDescent="0.3">
      <c r="F26" t="s">
        <v>923</v>
      </c>
      <c r="H26" t="s">
        <v>775</v>
      </c>
      <c r="J26" s="222">
        <v>4.3010000000000002</v>
      </c>
      <c r="K26" s="222">
        <v>0.73699999999999999</v>
      </c>
      <c r="L26" s="222">
        <v>5.3999999999999999E-2</v>
      </c>
      <c r="M26" s="389">
        <v>501.77</v>
      </c>
      <c r="N26" s="223">
        <v>2.91</v>
      </c>
      <c r="O26" s="223">
        <v>5.73</v>
      </c>
      <c r="P26" s="222">
        <v>0.156</v>
      </c>
    </row>
    <row r="27" spans="6:16" x14ac:dyDescent="0.3">
      <c r="F27" t="s">
        <v>924</v>
      </c>
      <c r="H27" t="s">
        <v>775</v>
      </c>
      <c r="J27" s="222">
        <v>4.3010000000000002</v>
      </c>
      <c r="K27" s="222">
        <v>0.73699999999999999</v>
      </c>
      <c r="L27" s="222">
        <v>5.3999999999999999E-2</v>
      </c>
      <c r="M27" s="389">
        <v>781.95</v>
      </c>
      <c r="N27" s="223">
        <v>2.91</v>
      </c>
      <c r="O27" s="223">
        <v>5.73</v>
      </c>
      <c r="P27" s="222">
        <v>0.156</v>
      </c>
    </row>
    <row r="28" spans="6:16" x14ac:dyDescent="0.3">
      <c r="F28" t="s">
        <v>925</v>
      </c>
      <c r="H28" t="s">
        <v>775</v>
      </c>
      <c r="J28" s="222">
        <v>4.3010000000000002</v>
      </c>
      <c r="K28" s="222">
        <v>0.73699999999999999</v>
      </c>
      <c r="L28" s="222">
        <v>5.3999999999999999E-2</v>
      </c>
      <c r="M28" s="389">
        <v>1435.83</v>
      </c>
      <c r="N28" s="223">
        <v>2.91</v>
      </c>
      <c r="O28" s="223">
        <v>5.73</v>
      </c>
      <c r="P28" s="222">
        <v>0.156</v>
      </c>
    </row>
    <row r="29" spans="6:16" x14ac:dyDescent="0.3">
      <c r="F29" t="s">
        <v>926</v>
      </c>
      <c r="H29" t="s">
        <v>775</v>
      </c>
      <c r="J29" s="222">
        <v>2.964</v>
      </c>
      <c r="K29" s="222">
        <v>0.46600000000000003</v>
      </c>
      <c r="L29" s="222">
        <v>3.3000000000000002E-2</v>
      </c>
      <c r="M29" s="389">
        <v>8.94</v>
      </c>
      <c r="N29" s="223">
        <v>3.56</v>
      </c>
      <c r="O29" s="223">
        <v>5.36</v>
      </c>
      <c r="P29" s="222">
        <v>0.109</v>
      </c>
    </row>
    <row r="30" spans="6:16" x14ac:dyDescent="0.3">
      <c r="F30" t="s">
        <v>927</v>
      </c>
      <c r="H30" t="s">
        <v>775</v>
      </c>
      <c r="J30" s="222">
        <v>2.964</v>
      </c>
      <c r="K30" s="222">
        <v>0.46600000000000003</v>
      </c>
      <c r="L30" s="222">
        <v>3.3000000000000002E-2</v>
      </c>
      <c r="M30" s="389">
        <v>294.57</v>
      </c>
      <c r="N30" s="223">
        <v>3.56</v>
      </c>
      <c r="O30" s="223">
        <v>5.36</v>
      </c>
      <c r="P30" s="222">
        <v>0.109</v>
      </c>
    </row>
    <row r="31" spans="6:16" x14ac:dyDescent="0.3">
      <c r="F31" s="311" t="s">
        <v>928</v>
      </c>
      <c r="G31" s="311"/>
      <c r="H31" s="311" t="s">
        <v>775</v>
      </c>
      <c r="I31" s="311"/>
      <c r="J31" s="346">
        <v>2.964</v>
      </c>
      <c r="K31" s="346">
        <v>0.46600000000000003</v>
      </c>
      <c r="L31" s="346">
        <v>3.3000000000000002E-2</v>
      </c>
      <c r="M31" s="390">
        <v>499.26</v>
      </c>
      <c r="N31" s="347">
        <v>3.56</v>
      </c>
      <c r="O31" s="347">
        <v>5.36</v>
      </c>
      <c r="P31" s="346">
        <v>0.109</v>
      </c>
    </row>
    <row r="32" spans="6:16" x14ac:dyDescent="0.3">
      <c r="F32" s="311" t="s">
        <v>929</v>
      </c>
      <c r="G32" s="311"/>
      <c r="H32" s="311" t="s">
        <v>775</v>
      </c>
      <c r="I32" s="311"/>
      <c r="J32" s="346">
        <v>2.964</v>
      </c>
      <c r="K32" s="346">
        <v>0.46600000000000003</v>
      </c>
      <c r="L32" s="346">
        <v>3.3000000000000002E-2</v>
      </c>
      <c r="M32" s="390">
        <v>779.45</v>
      </c>
      <c r="N32" s="347">
        <v>3.56</v>
      </c>
      <c r="O32" s="347">
        <v>5.36</v>
      </c>
      <c r="P32" s="346">
        <v>0.109</v>
      </c>
    </row>
    <row r="33" spans="6:16" x14ac:dyDescent="0.3">
      <c r="F33" s="311" t="s">
        <v>930</v>
      </c>
      <c r="G33" s="311"/>
      <c r="H33" s="311" t="s">
        <v>775</v>
      </c>
      <c r="I33" s="311"/>
      <c r="J33" s="346">
        <v>2.964</v>
      </c>
      <c r="K33" s="346">
        <v>0.46600000000000003</v>
      </c>
      <c r="L33" s="346">
        <v>3.3000000000000002E-2</v>
      </c>
      <c r="M33" s="390">
        <v>1433.33</v>
      </c>
      <c r="N33" s="347">
        <v>3.56</v>
      </c>
      <c r="O33" s="347">
        <v>5.36</v>
      </c>
      <c r="P33" s="346">
        <v>0.109</v>
      </c>
    </row>
    <row r="34" spans="6:16" x14ac:dyDescent="0.3">
      <c r="F34" s="311" t="s">
        <v>931</v>
      </c>
      <c r="G34" s="311"/>
      <c r="H34" s="311" t="s">
        <v>775</v>
      </c>
      <c r="I34" s="311"/>
      <c r="J34" s="346">
        <v>1.778</v>
      </c>
      <c r="K34" s="346">
        <v>0.23899999999999999</v>
      </c>
      <c r="L34" s="346">
        <v>1.6E-2</v>
      </c>
      <c r="M34" s="390">
        <v>82.21</v>
      </c>
      <c r="N34" s="347">
        <v>4.32</v>
      </c>
      <c r="O34" s="347">
        <v>6.23</v>
      </c>
      <c r="P34" s="346">
        <v>5.6000000000000001E-2</v>
      </c>
    </row>
    <row r="35" spans="6:16" x14ac:dyDescent="0.3">
      <c r="F35" s="311" t="s">
        <v>932</v>
      </c>
      <c r="G35" s="311"/>
      <c r="H35" s="311" t="s">
        <v>775</v>
      </c>
      <c r="I35" s="311"/>
      <c r="J35" s="346">
        <v>1.778</v>
      </c>
      <c r="K35" s="346">
        <v>0.23899999999999999</v>
      </c>
      <c r="L35" s="346">
        <v>1.6E-2</v>
      </c>
      <c r="M35" s="390">
        <v>1284.3</v>
      </c>
      <c r="N35" s="347">
        <v>4.32</v>
      </c>
      <c r="O35" s="347">
        <v>6.23</v>
      </c>
      <c r="P35" s="346">
        <v>5.6000000000000001E-2</v>
      </c>
    </row>
    <row r="36" spans="6:16" x14ac:dyDescent="0.3">
      <c r="F36" s="311" t="s">
        <v>933</v>
      </c>
      <c r="G36" s="311"/>
      <c r="H36" s="311" t="s">
        <v>775</v>
      </c>
      <c r="I36" s="311"/>
      <c r="J36" s="346">
        <v>1.778</v>
      </c>
      <c r="K36" s="346">
        <v>0.23899999999999999</v>
      </c>
      <c r="L36" s="346">
        <v>1.6E-2</v>
      </c>
      <c r="M36" s="390">
        <v>4303.99</v>
      </c>
      <c r="N36" s="347">
        <v>4.32</v>
      </c>
      <c r="O36" s="347">
        <v>6.23</v>
      </c>
      <c r="P36" s="346">
        <v>5.6000000000000001E-2</v>
      </c>
    </row>
    <row r="37" spans="6:16" x14ac:dyDescent="0.3">
      <c r="F37" s="311" t="s">
        <v>934</v>
      </c>
      <c r="G37" s="311"/>
      <c r="H37" s="311" t="s">
        <v>775</v>
      </c>
      <c r="I37" s="311"/>
      <c r="J37" s="346">
        <v>1.778</v>
      </c>
      <c r="K37" s="346">
        <v>0.23899999999999999</v>
      </c>
      <c r="L37" s="346">
        <v>1.6E-2</v>
      </c>
      <c r="M37" s="390">
        <v>9425.09</v>
      </c>
      <c r="N37" s="347">
        <v>4.32</v>
      </c>
      <c r="O37" s="347">
        <v>6.23</v>
      </c>
      <c r="P37" s="346">
        <v>5.6000000000000001E-2</v>
      </c>
    </row>
    <row r="38" spans="6:16" x14ac:dyDescent="0.3">
      <c r="F38" s="311" t="s">
        <v>935</v>
      </c>
      <c r="G38" s="311"/>
      <c r="H38" s="311" t="s">
        <v>775</v>
      </c>
      <c r="I38" s="311"/>
      <c r="J38" s="346">
        <v>1.778</v>
      </c>
      <c r="K38" s="346">
        <v>0.23899999999999999</v>
      </c>
      <c r="L38" s="346">
        <v>1.6E-2</v>
      </c>
      <c r="M38" s="390">
        <v>24408.959999999999</v>
      </c>
      <c r="N38" s="347">
        <v>4.32</v>
      </c>
      <c r="O38" s="347">
        <v>6.23</v>
      </c>
      <c r="P38" s="346">
        <v>5.6000000000000001E-2</v>
      </c>
    </row>
    <row r="39" spans="6:16" x14ac:dyDescent="0.3">
      <c r="F39" s="311" t="s">
        <v>843</v>
      </c>
      <c r="G39" s="311"/>
      <c r="H39" s="311" t="s">
        <v>775</v>
      </c>
      <c r="I39" s="311"/>
      <c r="J39" s="346">
        <v>20.608000000000001</v>
      </c>
      <c r="K39" s="346">
        <v>2.988</v>
      </c>
      <c r="L39" s="346">
        <v>1.9179999999999999</v>
      </c>
      <c r="M39" s="390">
        <v>0</v>
      </c>
      <c r="N39" s="347">
        <v>0</v>
      </c>
      <c r="O39" s="347">
        <v>0</v>
      </c>
      <c r="P39" s="346">
        <v>0</v>
      </c>
    </row>
    <row r="40" spans="6:16" x14ac:dyDescent="0.3">
      <c r="F40" s="311" t="s">
        <v>835</v>
      </c>
      <c r="G40" s="311"/>
      <c r="H40" s="311" t="s">
        <v>775</v>
      </c>
      <c r="I40" s="311"/>
      <c r="J40" s="346">
        <v>-4.1550000000000002</v>
      </c>
      <c r="K40" s="346">
        <v>-0.73799999999999999</v>
      </c>
      <c r="L40" s="346">
        <v>-5.3999999999999999E-2</v>
      </c>
      <c r="M40" s="390">
        <v>0</v>
      </c>
      <c r="N40" s="347">
        <v>0</v>
      </c>
      <c r="O40" s="347">
        <v>0</v>
      </c>
      <c r="P40" s="346">
        <v>0</v>
      </c>
    </row>
    <row r="41" spans="6:16" x14ac:dyDescent="0.3">
      <c r="F41" s="311" t="s">
        <v>836</v>
      </c>
      <c r="G41" s="311"/>
      <c r="H41" s="311" t="s">
        <v>775</v>
      </c>
      <c r="I41" s="311"/>
      <c r="J41" s="346">
        <v>-3.6520000000000001</v>
      </c>
      <c r="K41" s="346">
        <v>-0.63500000000000001</v>
      </c>
      <c r="L41" s="346">
        <v>-4.5999999999999999E-2</v>
      </c>
      <c r="M41" s="390">
        <v>0</v>
      </c>
      <c r="N41" s="347">
        <v>0</v>
      </c>
      <c r="O41" s="347">
        <v>0</v>
      </c>
      <c r="P41" s="346">
        <v>0</v>
      </c>
    </row>
    <row r="42" spans="6:16" x14ac:dyDescent="0.3">
      <c r="F42" s="311" t="s">
        <v>837</v>
      </c>
      <c r="G42" s="311"/>
      <c r="H42" s="311" t="s">
        <v>775</v>
      </c>
      <c r="I42" s="311"/>
      <c r="J42" s="346">
        <v>-4.1550000000000002</v>
      </c>
      <c r="K42" s="346">
        <v>-0.73799999999999999</v>
      </c>
      <c r="L42" s="346">
        <v>-5.3999999999999999E-2</v>
      </c>
      <c r="M42" s="390">
        <v>0</v>
      </c>
      <c r="N42" s="347">
        <v>0</v>
      </c>
      <c r="O42" s="347">
        <v>0</v>
      </c>
      <c r="P42" s="346">
        <v>0.155</v>
      </c>
    </row>
    <row r="43" spans="6:16" x14ac:dyDescent="0.3">
      <c r="F43" s="311" t="s">
        <v>846</v>
      </c>
      <c r="G43" s="311"/>
      <c r="H43" s="311" t="s">
        <v>775</v>
      </c>
      <c r="I43" s="311"/>
      <c r="J43" s="346">
        <v>-4.1550000000000002</v>
      </c>
      <c r="K43" s="346">
        <v>-0.73799999999999999</v>
      </c>
      <c r="L43" s="346">
        <v>-5.3999999999999999E-2</v>
      </c>
      <c r="M43" s="390">
        <v>0</v>
      </c>
      <c r="N43" s="347">
        <v>0</v>
      </c>
      <c r="O43" s="347">
        <v>0</v>
      </c>
      <c r="P43" s="346">
        <v>0</v>
      </c>
    </row>
    <row r="44" spans="6:16" x14ac:dyDescent="0.3">
      <c r="F44" s="311" t="s">
        <v>838</v>
      </c>
      <c r="G44" s="311"/>
      <c r="H44" s="311" t="s">
        <v>775</v>
      </c>
      <c r="I44" s="311"/>
      <c r="J44" s="346">
        <v>-3.6520000000000001</v>
      </c>
      <c r="K44" s="346">
        <v>-0.63500000000000001</v>
      </c>
      <c r="L44" s="346">
        <v>-4.5999999999999999E-2</v>
      </c>
      <c r="M44" s="390">
        <v>0</v>
      </c>
      <c r="N44" s="347">
        <v>0</v>
      </c>
      <c r="O44" s="347">
        <v>0</v>
      </c>
      <c r="P44" s="346">
        <v>0.13100000000000001</v>
      </c>
    </row>
    <row r="45" spans="6:16" x14ac:dyDescent="0.3">
      <c r="F45" s="311" t="s">
        <v>845</v>
      </c>
      <c r="G45" s="311"/>
      <c r="H45" s="311" t="s">
        <v>775</v>
      </c>
      <c r="I45" s="311"/>
      <c r="J45" s="346">
        <v>-3.6520000000000001</v>
      </c>
      <c r="K45" s="346">
        <v>-0.63500000000000001</v>
      </c>
      <c r="L45" s="346">
        <v>-4.5999999999999999E-2</v>
      </c>
      <c r="M45" s="390">
        <v>0</v>
      </c>
      <c r="N45" s="347">
        <v>0</v>
      </c>
      <c r="O45" s="347">
        <v>0</v>
      </c>
      <c r="P45" s="346">
        <v>0</v>
      </c>
    </row>
    <row r="46" spans="6:16" x14ac:dyDescent="0.3">
      <c r="F46" s="311" t="s">
        <v>839</v>
      </c>
      <c r="G46" s="311"/>
      <c r="H46" s="311" t="s">
        <v>775</v>
      </c>
      <c r="I46" s="311"/>
      <c r="J46" s="346">
        <v>-2.3889999999999998</v>
      </c>
      <c r="K46" s="346">
        <v>-0.36699999999999999</v>
      </c>
      <c r="L46" s="346">
        <v>-2.5999999999999999E-2</v>
      </c>
      <c r="M46" s="390">
        <v>51.42</v>
      </c>
      <c r="N46" s="347">
        <v>0</v>
      </c>
      <c r="O46" s="347">
        <v>0</v>
      </c>
      <c r="P46" s="346">
        <v>0.105</v>
      </c>
    </row>
    <row r="47" spans="6:16" x14ac:dyDescent="0.3">
      <c r="F47" s="37" t="s">
        <v>844</v>
      </c>
      <c r="G47" s="37"/>
      <c r="H47" s="37" t="s">
        <v>775</v>
      </c>
      <c r="I47" s="37"/>
      <c r="J47" s="224">
        <v>-2.3889999999999998</v>
      </c>
      <c r="K47" s="224">
        <v>-0.36699999999999999</v>
      </c>
      <c r="L47" s="224">
        <v>-2.5999999999999999E-2</v>
      </c>
      <c r="M47" s="391">
        <v>51.42</v>
      </c>
      <c r="N47" s="225">
        <v>0</v>
      </c>
      <c r="O47" s="225">
        <v>0</v>
      </c>
      <c r="P47" s="224">
        <v>0</v>
      </c>
    </row>
    <row r="48" spans="6:16" x14ac:dyDescent="0.3">
      <c r="F48" s="2"/>
      <c r="J48" s="14"/>
      <c r="K48" s="14"/>
      <c r="L48" s="14"/>
      <c r="M48" s="226"/>
      <c r="N48" s="226"/>
      <c r="O48" s="226"/>
      <c r="P48" s="14"/>
    </row>
    <row r="49" spans="4:16" x14ac:dyDescent="0.3">
      <c r="D49" s="32"/>
      <c r="E49" s="32" t="s">
        <v>808</v>
      </c>
      <c r="F49" s="2"/>
      <c r="J49" s="14"/>
      <c r="K49" s="14"/>
      <c r="L49" s="14"/>
      <c r="M49" s="226"/>
      <c r="N49" s="226"/>
      <c r="O49" s="226"/>
      <c r="P49" s="14"/>
    </row>
    <row r="50" spans="4:16" x14ac:dyDescent="0.3">
      <c r="F50" s="23" t="s">
        <v>915</v>
      </c>
      <c r="G50" s="23"/>
      <c r="H50" s="23" t="s">
        <v>450</v>
      </c>
      <c r="I50" s="23"/>
      <c r="J50" s="220">
        <f t="array" ref="J50:P81">TRANSPOSE(Rounding!J159:AO165)</f>
        <v>4.742</v>
      </c>
      <c r="K50" s="220">
        <v>0.84299999999999997</v>
      </c>
      <c r="L50" s="220">
        <v>6.2E-2</v>
      </c>
      <c r="M50" s="388">
        <v>9.31</v>
      </c>
      <c r="N50" s="221">
        <v>0</v>
      </c>
      <c r="O50" s="221">
        <v>0</v>
      </c>
      <c r="P50" s="220">
        <v>0</v>
      </c>
    </row>
    <row r="51" spans="4:16" x14ac:dyDescent="0.3">
      <c r="F51" t="s">
        <v>833</v>
      </c>
      <c r="H51" t="s">
        <v>450</v>
      </c>
      <c r="J51" s="222">
        <v>4.742</v>
      </c>
      <c r="K51" s="222">
        <v>0.84299999999999997</v>
      </c>
      <c r="L51" s="222">
        <v>6.2E-2</v>
      </c>
      <c r="M51" s="389">
        <v>0</v>
      </c>
      <c r="N51" s="223">
        <v>0</v>
      </c>
      <c r="O51" s="223">
        <v>0</v>
      </c>
      <c r="P51" s="222">
        <v>0</v>
      </c>
    </row>
    <row r="52" spans="4:16" x14ac:dyDescent="0.3">
      <c r="F52" t="s">
        <v>916</v>
      </c>
      <c r="H52" t="s">
        <v>450</v>
      </c>
      <c r="J52" s="222">
        <v>4.1479999999999997</v>
      </c>
      <c r="K52" s="222">
        <v>0.73699999999999999</v>
      </c>
      <c r="L52" s="222">
        <v>5.3999999999999999E-2</v>
      </c>
      <c r="M52" s="389">
        <v>5.16</v>
      </c>
      <c r="N52" s="223">
        <v>0</v>
      </c>
      <c r="O52" s="223">
        <v>0</v>
      </c>
      <c r="P52" s="222">
        <v>0</v>
      </c>
    </row>
    <row r="53" spans="4:16" x14ac:dyDescent="0.3">
      <c r="F53" t="s">
        <v>917</v>
      </c>
      <c r="H53" t="s">
        <v>450</v>
      </c>
      <c r="J53" s="222">
        <v>4.1479999999999997</v>
      </c>
      <c r="K53" s="222">
        <v>0.73699999999999999</v>
      </c>
      <c r="L53" s="222">
        <v>5.3999999999999999E-2</v>
      </c>
      <c r="M53" s="389">
        <v>8</v>
      </c>
      <c r="N53" s="223">
        <v>0</v>
      </c>
      <c r="O53" s="223">
        <v>0</v>
      </c>
      <c r="P53" s="222">
        <v>0</v>
      </c>
    </row>
    <row r="54" spans="4:16" x14ac:dyDescent="0.3">
      <c r="F54" t="s">
        <v>918</v>
      </c>
      <c r="H54" t="s">
        <v>450</v>
      </c>
      <c r="J54" s="222">
        <v>4.1479999999999997</v>
      </c>
      <c r="K54" s="222">
        <v>0.73699999999999999</v>
      </c>
      <c r="L54" s="222">
        <v>5.3999999999999999E-2</v>
      </c>
      <c r="M54" s="389">
        <v>20.190000000000001</v>
      </c>
      <c r="N54" s="223">
        <v>0</v>
      </c>
      <c r="O54" s="223">
        <v>0</v>
      </c>
      <c r="P54" s="222">
        <v>0</v>
      </c>
    </row>
    <row r="55" spans="4:16" x14ac:dyDescent="0.3">
      <c r="F55" t="s">
        <v>919</v>
      </c>
      <c r="H55" t="s">
        <v>450</v>
      </c>
      <c r="J55" s="222">
        <v>4.1479999999999997</v>
      </c>
      <c r="K55" s="222">
        <v>0.73699999999999999</v>
      </c>
      <c r="L55" s="222">
        <v>5.3999999999999999E-2</v>
      </c>
      <c r="M55" s="389">
        <v>42.63</v>
      </c>
      <c r="N55" s="223">
        <v>0</v>
      </c>
      <c r="O55" s="223">
        <v>0</v>
      </c>
      <c r="P55" s="222">
        <v>0</v>
      </c>
    </row>
    <row r="56" spans="4:16" x14ac:dyDescent="0.3">
      <c r="F56" t="s">
        <v>920</v>
      </c>
      <c r="H56" t="s">
        <v>450</v>
      </c>
      <c r="J56" s="222">
        <v>4.1479999999999997</v>
      </c>
      <c r="K56" s="222">
        <v>0.73699999999999999</v>
      </c>
      <c r="L56" s="222">
        <v>5.3999999999999999E-2</v>
      </c>
      <c r="M56" s="389">
        <v>121.93</v>
      </c>
      <c r="N56" s="223">
        <v>0</v>
      </c>
      <c r="O56" s="223">
        <v>0</v>
      </c>
      <c r="P56" s="222">
        <v>0</v>
      </c>
    </row>
    <row r="57" spans="4:16" x14ac:dyDescent="0.3">
      <c r="F57" t="s">
        <v>834</v>
      </c>
      <c r="H57" t="s">
        <v>450</v>
      </c>
      <c r="J57" s="222">
        <v>4.1479999999999997</v>
      </c>
      <c r="K57" s="222">
        <v>0.73699999999999999</v>
      </c>
      <c r="L57" s="222">
        <v>5.3999999999999999E-2</v>
      </c>
      <c r="M57" s="389">
        <v>0</v>
      </c>
      <c r="N57" s="223">
        <v>0</v>
      </c>
      <c r="O57" s="223">
        <v>0</v>
      </c>
      <c r="P57" s="222">
        <v>0</v>
      </c>
    </row>
    <row r="58" spans="4:16" x14ac:dyDescent="0.3">
      <c r="F58" t="s">
        <v>921</v>
      </c>
      <c r="H58" t="s">
        <v>450</v>
      </c>
      <c r="J58" s="222">
        <v>2.9980000000000002</v>
      </c>
      <c r="K58" s="222">
        <v>0.51400000000000001</v>
      </c>
      <c r="L58" s="222">
        <v>3.6999999999999998E-2</v>
      </c>
      <c r="M58" s="389">
        <v>7.99</v>
      </c>
      <c r="N58" s="223">
        <v>2.0299999999999998</v>
      </c>
      <c r="O58" s="223">
        <v>4</v>
      </c>
      <c r="P58" s="222">
        <v>0.109</v>
      </c>
    </row>
    <row r="59" spans="4:16" x14ac:dyDescent="0.3">
      <c r="F59" t="s">
        <v>922</v>
      </c>
      <c r="H59" t="s">
        <v>450</v>
      </c>
      <c r="J59" s="222">
        <v>2.9980000000000002</v>
      </c>
      <c r="K59" s="222">
        <v>0.51400000000000001</v>
      </c>
      <c r="L59" s="222">
        <v>3.6999999999999998E-2</v>
      </c>
      <c r="M59" s="389">
        <v>207.09</v>
      </c>
      <c r="N59" s="223">
        <v>2.0299999999999998</v>
      </c>
      <c r="O59" s="223">
        <v>4</v>
      </c>
      <c r="P59" s="222">
        <v>0.109</v>
      </c>
    </row>
    <row r="60" spans="4:16" x14ac:dyDescent="0.3">
      <c r="F60" t="s">
        <v>923</v>
      </c>
      <c r="H60" t="s">
        <v>450</v>
      </c>
      <c r="J60" s="222">
        <v>2.9980000000000002</v>
      </c>
      <c r="K60" s="222">
        <v>0.51400000000000001</v>
      </c>
      <c r="L60" s="222">
        <v>3.6999999999999998E-2</v>
      </c>
      <c r="M60" s="389">
        <v>349.78</v>
      </c>
      <c r="N60" s="223">
        <v>2.0299999999999998</v>
      </c>
      <c r="O60" s="223">
        <v>4</v>
      </c>
      <c r="P60" s="222">
        <v>0.109</v>
      </c>
    </row>
    <row r="61" spans="4:16" x14ac:dyDescent="0.3">
      <c r="F61" t="s">
        <v>924</v>
      </c>
      <c r="H61" t="s">
        <v>450</v>
      </c>
      <c r="J61" s="222">
        <v>2.9980000000000002</v>
      </c>
      <c r="K61" s="222">
        <v>0.51400000000000001</v>
      </c>
      <c r="L61" s="222">
        <v>3.6999999999999998E-2</v>
      </c>
      <c r="M61" s="389">
        <v>545.08000000000004</v>
      </c>
      <c r="N61" s="223">
        <v>2.0299999999999998</v>
      </c>
      <c r="O61" s="223">
        <v>4</v>
      </c>
      <c r="P61" s="222">
        <v>0.109</v>
      </c>
    </row>
    <row r="62" spans="4:16" x14ac:dyDescent="0.3">
      <c r="F62" t="s">
        <v>925</v>
      </c>
      <c r="H62" t="s">
        <v>450</v>
      </c>
      <c r="J62" s="222">
        <v>2.9980000000000002</v>
      </c>
      <c r="K62" s="222">
        <v>0.51400000000000001</v>
      </c>
      <c r="L62" s="222">
        <v>3.6999999999999998E-2</v>
      </c>
      <c r="M62" s="389">
        <v>1000.88</v>
      </c>
      <c r="N62" s="223">
        <v>2.0299999999999998</v>
      </c>
      <c r="O62" s="223">
        <v>4</v>
      </c>
      <c r="P62" s="222">
        <v>0.109</v>
      </c>
    </row>
    <row r="63" spans="4:16" x14ac:dyDescent="0.3">
      <c r="F63" t="s">
        <v>926</v>
      </c>
      <c r="H63" t="s">
        <v>450</v>
      </c>
      <c r="J63" s="227">
        <v>0</v>
      </c>
      <c r="K63" s="227">
        <v>0</v>
      </c>
      <c r="L63" s="227">
        <v>0</v>
      </c>
      <c r="M63" s="407">
        <v>0</v>
      </c>
      <c r="N63" s="349">
        <v>0</v>
      </c>
      <c r="O63" s="349">
        <v>0</v>
      </c>
      <c r="P63" s="227">
        <v>0</v>
      </c>
    </row>
    <row r="64" spans="4:16" x14ac:dyDescent="0.3">
      <c r="F64" t="s">
        <v>927</v>
      </c>
      <c r="H64" t="s">
        <v>450</v>
      </c>
      <c r="J64" s="227">
        <v>0</v>
      </c>
      <c r="K64" s="227">
        <v>0</v>
      </c>
      <c r="L64" s="227">
        <v>0</v>
      </c>
      <c r="M64" s="407">
        <v>0</v>
      </c>
      <c r="N64" s="349">
        <v>0</v>
      </c>
      <c r="O64" s="349">
        <v>0</v>
      </c>
      <c r="P64" s="227">
        <v>0</v>
      </c>
    </row>
    <row r="65" spans="6:16" x14ac:dyDescent="0.3">
      <c r="F65" s="311" t="s">
        <v>928</v>
      </c>
      <c r="H65" t="s">
        <v>450</v>
      </c>
      <c r="J65" s="348">
        <v>0</v>
      </c>
      <c r="K65" s="348">
        <v>0</v>
      </c>
      <c r="L65" s="348">
        <v>0</v>
      </c>
      <c r="M65" s="408">
        <v>0</v>
      </c>
      <c r="N65" s="350">
        <v>0</v>
      </c>
      <c r="O65" s="350">
        <v>0</v>
      </c>
      <c r="P65" s="348">
        <v>0</v>
      </c>
    </row>
    <row r="66" spans="6:16" x14ac:dyDescent="0.3">
      <c r="F66" s="311" t="s">
        <v>929</v>
      </c>
      <c r="H66" t="s">
        <v>450</v>
      </c>
      <c r="J66" s="348">
        <v>0</v>
      </c>
      <c r="K66" s="348">
        <v>0</v>
      </c>
      <c r="L66" s="348">
        <v>0</v>
      </c>
      <c r="M66" s="408">
        <v>0</v>
      </c>
      <c r="N66" s="350">
        <v>0</v>
      </c>
      <c r="O66" s="350">
        <v>0</v>
      </c>
      <c r="P66" s="348">
        <v>0</v>
      </c>
    </row>
    <row r="67" spans="6:16" x14ac:dyDescent="0.3">
      <c r="F67" s="311" t="s">
        <v>930</v>
      </c>
      <c r="H67" t="s">
        <v>450</v>
      </c>
      <c r="J67" s="348">
        <v>0</v>
      </c>
      <c r="K67" s="348">
        <v>0</v>
      </c>
      <c r="L67" s="348">
        <v>0</v>
      </c>
      <c r="M67" s="408">
        <v>0</v>
      </c>
      <c r="N67" s="350">
        <v>0</v>
      </c>
      <c r="O67" s="350">
        <v>0</v>
      </c>
      <c r="P67" s="348">
        <v>0</v>
      </c>
    </row>
    <row r="68" spans="6:16" x14ac:dyDescent="0.3">
      <c r="F68" s="311" t="s">
        <v>931</v>
      </c>
      <c r="H68" t="s">
        <v>450</v>
      </c>
      <c r="J68" s="348">
        <v>0</v>
      </c>
      <c r="K68" s="348">
        <v>0</v>
      </c>
      <c r="L68" s="348">
        <v>0</v>
      </c>
      <c r="M68" s="408">
        <v>0</v>
      </c>
      <c r="N68" s="350">
        <v>0</v>
      </c>
      <c r="O68" s="350">
        <v>0</v>
      </c>
      <c r="P68" s="348">
        <v>0</v>
      </c>
    </row>
    <row r="69" spans="6:16" x14ac:dyDescent="0.3">
      <c r="F69" s="311" t="s">
        <v>932</v>
      </c>
      <c r="H69" t="s">
        <v>450</v>
      </c>
      <c r="J69" s="348">
        <v>0</v>
      </c>
      <c r="K69" s="348">
        <v>0</v>
      </c>
      <c r="L69" s="348">
        <v>0</v>
      </c>
      <c r="M69" s="408">
        <v>0</v>
      </c>
      <c r="N69" s="350">
        <v>0</v>
      </c>
      <c r="O69" s="350">
        <v>0</v>
      </c>
      <c r="P69" s="348">
        <v>0</v>
      </c>
    </row>
    <row r="70" spans="6:16" x14ac:dyDescent="0.3">
      <c r="F70" s="311" t="s">
        <v>933</v>
      </c>
      <c r="H70" t="s">
        <v>450</v>
      </c>
      <c r="J70" s="348">
        <v>0</v>
      </c>
      <c r="K70" s="348">
        <v>0</v>
      </c>
      <c r="L70" s="348">
        <v>0</v>
      </c>
      <c r="M70" s="408">
        <v>0</v>
      </c>
      <c r="N70" s="350">
        <v>0</v>
      </c>
      <c r="O70" s="350">
        <v>0</v>
      </c>
      <c r="P70" s="348">
        <v>0</v>
      </c>
    </row>
    <row r="71" spans="6:16" x14ac:dyDescent="0.3">
      <c r="F71" s="311" t="s">
        <v>934</v>
      </c>
      <c r="H71" t="s">
        <v>450</v>
      </c>
      <c r="J71" s="348">
        <v>0</v>
      </c>
      <c r="K71" s="348">
        <v>0</v>
      </c>
      <c r="L71" s="348">
        <v>0</v>
      </c>
      <c r="M71" s="408">
        <v>0</v>
      </c>
      <c r="N71" s="350">
        <v>0</v>
      </c>
      <c r="O71" s="350">
        <v>0</v>
      </c>
      <c r="P71" s="348">
        <v>0</v>
      </c>
    </row>
    <row r="72" spans="6:16" x14ac:dyDescent="0.3">
      <c r="F72" s="311" t="s">
        <v>935</v>
      </c>
      <c r="H72" t="s">
        <v>450</v>
      </c>
      <c r="J72" s="348">
        <v>0</v>
      </c>
      <c r="K72" s="348">
        <v>0</v>
      </c>
      <c r="L72" s="348">
        <v>0</v>
      </c>
      <c r="M72" s="408">
        <v>0</v>
      </c>
      <c r="N72" s="350">
        <v>0</v>
      </c>
      <c r="O72" s="350">
        <v>0</v>
      </c>
      <c r="P72" s="348">
        <v>0</v>
      </c>
    </row>
    <row r="73" spans="6:16" x14ac:dyDescent="0.3">
      <c r="F73" s="311" t="s">
        <v>843</v>
      </c>
      <c r="H73" t="s">
        <v>450</v>
      </c>
      <c r="J73" s="346">
        <v>14.365</v>
      </c>
      <c r="K73" s="346">
        <v>2.0830000000000002</v>
      </c>
      <c r="L73" s="346">
        <v>1.337</v>
      </c>
      <c r="M73" s="390">
        <v>0</v>
      </c>
      <c r="N73" s="347">
        <v>0</v>
      </c>
      <c r="O73" s="347">
        <v>0</v>
      </c>
      <c r="P73" s="346">
        <v>0</v>
      </c>
    </row>
    <row r="74" spans="6:16" x14ac:dyDescent="0.3">
      <c r="F74" s="311" t="s">
        <v>835</v>
      </c>
      <c r="H74" t="s">
        <v>450</v>
      </c>
      <c r="J74" s="346">
        <v>-4.1550000000000002</v>
      </c>
      <c r="K74" s="346">
        <v>-0.73799999999999999</v>
      </c>
      <c r="L74" s="346">
        <v>-5.3999999999999999E-2</v>
      </c>
      <c r="M74" s="390">
        <v>0</v>
      </c>
      <c r="N74" s="347">
        <v>0</v>
      </c>
      <c r="O74" s="347">
        <v>0</v>
      </c>
      <c r="P74" s="346">
        <v>0</v>
      </c>
    </row>
    <row r="75" spans="6:16" x14ac:dyDescent="0.3">
      <c r="F75" s="311" t="s">
        <v>836</v>
      </c>
      <c r="H75" t="s">
        <v>450</v>
      </c>
      <c r="J75" s="348">
        <v>0</v>
      </c>
      <c r="K75" s="348">
        <v>0</v>
      </c>
      <c r="L75" s="348">
        <v>0</v>
      </c>
      <c r="M75" s="408">
        <v>0</v>
      </c>
      <c r="N75" s="350">
        <v>0</v>
      </c>
      <c r="O75" s="350">
        <v>0</v>
      </c>
      <c r="P75" s="348">
        <v>0</v>
      </c>
    </row>
    <row r="76" spans="6:16" x14ac:dyDescent="0.3">
      <c r="F76" s="311" t="s">
        <v>837</v>
      </c>
      <c r="H76" t="s">
        <v>450</v>
      </c>
      <c r="J76" s="346">
        <v>-4.1550000000000002</v>
      </c>
      <c r="K76" s="346">
        <v>-0.73799999999999999</v>
      </c>
      <c r="L76" s="346">
        <v>-5.3999999999999999E-2</v>
      </c>
      <c r="M76" s="390">
        <v>0</v>
      </c>
      <c r="N76" s="347">
        <v>0</v>
      </c>
      <c r="O76" s="347">
        <v>0</v>
      </c>
      <c r="P76" s="346">
        <v>0.155</v>
      </c>
    </row>
    <row r="77" spans="6:16" x14ac:dyDescent="0.3">
      <c r="F77" s="311" t="s">
        <v>846</v>
      </c>
      <c r="H77" t="s">
        <v>450</v>
      </c>
      <c r="J77" s="348">
        <v>0</v>
      </c>
      <c r="K77" s="348">
        <v>0</v>
      </c>
      <c r="L77" s="348">
        <v>0</v>
      </c>
      <c r="M77" s="408">
        <v>0</v>
      </c>
      <c r="N77" s="350">
        <v>0</v>
      </c>
      <c r="O77" s="350">
        <v>0</v>
      </c>
      <c r="P77" s="348">
        <v>0</v>
      </c>
    </row>
    <row r="78" spans="6:16" x14ac:dyDescent="0.3">
      <c r="F78" s="311" t="s">
        <v>838</v>
      </c>
      <c r="H78" t="s">
        <v>450</v>
      </c>
      <c r="J78" s="348">
        <v>0</v>
      </c>
      <c r="K78" s="348">
        <v>0</v>
      </c>
      <c r="L78" s="348">
        <v>0</v>
      </c>
      <c r="M78" s="408">
        <v>0</v>
      </c>
      <c r="N78" s="350">
        <v>0</v>
      </c>
      <c r="O78" s="350">
        <v>0</v>
      </c>
      <c r="P78" s="348">
        <v>0</v>
      </c>
    </row>
    <row r="79" spans="6:16" x14ac:dyDescent="0.3">
      <c r="F79" s="311" t="s">
        <v>845</v>
      </c>
      <c r="H79" t="s">
        <v>450</v>
      </c>
      <c r="J79" s="348">
        <v>0</v>
      </c>
      <c r="K79" s="348">
        <v>0</v>
      </c>
      <c r="L79" s="348">
        <v>0</v>
      </c>
      <c r="M79" s="408">
        <v>0</v>
      </c>
      <c r="N79" s="350">
        <v>0</v>
      </c>
      <c r="O79" s="350">
        <v>0</v>
      </c>
      <c r="P79" s="348">
        <v>0</v>
      </c>
    </row>
    <row r="80" spans="6:16" x14ac:dyDescent="0.3">
      <c r="F80" s="311" t="s">
        <v>839</v>
      </c>
      <c r="H80" t="s">
        <v>450</v>
      </c>
      <c r="J80" s="348">
        <v>0</v>
      </c>
      <c r="K80" s="348">
        <v>0</v>
      </c>
      <c r="L80" s="348">
        <v>0</v>
      </c>
      <c r="M80" s="408">
        <v>0</v>
      </c>
      <c r="N80" s="350">
        <v>0</v>
      </c>
      <c r="O80" s="350">
        <v>0</v>
      </c>
      <c r="P80" s="348">
        <v>0</v>
      </c>
    </row>
    <row r="81" spans="4:16" x14ac:dyDescent="0.3">
      <c r="F81" s="37" t="s">
        <v>844</v>
      </c>
      <c r="G81" s="37"/>
      <c r="H81" s="37" t="s">
        <v>450</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809</v>
      </c>
      <c r="M83" s="229"/>
      <c r="N83" s="229"/>
      <c r="O83" s="229"/>
    </row>
    <row r="84" spans="4:16" x14ac:dyDescent="0.3">
      <c r="F84" s="23" t="s">
        <v>915</v>
      </c>
      <c r="G84" s="23"/>
      <c r="H84" s="23" t="s">
        <v>451</v>
      </c>
      <c r="I84" s="23"/>
      <c r="J84" s="220">
        <f t="array" ref="J84:P115">TRANSPOSE(Rounding!J168:AO174)</f>
        <v>3.8079999999999998</v>
      </c>
      <c r="K84" s="220">
        <v>0.67700000000000005</v>
      </c>
      <c r="L84" s="220">
        <v>0.05</v>
      </c>
      <c r="M84" s="388">
        <v>7.49</v>
      </c>
      <c r="N84" s="221">
        <v>0</v>
      </c>
      <c r="O84" s="221">
        <v>0</v>
      </c>
      <c r="P84" s="220">
        <v>0</v>
      </c>
    </row>
    <row r="85" spans="4:16" x14ac:dyDescent="0.3">
      <c r="F85" t="s">
        <v>833</v>
      </c>
      <c r="H85" t="s">
        <v>451</v>
      </c>
      <c r="J85" s="222">
        <v>3.8079999999999998</v>
      </c>
      <c r="K85" s="222">
        <v>0.67700000000000005</v>
      </c>
      <c r="L85" s="222">
        <v>0.05</v>
      </c>
      <c r="M85" s="389">
        <v>0</v>
      </c>
      <c r="N85" s="223">
        <v>0</v>
      </c>
      <c r="O85" s="223">
        <v>0</v>
      </c>
      <c r="P85" s="222">
        <v>0</v>
      </c>
    </row>
    <row r="86" spans="4:16" x14ac:dyDescent="0.3">
      <c r="F86" t="s">
        <v>916</v>
      </c>
      <c r="H86" t="s">
        <v>451</v>
      </c>
      <c r="J86" s="222">
        <v>3.33</v>
      </c>
      <c r="K86" s="222">
        <v>0.59199999999999997</v>
      </c>
      <c r="L86" s="222">
        <v>4.2999999999999997E-2</v>
      </c>
      <c r="M86" s="389">
        <v>4.1500000000000004</v>
      </c>
      <c r="N86" s="223">
        <v>0</v>
      </c>
      <c r="O86" s="223">
        <v>0</v>
      </c>
      <c r="P86" s="222">
        <v>0</v>
      </c>
    </row>
    <row r="87" spans="4:16" x14ac:dyDescent="0.3">
      <c r="F87" t="s">
        <v>917</v>
      </c>
      <c r="H87" t="s">
        <v>451</v>
      </c>
      <c r="J87" s="222">
        <v>3.33</v>
      </c>
      <c r="K87" s="222">
        <v>0.59199999999999997</v>
      </c>
      <c r="L87" s="222">
        <v>4.2999999999999997E-2</v>
      </c>
      <c r="M87" s="389">
        <v>6.43</v>
      </c>
      <c r="N87" s="223">
        <v>0</v>
      </c>
      <c r="O87" s="223">
        <v>0</v>
      </c>
      <c r="P87" s="222">
        <v>0</v>
      </c>
    </row>
    <row r="88" spans="4:16" x14ac:dyDescent="0.3">
      <c r="F88" t="s">
        <v>918</v>
      </c>
      <c r="H88" t="s">
        <v>451</v>
      </c>
      <c r="J88" s="222">
        <v>3.33</v>
      </c>
      <c r="K88" s="222">
        <v>0.59199999999999997</v>
      </c>
      <c r="L88" s="222">
        <v>4.2999999999999997E-2</v>
      </c>
      <c r="M88" s="389">
        <v>16.22</v>
      </c>
      <c r="N88" s="223">
        <v>0</v>
      </c>
      <c r="O88" s="223">
        <v>0</v>
      </c>
      <c r="P88" s="222">
        <v>0</v>
      </c>
    </row>
    <row r="89" spans="4:16" x14ac:dyDescent="0.3">
      <c r="F89" t="s">
        <v>919</v>
      </c>
      <c r="H89" t="s">
        <v>451</v>
      </c>
      <c r="J89" s="222">
        <v>3.33</v>
      </c>
      <c r="K89" s="222">
        <v>0.59199999999999997</v>
      </c>
      <c r="L89" s="222">
        <v>4.2999999999999997E-2</v>
      </c>
      <c r="M89" s="389">
        <v>34.229999999999997</v>
      </c>
      <c r="N89" s="223">
        <v>0</v>
      </c>
      <c r="O89" s="223">
        <v>0</v>
      </c>
      <c r="P89" s="222">
        <v>0</v>
      </c>
    </row>
    <row r="90" spans="4:16" x14ac:dyDescent="0.3">
      <c r="F90" t="s">
        <v>920</v>
      </c>
      <c r="H90" t="s">
        <v>451</v>
      </c>
      <c r="J90" s="222">
        <v>3.33</v>
      </c>
      <c r="K90" s="222">
        <v>0.59199999999999997</v>
      </c>
      <c r="L90" s="222">
        <v>4.2999999999999997E-2</v>
      </c>
      <c r="M90" s="389">
        <v>97.91</v>
      </c>
      <c r="N90" s="223">
        <v>0</v>
      </c>
      <c r="O90" s="223">
        <v>0</v>
      </c>
      <c r="P90" s="222">
        <v>0</v>
      </c>
    </row>
    <row r="91" spans="4:16" x14ac:dyDescent="0.3">
      <c r="F91" t="s">
        <v>834</v>
      </c>
      <c r="H91" t="s">
        <v>451</v>
      </c>
      <c r="J91" s="222">
        <v>3.33</v>
      </c>
      <c r="K91" s="222">
        <v>0.59199999999999997</v>
      </c>
      <c r="L91" s="222">
        <v>4.2999999999999997E-2</v>
      </c>
      <c r="M91" s="389">
        <v>0</v>
      </c>
      <c r="N91" s="223">
        <v>0</v>
      </c>
      <c r="O91" s="223">
        <v>0</v>
      </c>
      <c r="P91" s="222">
        <v>0</v>
      </c>
    </row>
    <row r="92" spans="4:16" x14ac:dyDescent="0.3">
      <c r="F92" t="s">
        <v>921</v>
      </c>
      <c r="H92" t="s">
        <v>451</v>
      </c>
      <c r="J92" s="222">
        <v>2.4079999999999999</v>
      </c>
      <c r="K92" s="222">
        <v>0.41299999999999998</v>
      </c>
      <c r="L92" s="222">
        <v>0.03</v>
      </c>
      <c r="M92" s="389">
        <v>6.42</v>
      </c>
      <c r="N92" s="223">
        <v>1.63</v>
      </c>
      <c r="O92" s="223">
        <v>3.21</v>
      </c>
      <c r="P92" s="222">
        <v>8.6999999999999994E-2</v>
      </c>
    </row>
    <row r="93" spans="4:16" x14ac:dyDescent="0.3">
      <c r="F93" t="s">
        <v>922</v>
      </c>
      <c r="H93" t="s">
        <v>451</v>
      </c>
      <c r="J93" s="222">
        <v>2.4079999999999999</v>
      </c>
      <c r="K93" s="222">
        <v>0.41299999999999998</v>
      </c>
      <c r="L93" s="222">
        <v>0.03</v>
      </c>
      <c r="M93" s="389">
        <v>166.29</v>
      </c>
      <c r="N93" s="223">
        <v>1.63</v>
      </c>
      <c r="O93" s="223">
        <v>3.21</v>
      </c>
      <c r="P93" s="222">
        <v>8.6999999999999994E-2</v>
      </c>
    </row>
    <row r="94" spans="4:16" x14ac:dyDescent="0.3">
      <c r="F94" t="s">
        <v>923</v>
      </c>
      <c r="H94" t="s">
        <v>451</v>
      </c>
      <c r="J94" s="222">
        <v>2.4079999999999999</v>
      </c>
      <c r="K94" s="222">
        <v>0.41299999999999998</v>
      </c>
      <c r="L94" s="222">
        <v>0.03</v>
      </c>
      <c r="M94" s="389">
        <v>280.85000000000002</v>
      </c>
      <c r="N94" s="223">
        <v>1.63</v>
      </c>
      <c r="O94" s="223">
        <v>3.21</v>
      </c>
      <c r="P94" s="222">
        <v>8.6999999999999994E-2</v>
      </c>
    </row>
    <row r="95" spans="4:16" x14ac:dyDescent="0.3">
      <c r="F95" t="s">
        <v>924</v>
      </c>
      <c r="H95" t="s">
        <v>451</v>
      </c>
      <c r="J95" s="222">
        <v>2.4079999999999999</v>
      </c>
      <c r="K95" s="222">
        <v>0.41299999999999998</v>
      </c>
      <c r="L95" s="222">
        <v>0.03</v>
      </c>
      <c r="M95" s="389">
        <v>437.67</v>
      </c>
      <c r="N95" s="223">
        <v>1.63</v>
      </c>
      <c r="O95" s="223">
        <v>3.21</v>
      </c>
      <c r="P95" s="222">
        <v>8.6999999999999994E-2</v>
      </c>
    </row>
    <row r="96" spans="4:16" x14ac:dyDescent="0.3">
      <c r="F96" t="s">
        <v>925</v>
      </c>
      <c r="H96" t="s">
        <v>451</v>
      </c>
      <c r="J96" s="222">
        <v>2.4079999999999999</v>
      </c>
      <c r="K96" s="222">
        <v>0.41299999999999998</v>
      </c>
      <c r="L96" s="222">
        <v>0.03</v>
      </c>
      <c r="M96" s="389">
        <v>803.65</v>
      </c>
      <c r="N96" s="223">
        <v>1.63</v>
      </c>
      <c r="O96" s="223">
        <v>3.21</v>
      </c>
      <c r="P96" s="222">
        <v>8.6999999999999994E-2</v>
      </c>
    </row>
    <row r="97" spans="6:16" x14ac:dyDescent="0.3">
      <c r="F97" t="s">
        <v>926</v>
      </c>
      <c r="H97" t="s">
        <v>451</v>
      </c>
      <c r="J97" s="222">
        <v>2.423</v>
      </c>
      <c r="K97" s="222">
        <v>0.38100000000000001</v>
      </c>
      <c r="L97" s="222">
        <v>2.7E-2</v>
      </c>
      <c r="M97" s="389">
        <v>7.32</v>
      </c>
      <c r="N97" s="223">
        <v>2.91</v>
      </c>
      <c r="O97" s="223">
        <v>4.38</v>
      </c>
      <c r="P97" s="222">
        <v>8.8999999999999996E-2</v>
      </c>
    </row>
    <row r="98" spans="6:16" x14ac:dyDescent="0.3">
      <c r="F98" t="s">
        <v>927</v>
      </c>
      <c r="H98" t="s">
        <v>451</v>
      </c>
      <c r="J98" s="222">
        <v>2.423</v>
      </c>
      <c r="K98" s="222">
        <v>0.38100000000000001</v>
      </c>
      <c r="L98" s="222">
        <v>2.7E-2</v>
      </c>
      <c r="M98" s="389">
        <v>240.8</v>
      </c>
      <c r="N98" s="223">
        <v>2.91</v>
      </c>
      <c r="O98" s="223">
        <v>4.38</v>
      </c>
      <c r="P98" s="222">
        <v>8.8999999999999996E-2</v>
      </c>
    </row>
    <row r="99" spans="6:16" x14ac:dyDescent="0.3">
      <c r="F99" s="311" t="s">
        <v>928</v>
      </c>
      <c r="H99" t="s">
        <v>451</v>
      </c>
      <c r="J99" s="346">
        <v>2.423</v>
      </c>
      <c r="K99" s="346">
        <v>0.38100000000000001</v>
      </c>
      <c r="L99" s="346">
        <v>2.7E-2</v>
      </c>
      <c r="M99" s="390">
        <v>408.14</v>
      </c>
      <c r="N99" s="347">
        <v>2.91</v>
      </c>
      <c r="O99" s="347">
        <v>4.38</v>
      </c>
      <c r="P99" s="346">
        <v>8.8999999999999996E-2</v>
      </c>
    </row>
    <row r="100" spans="6:16" x14ac:dyDescent="0.3">
      <c r="F100" s="311" t="s">
        <v>929</v>
      </c>
      <c r="H100" t="s">
        <v>451</v>
      </c>
      <c r="J100" s="346">
        <v>2.423</v>
      </c>
      <c r="K100" s="346">
        <v>0.38100000000000001</v>
      </c>
      <c r="L100" s="346">
        <v>2.7E-2</v>
      </c>
      <c r="M100" s="390">
        <v>637.17999999999995</v>
      </c>
      <c r="N100" s="347">
        <v>2.91</v>
      </c>
      <c r="O100" s="347">
        <v>4.38</v>
      </c>
      <c r="P100" s="346">
        <v>8.8999999999999996E-2</v>
      </c>
    </row>
    <row r="101" spans="6:16" x14ac:dyDescent="0.3">
      <c r="F101" s="311" t="s">
        <v>930</v>
      </c>
      <c r="H101" t="s">
        <v>451</v>
      </c>
      <c r="J101" s="346">
        <v>2.423</v>
      </c>
      <c r="K101" s="346">
        <v>0.38100000000000001</v>
      </c>
      <c r="L101" s="346">
        <v>2.7E-2</v>
      </c>
      <c r="M101" s="390">
        <v>1171.69</v>
      </c>
      <c r="N101" s="347">
        <v>2.91</v>
      </c>
      <c r="O101" s="347">
        <v>4.38</v>
      </c>
      <c r="P101" s="346">
        <v>8.8999999999999996E-2</v>
      </c>
    </row>
    <row r="102" spans="6:16" x14ac:dyDescent="0.3">
      <c r="F102" s="311" t="s">
        <v>931</v>
      </c>
      <c r="H102" t="s">
        <v>451</v>
      </c>
      <c r="J102" s="346">
        <v>1.6479999999999999</v>
      </c>
      <c r="K102" s="346">
        <v>0.221</v>
      </c>
      <c r="L102" s="346">
        <v>1.4999999999999999E-2</v>
      </c>
      <c r="M102" s="390">
        <v>76.17</v>
      </c>
      <c r="N102" s="347">
        <v>4</v>
      </c>
      <c r="O102" s="347">
        <v>5.78</v>
      </c>
      <c r="P102" s="346">
        <v>5.1999999999999998E-2</v>
      </c>
    </row>
    <row r="103" spans="6:16" x14ac:dyDescent="0.3">
      <c r="F103" s="311" t="s">
        <v>932</v>
      </c>
      <c r="H103" t="s">
        <v>451</v>
      </c>
      <c r="J103" s="346">
        <v>1.6479999999999999</v>
      </c>
      <c r="K103" s="346">
        <v>0.221</v>
      </c>
      <c r="L103" s="346">
        <v>1.4999999999999999E-2</v>
      </c>
      <c r="M103" s="390">
        <v>1189.93</v>
      </c>
      <c r="N103" s="347">
        <v>4</v>
      </c>
      <c r="O103" s="347">
        <v>5.78</v>
      </c>
      <c r="P103" s="346">
        <v>5.1999999999999998E-2</v>
      </c>
    </row>
    <row r="104" spans="6:16" x14ac:dyDescent="0.3">
      <c r="F104" s="311" t="s">
        <v>933</v>
      </c>
      <c r="H104" t="s">
        <v>451</v>
      </c>
      <c r="J104" s="346">
        <v>1.6479999999999999</v>
      </c>
      <c r="K104" s="346">
        <v>0.221</v>
      </c>
      <c r="L104" s="346">
        <v>1.4999999999999999E-2</v>
      </c>
      <c r="M104" s="390">
        <v>3987.7</v>
      </c>
      <c r="N104" s="347">
        <v>4</v>
      </c>
      <c r="O104" s="347">
        <v>5.78</v>
      </c>
      <c r="P104" s="346">
        <v>5.1999999999999998E-2</v>
      </c>
    </row>
    <row r="105" spans="6:16" x14ac:dyDescent="0.3">
      <c r="F105" s="311" t="s">
        <v>934</v>
      </c>
      <c r="H105" t="s">
        <v>451</v>
      </c>
      <c r="J105" s="346">
        <v>1.6479999999999999</v>
      </c>
      <c r="K105" s="346">
        <v>0.221</v>
      </c>
      <c r="L105" s="346">
        <v>1.4999999999999999E-2</v>
      </c>
      <c r="M105" s="390">
        <v>8732.4699999999993</v>
      </c>
      <c r="N105" s="347">
        <v>4</v>
      </c>
      <c r="O105" s="347">
        <v>5.78</v>
      </c>
      <c r="P105" s="346">
        <v>5.1999999999999998E-2</v>
      </c>
    </row>
    <row r="106" spans="6:16" x14ac:dyDescent="0.3">
      <c r="F106" s="311" t="s">
        <v>935</v>
      </c>
      <c r="H106" t="s">
        <v>451</v>
      </c>
      <c r="J106" s="346">
        <v>1.6479999999999999</v>
      </c>
      <c r="K106" s="346">
        <v>0.221</v>
      </c>
      <c r="L106" s="346">
        <v>1.4999999999999999E-2</v>
      </c>
      <c r="M106" s="390">
        <v>22615.23</v>
      </c>
      <c r="N106" s="347">
        <v>4</v>
      </c>
      <c r="O106" s="347">
        <v>5.78</v>
      </c>
      <c r="P106" s="346">
        <v>5.1999999999999998E-2</v>
      </c>
    </row>
    <row r="107" spans="6:16" x14ac:dyDescent="0.3">
      <c r="F107" s="311" t="s">
        <v>843</v>
      </c>
      <c r="H107" t="s">
        <v>451</v>
      </c>
      <c r="J107" s="346">
        <v>11.534000000000001</v>
      </c>
      <c r="K107" s="346">
        <v>1.673</v>
      </c>
      <c r="L107" s="346">
        <v>1.0740000000000001</v>
      </c>
      <c r="M107" s="390">
        <v>0</v>
      </c>
      <c r="N107" s="347">
        <v>0</v>
      </c>
      <c r="O107" s="347">
        <v>0</v>
      </c>
      <c r="P107" s="346">
        <v>0</v>
      </c>
    </row>
    <row r="108" spans="6:16" x14ac:dyDescent="0.3">
      <c r="F108" s="311" t="s">
        <v>835</v>
      </c>
      <c r="H108" t="s">
        <v>451</v>
      </c>
      <c r="J108" s="346">
        <v>-4.1550000000000002</v>
      </c>
      <c r="K108" s="346">
        <v>-0.73799999999999999</v>
      </c>
      <c r="L108" s="346">
        <v>-5.3999999999999999E-2</v>
      </c>
      <c r="M108" s="390">
        <v>0</v>
      </c>
      <c r="N108" s="347">
        <v>0</v>
      </c>
      <c r="O108" s="347">
        <v>0</v>
      </c>
      <c r="P108" s="346">
        <v>0</v>
      </c>
    </row>
    <row r="109" spans="6:16" x14ac:dyDescent="0.3">
      <c r="F109" s="311" t="s">
        <v>836</v>
      </c>
      <c r="H109" t="s">
        <v>451</v>
      </c>
      <c r="J109" s="346">
        <v>-3.6520000000000001</v>
      </c>
      <c r="K109" s="346">
        <v>-0.63500000000000001</v>
      </c>
      <c r="L109" s="346">
        <v>-4.5999999999999999E-2</v>
      </c>
      <c r="M109" s="390">
        <v>0</v>
      </c>
      <c r="N109" s="347">
        <v>0</v>
      </c>
      <c r="O109" s="347">
        <v>0</v>
      </c>
      <c r="P109" s="346">
        <v>0</v>
      </c>
    </row>
    <row r="110" spans="6:16" x14ac:dyDescent="0.3">
      <c r="F110" s="311" t="s">
        <v>837</v>
      </c>
      <c r="H110" t="s">
        <v>451</v>
      </c>
      <c r="J110" s="346">
        <v>-4.1550000000000002</v>
      </c>
      <c r="K110" s="346">
        <v>-0.73799999999999999</v>
      </c>
      <c r="L110" s="346">
        <v>-5.3999999999999999E-2</v>
      </c>
      <c r="M110" s="390">
        <v>0</v>
      </c>
      <c r="N110" s="347">
        <v>0</v>
      </c>
      <c r="O110" s="347">
        <v>0</v>
      </c>
      <c r="P110" s="346">
        <v>0.155</v>
      </c>
    </row>
    <row r="111" spans="6:16" x14ac:dyDescent="0.3">
      <c r="F111" s="311" t="s">
        <v>846</v>
      </c>
      <c r="H111" t="s">
        <v>451</v>
      </c>
      <c r="J111" s="348">
        <v>0</v>
      </c>
      <c r="K111" s="348">
        <v>0</v>
      </c>
      <c r="L111" s="348">
        <v>0</v>
      </c>
      <c r="M111" s="408">
        <v>0</v>
      </c>
      <c r="N111" s="350">
        <v>0</v>
      </c>
      <c r="O111" s="350">
        <v>0</v>
      </c>
      <c r="P111" s="348">
        <v>0</v>
      </c>
    </row>
    <row r="112" spans="6:16" x14ac:dyDescent="0.3">
      <c r="F112" s="311" t="s">
        <v>838</v>
      </c>
      <c r="H112" t="s">
        <v>451</v>
      </c>
      <c r="J112" s="346">
        <v>-3.6520000000000001</v>
      </c>
      <c r="K112" s="346">
        <v>-0.63500000000000001</v>
      </c>
      <c r="L112" s="346">
        <v>-4.5999999999999999E-2</v>
      </c>
      <c r="M112" s="390">
        <v>0</v>
      </c>
      <c r="N112" s="347">
        <v>0</v>
      </c>
      <c r="O112" s="347">
        <v>0</v>
      </c>
      <c r="P112" s="346">
        <v>0.13100000000000001</v>
      </c>
    </row>
    <row r="113" spans="2:19" x14ac:dyDescent="0.3">
      <c r="F113" s="311" t="s">
        <v>845</v>
      </c>
      <c r="H113" t="s">
        <v>451</v>
      </c>
      <c r="J113" s="348">
        <v>0</v>
      </c>
      <c r="K113" s="348">
        <v>0</v>
      </c>
      <c r="L113" s="348">
        <v>0</v>
      </c>
      <c r="M113" s="408">
        <v>0</v>
      </c>
      <c r="N113" s="350">
        <v>0</v>
      </c>
      <c r="O113" s="350">
        <v>0</v>
      </c>
      <c r="P113" s="348">
        <v>0</v>
      </c>
    </row>
    <row r="114" spans="2:19" x14ac:dyDescent="0.3">
      <c r="F114" s="311" t="s">
        <v>839</v>
      </c>
      <c r="H114" t="s">
        <v>451</v>
      </c>
      <c r="J114" s="346">
        <v>-2.3889999999999998</v>
      </c>
      <c r="K114" s="346">
        <v>-0.36699999999999999</v>
      </c>
      <c r="L114" s="346">
        <v>-2.5999999999999999E-2</v>
      </c>
      <c r="M114" s="390">
        <v>0</v>
      </c>
      <c r="N114" s="347">
        <v>0</v>
      </c>
      <c r="O114" s="347">
        <v>0</v>
      </c>
      <c r="P114" s="346">
        <v>0.105</v>
      </c>
    </row>
    <row r="115" spans="2:19" x14ac:dyDescent="0.3">
      <c r="F115" s="37" t="s">
        <v>844</v>
      </c>
      <c r="G115" s="37"/>
      <c r="H115" s="37" t="s">
        <v>451</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233</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234</v>
      </c>
      <c r="G119" s="6" t="s">
        <v>57</v>
      </c>
      <c r="H119" s="103">
        <f t="array" ref="H119">SUM(IF(ISERROR(J16:P99), 1))</f>
        <v>0</v>
      </c>
      <c r="M119" s="229"/>
      <c r="N119" s="229"/>
      <c r="O119" s="229"/>
    </row>
    <row r="120" spans="2:19" x14ac:dyDescent="0.3">
      <c r="M120" s="229"/>
      <c r="N120" s="229"/>
      <c r="O120" s="229"/>
    </row>
    <row r="121" spans="2:19" x14ac:dyDescent="0.3">
      <c r="B121" s="30" t="s">
        <v>108</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24"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[enter DNO name] - [enter data version name]</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144</v>
      </c>
      <c r="C5" s="60"/>
      <c r="D5" s="60"/>
      <c r="E5" s="60"/>
      <c r="F5" s="60"/>
      <c r="G5" s="61" t="s">
        <v>145</v>
      </c>
      <c r="H5" s="93" t="s">
        <v>146</v>
      </c>
      <c r="AN5" s="61" t="s">
        <v>147</v>
      </c>
    </row>
    <row r="7" spans="1:40" x14ac:dyDescent="0.3">
      <c r="B7" s="30" t="s">
        <v>12</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810</v>
      </c>
      <c r="E9"/>
    </row>
    <row r="10" spans="1:40" x14ac:dyDescent="0.3">
      <c r="C10" s="29" t="s">
        <v>811</v>
      </c>
      <c r="E10"/>
    </row>
    <row r="12" spans="1:40" x14ac:dyDescent="0.3">
      <c r="B12" s="30" t="s">
        <v>812</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813</v>
      </c>
      <c r="E16"/>
    </row>
    <row r="17" spans="2:40" x14ac:dyDescent="0.3">
      <c r="D17" s="29"/>
      <c r="E17"/>
    </row>
    <row r="18" spans="2:40" x14ac:dyDescent="0.3">
      <c r="E18" s="32" t="s">
        <v>814</v>
      </c>
    </row>
    <row r="19" spans="2:40" x14ac:dyDescent="0.3">
      <c r="F19" s="64" t="s">
        <v>194</v>
      </c>
      <c r="G19" s="23" t="s">
        <v>279</v>
      </c>
      <c r="H19" s="232">
        <f t="array" ref="H19:H23">TRANSPOSE('Unit costs'!L108:P108)</f>
        <v>480846901.7579394</v>
      </c>
    </row>
    <row r="20" spans="2:40" x14ac:dyDescent="0.3">
      <c r="E20"/>
      <c r="F20" s="28" t="s">
        <v>195</v>
      </c>
      <c r="G20" t="s">
        <v>279</v>
      </c>
      <c r="H20" s="233">
        <v>249665046.79930994</v>
      </c>
    </row>
    <row r="21" spans="2:40" x14ac:dyDescent="0.3">
      <c r="E21"/>
      <c r="F21" s="28" t="s">
        <v>196</v>
      </c>
      <c r="G21" t="s">
        <v>279</v>
      </c>
      <c r="H21" s="233">
        <v>330797759.61038488</v>
      </c>
    </row>
    <row r="22" spans="2:40" x14ac:dyDescent="0.3">
      <c r="E22"/>
      <c r="F22" s="28" t="s">
        <v>197</v>
      </c>
      <c r="G22" t="s">
        <v>279</v>
      </c>
      <c r="H22" s="233">
        <v>679449104.61468136</v>
      </c>
    </row>
    <row r="23" spans="2:40" x14ac:dyDescent="0.3">
      <c r="E23"/>
      <c r="F23" s="67" t="s">
        <v>198</v>
      </c>
      <c r="G23" s="37" t="s">
        <v>279</v>
      </c>
      <c r="H23" s="234">
        <v>59319745.797171734</v>
      </c>
    </row>
    <row r="25" spans="2:40" x14ac:dyDescent="0.3">
      <c r="B25" s="30" t="s">
        <v>815</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903</v>
      </c>
      <c r="E29"/>
    </row>
    <row r="31" spans="2:40" ht="43.2" x14ac:dyDescent="0.3">
      <c r="C31" s="235"/>
      <c r="E31" s="32" t="s">
        <v>816</v>
      </c>
      <c r="J31" s="236" t="s">
        <v>915</v>
      </c>
      <c r="K31" s="236" t="s">
        <v>833</v>
      </c>
      <c r="L31" s="236" t="s">
        <v>916</v>
      </c>
      <c r="M31" s="236" t="s">
        <v>917</v>
      </c>
      <c r="N31" s="236" t="s">
        <v>918</v>
      </c>
      <c r="O31" s="236" t="s">
        <v>919</v>
      </c>
      <c r="P31" s="236" t="s">
        <v>920</v>
      </c>
      <c r="Q31" s="236" t="s">
        <v>834</v>
      </c>
      <c r="R31" s="236" t="s">
        <v>921</v>
      </c>
      <c r="S31" s="236" t="s">
        <v>922</v>
      </c>
      <c r="T31" s="236" t="s">
        <v>923</v>
      </c>
      <c r="U31" s="236" t="s">
        <v>924</v>
      </c>
      <c r="V31" s="236" t="s">
        <v>925</v>
      </c>
      <c r="W31" s="236" t="s">
        <v>926</v>
      </c>
      <c r="X31" s="236" t="s">
        <v>927</v>
      </c>
      <c r="Y31" s="236" t="s">
        <v>928</v>
      </c>
      <c r="Z31" s="236" t="s">
        <v>929</v>
      </c>
      <c r="AA31" s="236" t="s">
        <v>930</v>
      </c>
      <c r="AB31" s="236" t="s">
        <v>931</v>
      </c>
      <c r="AC31" s="236" t="s">
        <v>932</v>
      </c>
      <c r="AD31" s="236" t="s">
        <v>933</v>
      </c>
      <c r="AE31" s="236" t="s">
        <v>934</v>
      </c>
      <c r="AF31" s="236" t="s">
        <v>935</v>
      </c>
      <c r="AG31" s="236" t="s">
        <v>843</v>
      </c>
      <c r="AH31" s="236" t="s">
        <v>835</v>
      </c>
      <c r="AI31" s="236" t="s">
        <v>836</v>
      </c>
      <c r="AJ31" s="236" t="s">
        <v>837</v>
      </c>
      <c r="AK31" s="236" t="s">
        <v>838</v>
      </c>
      <c r="AL31" s="236" t="s">
        <v>839</v>
      </c>
    </row>
    <row r="32" spans="2:40" x14ac:dyDescent="0.3">
      <c r="C32" s="235"/>
      <c r="D32"/>
      <c r="F32" s="237" t="s">
        <v>158</v>
      </c>
      <c r="G32" s="237" t="s">
        <v>271</v>
      </c>
      <c r="H32" s="266" t="s">
        <v>775</v>
      </c>
      <c r="I32" s="266"/>
      <c r="J32" s="285">
        <f>Rounding!J110</f>
        <v>6.8031184945698344</v>
      </c>
      <c r="K32" s="285">
        <f>Rounding!K110</f>
        <v>6.8031184945698344</v>
      </c>
      <c r="L32" s="285">
        <f>Rounding!L110</f>
        <v>5.950137818851168</v>
      </c>
      <c r="M32" s="285">
        <f>Rounding!M110</f>
        <v>5.950137818851168</v>
      </c>
      <c r="N32" s="285">
        <f>Rounding!N110</f>
        <v>5.950137818851168</v>
      </c>
      <c r="O32" s="285">
        <f>Rounding!O110</f>
        <v>5.950137818851168</v>
      </c>
      <c r="P32" s="285">
        <f>Rounding!P110</f>
        <v>5.950137818851168</v>
      </c>
      <c r="Q32" s="285">
        <f>Rounding!Q110</f>
        <v>5.950137818851168</v>
      </c>
      <c r="R32" s="285">
        <f>Rounding!R110</f>
        <v>4.3014561753217393</v>
      </c>
      <c r="S32" s="285">
        <f>Rounding!S110</f>
        <v>4.3014561753217393</v>
      </c>
      <c r="T32" s="285">
        <f>Rounding!T110</f>
        <v>4.3014561753217393</v>
      </c>
      <c r="U32" s="285">
        <f>Rounding!U110</f>
        <v>4.3014561753217393</v>
      </c>
      <c r="V32" s="285">
        <f>Rounding!V110</f>
        <v>4.3014561753217393</v>
      </c>
      <c r="W32" s="285">
        <f>Rounding!W110</f>
        <v>2.9643341955680929</v>
      </c>
      <c r="X32" s="285">
        <f>Rounding!X110</f>
        <v>2.9643341955680929</v>
      </c>
      <c r="Y32" s="285">
        <f>Rounding!Y110</f>
        <v>2.9643341955680929</v>
      </c>
      <c r="Z32" s="285">
        <f>Rounding!Z110</f>
        <v>2.9643341955680929</v>
      </c>
      <c r="AA32" s="285">
        <f>Rounding!AA110</f>
        <v>2.9643341955680929</v>
      </c>
      <c r="AB32" s="285">
        <f>Rounding!AB110</f>
        <v>1.7784199069160906</v>
      </c>
      <c r="AC32" s="285">
        <f>Rounding!AC110</f>
        <v>1.7784199069160906</v>
      </c>
      <c r="AD32" s="285">
        <f>Rounding!AD110</f>
        <v>1.7784199069160906</v>
      </c>
      <c r="AE32" s="285">
        <f>Rounding!AE110</f>
        <v>1.7784199069160906</v>
      </c>
      <c r="AF32" s="285">
        <f>Rounding!AF110</f>
        <v>1.7784199069160906</v>
      </c>
      <c r="AG32" s="285">
        <f>Rounding!AG110</f>
        <v>20.60759766115908</v>
      </c>
      <c r="AH32" s="285">
        <f>Rounding!AH110</f>
        <v>-4.1547510698665358</v>
      </c>
      <c r="AI32" s="285">
        <f>Rounding!AI110</f>
        <v>-3.651777976005032</v>
      </c>
      <c r="AJ32" s="285">
        <f>Rounding!AJ110</f>
        <v>-4.1547510698665358</v>
      </c>
      <c r="AK32" s="285">
        <f>Rounding!AL110</f>
        <v>-3.651777976005032</v>
      </c>
      <c r="AL32" s="285">
        <f>Rounding!AN110</f>
        <v>-2.3894293200408447</v>
      </c>
    </row>
    <row r="33" spans="3:40" x14ac:dyDescent="0.3">
      <c r="C33" s="235"/>
      <c r="D33"/>
      <c r="F33" s="238" t="s">
        <v>159</v>
      </c>
      <c r="G33" s="238" t="s">
        <v>271</v>
      </c>
      <c r="H33" s="267" t="s">
        <v>775</v>
      </c>
      <c r="I33" s="267"/>
      <c r="J33" s="380">
        <f>Rounding!J111</f>
        <v>1.2089336063668195</v>
      </c>
      <c r="K33" s="380">
        <f>Rounding!K111</f>
        <v>1.2089336063668195</v>
      </c>
      <c r="L33" s="380">
        <f>Rounding!L111</f>
        <v>1.0573565016492015</v>
      </c>
      <c r="M33" s="380">
        <f>Rounding!M111</f>
        <v>1.0573565016492015</v>
      </c>
      <c r="N33" s="380">
        <f>Rounding!N111</f>
        <v>1.0573565016492015</v>
      </c>
      <c r="O33" s="380">
        <f>Rounding!O111</f>
        <v>1.0573565016492015</v>
      </c>
      <c r="P33" s="380">
        <f>Rounding!P111</f>
        <v>1.0573565016492015</v>
      </c>
      <c r="Q33" s="380">
        <f>Rounding!Q111</f>
        <v>1.0573565016492015</v>
      </c>
      <c r="R33" s="380">
        <f>Rounding!R111</f>
        <v>0.73700946582715976</v>
      </c>
      <c r="S33" s="380">
        <f>Rounding!S111</f>
        <v>0.73700946582715976</v>
      </c>
      <c r="T33" s="380">
        <f>Rounding!T111</f>
        <v>0.73700946582715976</v>
      </c>
      <c r="U33" s="380">
        <f>Rounding!U111</f>
        <v>0.73700946582715976</v>
      </c>
      <c r="V33" s="380">
        <f>Rounding!V111</f>
        <v>0.73700946582715976</v>
      </c>
      <c r="W33" s="380">
        <f>Rounding!W111</f>
        <v>0.46633886885364767</v>
      </c>
      <c r="X33" s="380">
        <f>Rounding!X111</f>
        <v>0.46633886885364767</v>
      </c>
      <c r="Y33" s="380">
        <f>Rounding!Y111</f>
        <v>0.46633886885364767</v>
      </c>
      <c r="Z33" s="380">
        <f>Rounding!Z111</f>
        <v>0.46633886885364767</v>
      </c>
      <c r="AA33" s="380">
        <f>Rounding!AA111</f>
        <v>0.46633886885364767</v>
      </c>
      <c r="AB33" s="380">
        <f>Rounding!AB111</f>
        <v>0.23872608992625513</v>
      </c>
      <c r="AC33" s="380">
        <f>Rounding!AC111</f>
        <v>0.23872608992625513</v>
      </c>
      <c r="AD33" s="380">
        <f>Rounding!AD111</f>
        <v>0.23872608992625513</v>
      </c>
      <c r="AE33" s="380">
        <f>Rounding!AE111</f>
        <v>0.23872608992625513</v>
      </c>
      <c r="AF33" s="380">
        <f>Rounding!AF111</f>
        <v>0.23872608992625513</v>
      </c>
      <c r="AG33" s="380">
        <f>Rounding!AG111</f>
        <v>2.9882322241837067</v>
      </c>
      <c r="AH33" s="380">
        <f>Rounding!AH111</f>
        <v>-0.73831114340567561</v>
      </c>
      <c r="AI33" s="380">
        <f>Rounding!AI111</f>
        <v>-0.63476438779794908</v>
      </c>
      <c r="AJ33" s="380">
        <f>Rounding!AJ111</f>
        <v>-0.73831114340567561</v>
      </c>
      <c r="AK33" s="380">
        <f>Rounding!AL111</f>
        <v>-0.63476438779794908</v>
      </c>
      <c r="AL33" s="380">
        <f>Rounding!AN111</f>
        <v>-0.36745013544043381</v>
      </c>
    </row>
    <row r="34" spans="3:40" x14ac:dyDescent="0.3">
      <c r="C34" s="235"/>
      <c r="D34"/>
      <c r="F34" s="238" t="s">
        <v>160</v>
      </c>
      <c r="G34" s="238" t="s">
        <v>271</v>
      </c>
      <c r="H34" s="267" t="s">
        <v>775</v>
      </c>
      <c r="I34" s="267"/>
      <c r="J34" s="380">
        <f>Rounding!J112</f>
        <v>8.8763059232267655E-2</v>
      </c>
      <c r="K34" s="380">
        <f>Rounding!K112</f>
        <v>8.8763059232267655E-2</v>
      </c>
      <c r="L34" s="380">
        <f>Rounding!L112</f>
        <v>7.7633872771201456E-2</v>
      </c>
      <c r="M34" s="380">
        <f>Rounding!M112</f>
        <v>7.7633872771201456E-2</v>
      </c>
      <c r="N34" s="380">
        <f>Rounding!N112</f>
        <v>7.7633872771201456E-2</v>
      </c>
      <c r="O34" s="380">
        <f>Rounding!O112</f>
        <v>7.7633872771201456E-2</v>
      </c>
      <c r="P34" s="380">
        <f>Rounding!P112</f>
        <v>7.7633872771201456E-2</v>
      </c>
      <c r="Q34" s="380">
        <f>Rounding!Q112</f>
        <v>7.7633872771201456E-2</v>
      </c>
      <c r="R34" s="380">
        <f>Rounding!R112</f>
        <v>5.3701908503823358E-2</v>
      </c>
      <c r="S34" s="380">
        <f>Rounding!S112</f>
        <v>5.3701908503823358E-2</v>
      </c>
      <c r="T34" s="380">
        <f>Rounding!T112</f>
        <v>5.3701908503823358E-2</v>
      </c>
      <c r="U34" s="380">
        <f>Rounding!U112</f>
        <v>5.3701908503823358E-2</v>
      </c>
      <c r="V34" s="380">
        <f>Rounding!V112</f>
        <v>5.3701908503823358E-2</v>
      </c>
      <c r="W34" s="380">
        <f>Rounding!W112</f>
        <v>3.3331848570263833E-2</v>
      </c>
      <c r="X34" s="380">
        <f>Rounding!X112</f>
        <v>3.3331848570263833E-2</v>
      </c>
      <c r="Y34" s="380">
        <f>Rounding!Y112</f>
        <v>3.3331848570263833E-2</v>
      </c>
      <c r="Z34" s="380">
        <f>Rounding!Z112</f>
        <v>3.3331848570263833E-2</v>
      </c>
      <c r="AA34" s="380">
        <f>Rounding!AA112</f>
        <v>3.3331848570263833E-2</v>
      </c>
      <c r="AB34" s="380">
        <f>Rounding!AB112</f>
        <v>1.6340077606830157E-2</v>
      </c>
      <c r="AC34" s="380">
        <f>Rounding!AC112</f>
        <v>1.6340077606830157E-2</v>
      </c>
      <c r="AD34" s="380">
        <f>Rounding!AD112</f>
        <v>1.6340077606830157E-2</v>
      </c>
      <c r="AE34" s="380">
        <f>Rounding!AE112</f>
        <v>1.6340077606830157E-2</v>
      </c>
      <c r="AF34" s="380">
        <f>Rounding!AF112</f>
        <v>1.6340077606830157E-2</v>
      </c>
      <c r="AG34" s="380">
        <f>Rounding!AG112</f>
        <v>1.9181927949568753</v>
      </c>
      <c r="AH34" s="380">
        <f>Rounding!AH112</f>
        <v>-5.4208730246908546E-2</v>
      </c>
      <c r="AI34" s="380">
        <f>Rounding!AI112</f>
        <v>-4.6393202831544231E-2</v>
      </c>
      <c r="AJ34" s="380">
        <f>Rounding!AJ112</f>
        <v>-5.4208730246908546E-2</v>
      </c>
      <c r="AK34" s="380">
        <f>Rounding!AL112</f>
        <v>-4.6393202831544231E-2</v>
      </c>
      <c r="AL34" s="380">
        <f>Rounding!AN112</f>
        <v>-2.6115641118076221E-2</v>
      </c>
    </row>
    <row r="35" spans="3:40" x14ac:dyDescent="0.3">
      <c r="C35" s="235"/>
      <c r="D35"/>
      <c r="F35" s="238" t="s">
        <v>161</v>
      </c>
      <c r="G35" s="238" t="s">
        <v>272</v>
      </c>
      <c r="H35" t="s">
        <v>775</v>
      </c>
      <c r="J35" s="381">
        <f>Rounding!J113</f>
        <v>13.266865088414372</v>
      </c>
      <c r="K35" s="381">
        <f>Rounding!K113</f>
        <v>0</v>
      </c>
      <c r="L35" s="381">
        <f>Rounding!L113</f>
        <v>7.3411791601463214</v>
      </c>
      <c r="M35" s="381">
        <f>Rounding!M113</f>
        <v>11.414942361730146</v>
      </c>
      <c r="N35" s="381">
        <f>Rounding!N113</f>
        <v>28.902998220167579</v>
      </c>
      <c r="O35" s="381">
        <f>Rounding!O113</f>
        <v>61.091602708106507</v>
      </c>
      <c r="P35" s="381">
        <f>Rounding!P113</f>
        <v>174.86583860924861</v>
      </c>
      <c r="Q35" s="381">
        <f>Rounding!Q113</f>
        <v>0</v>
      </c>
      <c r="R35" s="381">
        <f>Rounding!R113</f>
        <v>11.401752134048197</v>
      </c>
      <c r="S35" s="381">
        <f>Rounding!S113</f>
        <v>297.02877835564772</v>
      </c>
      <c r="T35" s="381">
        <f>Rounding!T113</f>
        <v>501.72494318702292</v>
      </c>
      <c r="U35" s="381">
        <f>Rounding!U113</f>
        <v>781.91364981877939</v>
      </c>
      <c r="V35" s="381">
        <f>Rounding!V113</f>
        <v>1435.7915187331978</v>
      </c>
      <c r="W35" s="381">
        <f>Rounding!W113</f>
        <v>8.9002928158170995</v>
      </c>
      <c r="X35" s="381">
        <f>Rounding!X113</f>
        <v>294.5273190374167</v>
      </c>
      <c r="Y35" s="381">
        <f>Rounding!Y113</f>
        <v>499.22348386879185</v>
      </c>
      <c r="Z35" s="381">
        <f>Rounding!Z113</f>
        <v>779.41219050054815</v>
      </c>
      <c r="AA35" s="381">
        <f>Rounding!AA113</f>
        <v>1433.2900594149667</v>
      </c>
      <c r="AB35" s="381">
        <f>Rounding!AB113</f>
        <v>82.166040497508959</v>
      </c>
      <c r="AC35" s="381">
        <f>Rounding!AC113</f>
        <v>1284.2612444965271</v>
      </c>
      <c r="AD35" s="381">
        <f>Rounding!AD113</f>
        <v>4303.944932558843</v>
      </c>
      <c r="AE35" s="381">
        <f>Rounding!AE113</f>
        <v>9425.0484471224263</v>
      </c>
      <c r="AF35" s="381">
        <f>Rounding!AF113</f>
        <v>24408.915089723658</v>
      </c>
      <c r="AG35" s="381">
        <f>Rounding!AG113</f>
        <v>0</v>
      </c>
      <c r="AH35" s="381">
        <f>Rounding!AH113</f>
        <v>0</v>
      </c>
      <c r="AI35" s="381">
        <f>Rounding!AI113</f>
        <v>0</v>
      </c>
      <c r="AJ35" s="381">
        <f>Rounding!AJ113</f>
        <v>0</v>
      </c>
      <c r="AK35" s="381">
        <f>Rounding!AL113</f>
        <v>0</v>
      </c>
      <c r="AL35" s="381">
        <f>Rounding!AN113</f>
        <v>51.423015267650172</v>
      </c>
    </row>
    <row r="36" spans="3:40" x14ac:dyDescent="0.3">
      <c r="C36" s="235"/>
      <c r="D36"/>
      <c r="F36" s="238" t="s">
        <v>162</v>
      </c>
      <c r="G36" s="238" t="s">
        <v>273</v>
      </c>
      <c r="H36" t="s">
        <v>775</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2.9075555200524899</v>
      </c>
      <c r="S36" s="381">
        <f>Rounding!S114</f>
        <v>2.9075555200524899</v>
      </c>
      <c r="T36" s="381">
        <f>Rounding!T114</f>
        <v>2.9075555200524899</v>
      </c>
      <c r="U36" s="381">
        <f>Rounding!U114</f>
        <v>2.9075555200524899</v>
      </c>
      <c r="V36" s="381">
        <f>Rounding!V114</f>
        <v>2.9075555200524899</v>
      </c>
      <c r="W36" s="381">
        <f>Rounding!W114</f>
        <v>3.5582115304996851</v>
      </c>
      <c r="X36" s="381">
        <f>Rounding!X114</f>
        <v>3.5582115304996851</v>
      </c>
      <c r="Y36" s="381">
        <f>Rounding!Y114</f>
        <v>3.5582115304996851</v>
      </c>
      <c r="Z36" s="381">
        <f>Rounding!Z114</f>
        <v>3.5582115304996851</v>
      </c>
      <c r="AA36" s="381">
        <f>Rounding!AA114</f>
        <v>3.5582115304996851</v>
      </c>
      <c r="AB36" s="381">
        <f>Rounding!AB114</f>
        <v>4.3179340585099677</v>
      </c>
      <c r="AC36" s="381">
        <f>Rounding!AC114</f>
        <v>4.3179340585099677</v>
      </c>
      <c r="AD36" s="381">
        <f>Rounding!AD114</f>
        <v>4.3179340585099677</v>
      </c>
      <c r="AE36" s="381">
        <f>Rounding!AE114</f>
        <v>4.3179340585099677</v>
      </c>
      <c r="AF36" s="381">
        <f>Rounding!AF114</f>
        <v>4.3179340585099677</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163</v>
      </c>
      <c r="G37" s="238" t="s">
        <v>273</v>
      </c>
      <c r="H37" t="s">
        <v>775</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5.7336183839854069</v>
      </c>
      <c r="S37" s="381">
        <f>Rounding!S115</f>
        <v>5.7336183839854069</v>
      </c>
      <c r="T37" s="381">
        <f>Rounding!T115</f>
        <v>5.7336183839854069</v>
      </c>
      <c r="U37" s="381">
        <f>Rounding!U115</f>
        <v>5.7336183839854069</v>
      </c>
      <c r="V37" s="381">
        <f>Rounding!V115</f>
        <v>5.7336183839854069</v>
      </c>
      <c r="W37" s="381">
        <f>Rounding!W115</f>
        <v>5.3582865650740166</v>
      </c>
      <c r="X37" s="381">
        <f>Rounding!X115</f>
        <v>5.3582865650740166</v>
      </c>
      <c r="Y37" s="381">
        <f>Rounding!Y115</f>
        <v>5.3582865650740166</v>
      </c>
      <c r="Z37" s="381">
        <f>Rounding!Z115</f>
        <v>5.3582865650740166</v>
      </c>
      <c r="AA37" s="381">
        <f>Rounding!AA115</f>
        <v>5.3582865650740166</v>
      </c>
      <c r="AB37" s="381">
        <f>Rounding!AB115</f>
        <v>6.2347042934179937</v>
      </c>
      <c r="AC37" s="381">
        <f>Rounding!AC115</f>
        <v>6.2347042934179937</v>
      </c>
      <c r="AD37" s="381">
        <f>Rounding!AD115</f>
        <v>6.2347042934179937</v>
      </c>
      <c r="AE37" s="381">
        <f>Rounding!AE115</f>
        <v>6.2347042934179937</v>
      </c>
      <c r="AF37" s="381">
        <f>Rounding!AF115</f>
        <v>6.2347042934179937</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164</v>
      </c>
      <c r="G38" s="239" t="s">
        <v>274</v>
      </c>
      <c r="H38" s="269" t="s">
        <v>775</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0.15568707537334198</v>
      </c>
      <c r="S38" s="286">
        <f>Rounding!S116</f>
        <v>0.15568707537334198</v>
      </c>
      <c r="T38" s="286">
        <f>Rounding!T116</f>
        <v>0.15568707537334198</v>
      </c>
      <c r="U38" s="286">
        <f>Rounding!U116</f>
        <v>0.15568707537334198</v>
      </c>
      <c r="V38" s="286">
        <f>Rounding!V116</f>
        <v>0.15568707537334198</v>
      </c>
      <c r="W38" s="286">
        <f>Rounding!W116</f>
        <v>0.10900735503203039</v>
      </c>
      <c r="X38" s="286">
        <f>Rounding!X116</f>
        <v>0.10900735503203039</v>
      </c>
      <c r="Y38" s="286">
        <f>Rounding!Y116</f>
        <v>0.10900735503203039</v>
      </c>
      <c r="Z38" s="286">
        <f>Rounding!Z116</f>
        <v>0.10900735503203039</v>
      </c>
      <c r="AA38" s="286">
        <f>Rounding!AA116</f>
        <v>0.10900735503203039</v>
      </c>
      <c r="AB38" s="286">
        <f>Rounding!AB116</f>
        <v>5.6025475483680934E-2</v>
      </c>
      <c r="AC38" s="286">
        <f>Rounding!AC116</f>
        <v>5.6025475483680934E-2</v>
      </c>
      <c r="AD38" s="286">
        <f>Rounding!AD116</f>
        <v>5.6025475483680934E-2</v>
      </c>
      <c r="AE38" s="286">
        <f>Rounding!AE116</f>
        <v>5.6025475483680934E-2</v>
      </c>
      <c r="AF38" s="286">
        <f>Rounding!AF116</f>
        <v>5.6025475483680934E-2</v>
      </c>
      <c r="AG38" s="286">
        <f>Rounding!AG116</f>
        <v>0</v>
      </c>
      <c r="AH38" s="286">
        <f>Rounding!AH116</f>
        <v>0</v>
      </c>
      <c r="AI38" s="286">
        <f>Rounding!AI116</f>
        <v>0</v>
      </c>
      <c r="AJ38" s="286">
        <f>Rounding!AJ116</f>
        <v>0.15535543202154206</v>
      </c>
      <c r="AK38" s="286">
        <f>Rounding!AL116</f>
        <v>0.13056045785664669</v>
      </c>
      <c r="AL38" s="286">
        <f>Rounding!AN116</f>
        <v>0.10463528367439673</v>
      </c>
    </row>
    <row r="39" spans="3:40" x14ac:dyDescent="0.3">
      <c r="D39"/>
      <c r="E39"/>
      <c r="F39" s="240"/>
    </row>
    <row r="40" spans="3:40" x14ac:dyDescent="0.3">
      <c r="D40" s="29" t="s">
        <v>902</v>
      </c>
      <c r="E40"/>
    </row>
    <row r="42" spans="3:40" ht="60" customHeight="1" x14ac:dyDescent="0.3">
      <c r="D42"/>
      <c r="E42"/>
      <c r="F42" s="240"/>
      <c r="J42" s="236" t="s">
        <v>915</v>
      </c>
      <c r="K42" s="236" t="s">
        <v>833</v>
      </c>
      <c r="L42" s="236" t="s">
        <v>916</v>
      </c>
      <c r="M42" s="236" t="s">
        <v>917</v>
      </c>
      <c r="N42" s="236" t="s">
        <v>918</v>
      </c>
      <c r="O42" s="236" t="s">
        <v>919</v>
      </c>
      <c r="P42" s="236" t="s">
        <v>920</v>
      </c>
      <c r="Q42" s="236" t="s">
        <v>834</v>
      </c>
      <c r="R42" s="236" t="s">
        <v>921</v>
      </c>
      <c r="S42" s="236" t="s">
        <v>922</v>
      </c>
      <c r="T42" s="236" t="s">
        <v>923</v>
      </c>
      <c r="U42" s="236" t="s">
        <v>924</v>
      </c>
      <c r="V42" s="236" t="s">
        <v>925</v>
      </c>
      <c r="W42" s="236" t="s">
        <v>926</v>
      </c>
      <c r="X42" s="236" t="s">
        <v>927</v>
      </c>
      <c r="Y42" s="236" t="s">
        <v>928</v>
      </c>
      <c r="Z42" s="236" t="s">
        <v>929</v>
      </c>
      <c r="AA42" s="236" t="s">
        <v>930</v>
      </c>
      <c r="AB42" s="236" t="s">
        <v>931</v>
      </c>
      <c r="AC42" s="236" t="s">
        <v>932</v>
      </c>
      <c r="AD42" s="236" t="s">
        <v>933</v>
      </c>
      <c r="AE42" s="236" t="s">
        <v>934</v>
      </c>
      <c r="AF42" s="236" t="s">
        <v>935</v>
      </c>
      <c r="AG42" s="236" t="s">
        <v>843</v>
      </c>
      <c r="AH42" s="236" t="s">
        <v>835</v>
      </c>
      <c r="AI42" s="236" t="s">
        <v>836</v>
      </c>
      <c r="AJ42" s="236" t="s">
        <v>837</v>
      </c>
      <c r="AK42" s="236" t="s">
        <v>838</v>
      </c>
      <c r="AL42" s="236" t="s">
        <v>839</v>
      </c>
    </row>
    <row r="43" spans="3:40" x14ac:dyDescent="0.3">
      <c r="D43"/>
      <c r="E43" t="s">
        <v>897</v>
      </c>
      <c r="F43" s="240"/>
      <c r="G43" t="s">
        <v>272</v>
      </c>
      <c r="J43" s="233">
        <f>Rounding!J47</f>
        <v>6.6245511645105018E-2</v>
      </c>
      <c r="K43" s="233">
        <f>Rounding!K47</f>
        <v>0</v>
      </c>
      <c r="L43" s="233">
        <f>Rounding!L47</f>
        <v>4.1263685548627027E-2</v>
      </c>
      <c r="M43" s="233">
        <f>Rounding!M47</f>
        <v>4.1263685548627027E-2</v>
      </c>
      <c r="N43" s="233">
        <f>Rounding!N47</f>
        <v>4.1263685548627027E-2</v>
      </c>
      <c r="O43" s="233">
        <f>Rounding!O47</f>
        <v>4.1263685548627027E-2</v>
      </c>
      <c r="P43" s="233">
        <f>Rounding!P47</f>
        <v>4.1263685548627027E-2</v>
      </c>
      <c r="Q43" s="233">
        <f>Rounding!Q47</f>
        <v>0</v>
      </c>
      <c r="R43" s="233">
        <f>Rounding!R47</f>
        <v>4.1263685548627027E-2</v>
      </c>
      <c r="S43" s="233">
        <f>Rounding!S47</f>
        <v>4.1263685548627027E-2</v>
      </c>
      <c r="T43" s="233">
        <f>Rounding!T47</f>
        <v>4.1263685548627027E-2</v>
      </c>
      <c r="U43" s="233">
        <f>Rounding!U47</f>
        <v>4.1263685548627027E-2</v>
      </c>
      <c r="V43" s="233">
        <f>Rounding!V47</f>
        <v>4.1263685548627027E-2</v>
      </c>
      <c r="W43" s="233">
        <f>Rounding!W47</f>
        <v>4.1263685548627027E-2</v>
      </c>
      <c r="X43" s="233">
        <f>Rounding!X47</f>
        <v>4.1263685548627027E-2</v>
      </c>
      <c r="Y43" s="233">
        <f>Rounding!Y47</f>
        <v>4.1263685548627027E-2</v>
      </c>
      <c r="Z43" s="233">
        <f>Rounding!Z47</f>
        <v>4.1263685548627027E-2</v>
      </c>
      <c r="AA43" s="233">
        <f>Rounding!AA47</f>
        <v>4.1263685548627027E-2</v>
      </c>
      <c r="AB43" s="233">
        <f>Rounding!AB47</f>
        <v>4.1263685548627027E-2</v>
      </c>
      <c r="AC43" s="233">
        <f>Rounding!AC47</f>
        <v>4.1263685548627027E-2</v>
      </c>
      <c r="AD43" s="233">
        <f>Rounding!AD47</f>
        <v>4.1263685548627027E-2</v>
      </c>
      <c r="AE43" s="233">
        <f>Rounding!AE47</f>
        <v>4.1263685548627027E-2</v>
      </c>
      <c r="AF43" s="233">
        <f>Rounding!AF47</f>
        <v>4.1263685548627027E-2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817</v>
      </c>
      <c r="E47"/>
    </row>
    <row r="49" spans="2:40" x14ac:dyDescent="0.3">
      <c r="D49"/>
      <c r="F49" s="2"/>
      <c r="G49" s="2"/>
      <c r="H49" s="2"/>
      <c r="I49" s="2"/>
      <c r="J49" s="114" t="s">
        <v>193</v>
      </c>
      <c r="K49" s="114" t="s">
        <v>194</v>
      </c>
      <c r="L49" s="114" t="s">
        <v>195</v>
      </c>
      <c r="M49" s="114" t="s">
        <v>196</v>
      </c>
      <c r="N49" s="114" t="s">
        <v>197</v>
      </c>
      <c r="O49" s="114" t="s">
        <v>198</v>
      </c>
      <c r="P49" s="114" t="s">
        <v>199</v>
      </c>
      <c r="Q49" s="114" t="s">
        <v>200</v>
      </c>
      <c r="R49" s="114" t="s">
        <v>201</v>
      </c>
      <c r="S49" s="114" t="s">
        <v>378</v>
      </c>
      <c r="T49" s="114" t="s">
        <v>379</v>
      </c>
    </row>
    <row r="50" spans="2:40" x14ac:dyDescent="0.3">
      <c r="D50"/>
      <c r="E50" s="301" t="s">
        <v>828</v>
      </c>
      <c r="F50" s="301"/>
      <c r="G50" s="67" t="s">
        <v>169</v>
      </c>
      <c r="H50" s="37"/>
      <c r="I50" s="37"/>
      <c r="J50" s="302"/>
      <c r="K50" s="303">
        <f t="array" ref="K50:O50">TRANSPOSE('System peak demand'!H227:H231)</f>
        <v>7.0839672179421997E-2</v>
      </c>
      <c r="L50" s="303">
        <v>7.0839672179421997E-2</v>
      </c>
      <c r="M50" s="303">
        <v>0.15545489876905783</v>
      </c>
      <c r="N50" s="303">
        <v>0.15545489876905783</v>
      </c>
      <c r="O50" s="303">
        <v>7.0839672179421997E-2</v>
      </c>
      <c r="P50" s="302"/>
      <c r="Q50" s="302"/>
      <c r="R50" s="302"/>
      <c r="S50" s="302"/>
      <c r="T50" s="302"/>
    </row>
    <row r="51" spans="2:40" x14ac:dyDescent="0.3">
      <c r="D51"/>
      <c r="E51" s="304" t="s">
        <v>829</v>
      </c>
      <c r="F51" s="304"/>
      <c r="G51" s="108" t="s">
        <v>522</v>
      </c>
      <c r="H51" s="108"/>
      <c r="I51" s="108"/>
      <c r="J51" s="305">
        <f t="array" ref="J51:O51">TRANSPOSE('System peak demand'!H154:H159)</f>
        <v>4069415.6988957124</v>
      </c>
      <c r="K51" s="305">
        <v>4038890.4815403717</v>
      </c>
      <c r="L51" s="305">
        <v>3720940.5459943446</v>
      </c>
      <c r="M51" s="305">
        <v>3689010.1938476847</v>
      </c>
      <c r="N51" s="305">
        <v>3667288.8384373942</v>
      </c>
      <c r="O51" s="305">
        <v>298039.32603841269</v>
      </c>
      <c r="P51" s="306"/>
      <c r="Q51" s="306"/>
      <c r="R51" s="306"/>
      <c r="S51" s="306"/>
      <c r="T51" s="306"/>
    </row>
    <row r="52" spans="2:40" x14ac:dyDescent="0.3">
      <c r="D52"/>
      <c r="E52" s="304" t="s">
        <v>818</v>
      </c>
      <c r="F52" s="304"/>
      <c r="G52" s="108" t="s">
        <v>279</v>
      </c>
      <c r="H52" s="108"/>
      <c r="I52" s="108"/>
      <c r="J52" s="306"/>
      <c r="K52" s="305">
        <f>'Unit costs'!L108</f>
        <v>480846901.7579394</v>
      </c>
      <c r="L52" s="305">
        <f>'Unit costs'!M108</f>
        <v>249665046.79930994</v>
      </c>
      <c r="M52" s="305">
        <f>'Unit costs'!N108</f>
        <v>330797759.61038488</v>
      </c>
      <c r="N52" s="305">
        <f>'Unit costs'!O108</f>
        <v>679449104.61468136</v>
      </c>
      <c r="O52" s="305">
        <f>'Unit costs'!P108</f>
        <v>59319745.797171734</v>
      </c>
      <c r="P52" s="305">
        <f>'Unit costs'!Q108</f>
        <v>1554384937.3880637</v>
      </c>
      <c r="Q52" s="305">
        <f>'Unit costs'!R108</f>
        <v>561908704.81814635</v>
      </c>
      <c r="R52" s="305">
        <f>'Unit costs'!S108</f>
        <v>870473497.34387243</v>
      </c>
      <c r="S52" s="305">
        <f>'Unit costs'!T108</f>
        <v>849615447.71521747</v>
      </c>
      <c r="T52" s="305">
        <f>'Unit costs'!U108</f>
        <v>37899693.849556819</v>
      </c>
    </row>
    <row r="53" spans="2:40" x14ac:dyDescent="0.3">
      <c r="D53"/>
      <c r="E53" s="307" t="s">
        <v>394</v>
      </c>
      <c r="F53" s="307"/>
      <c r="G53" s="23" t="s">
        <v>285</v>
      </c>
      <c r="H53" s="23"/>
      <c r="I53" s="23"/>
      <c r="J53" s="232">
        <f>'Load &amp; loss characteristics'!K29</f>
        <v>1</v>
      </c>
      <c r="K53" s="232">
        <f>'Load &amp; loss characteristics'!L29</f>
        <v>1.002</v>
      </c>
      <c r="L53" s="232">
        <f>'Load &amp; loss characteristics'!M29</f>
        <v>1.006</v>
      </c>
      <c r="M53" s="232">
        <f>'Load &amp; loss characteristics'!N29</f>
        <v>1.0129999999999999</v>
      </c>
      <c r="N53" s="232">
        <f>'Load &amp; loss characteristics'!O29</f>
        <v>1.0189999999999999</v>
      </c>
      <c r="O53" s="232">
        <f>'Load &amp; loss characteristics'!P29</f>
        <v>1.0189999999999999</v>
      </c>
      <c r="P53" s="83"/>
      <c r="Q53" s="83"/>
      <c r="R53" s="83"/>
      <c r="S53" s="83"/>
      <c r="T53" s="83"/>
    </row>
    <row r="54" spans="2:40" x14ac:dyDescent="0.3">
      <c r="D54"/>
      <c r="E54"/>
      <c r="F54" s="240"/>
    </row>
    <row r="55" spans="2:40" x14ac:dyDescent="0.3">
      <c r="B55" s="30" t="s">
        <v>819</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820</v>
      </c>
      <c r="E59"/>
    </row>
    <row r="61" spans="2:40" ht="43.2" x14ac:dyDescent="0.3">
      <c r="F61" s="2"/>
      <c r="G61" s="2"/>
      <c r="H61" s="2"/>
      <c r="I61" s="2"/>
      <c r="J61" s="236" t="s">
        <v>915</v>
      </c>
      <c r="K61" s="236" t="s">
        <v>833</v>
      </c>
      <c r="L61" s="236" t="s">
        <v>916</v>
      </c>
      <c r="M61" s="236" t="s">
        <v>917</v>
      </c>
      <c r="N61" s="236" t="s">
        <v>918</v>
      </c>
      <c r="O61" s="236" t="s">
        <v>919</v>
      </c>
      <c r="P61" s="236" t="s">
        <v>920</v>
      </c>
      <c r="Q61" s="236" t="s">
        <v>834</v>
      </c>
      <c r="R61" s="236" t="s">
        <v>921</v>
      </c>
      <c r="S61" s="236" t="s">
        <v>922</v>
      </c>
      <c r="T61" s="236" t="s">
        <v>923</v>
      </c>
      <c r="U61" s="236" t="s">
        <v>924</v>
      </c>
      <c r="V61" s="236" t="s">
        <v>925</v>
      </c>
      <c r="W61" s="236" t="s">
        <v>926</v>
      </c>
      <c r="X61" s="236" t="s">
        <v>927</v>
      </c>
      <c r="Y61" s="236" t="s">
        <v>928</v>
      </c>
      <c r="Z61" s="236" t="s">
        <v>929</v>
      </c>
      <c r="AA61" s="236" t="s">
        <v>930</v>
      </c>
      <c r="AB61" s="236" t="s">
        <v>931</v>
      </c>
      <c r="AC61" s="236" t="s">
        <v>932</v>
      </c>
      <c r="AD61" s="236" t="s">
        <v>933</v>
      </c>
      <c r="AE61" s="236" t="s">
        <v>934</v>
      </c>
      <c r="AF61" s="236" t="s">
        <v>935</v>
      </c>
      <c r="AG61" s="236" t="s">
        <v>843</v>
      </c>
      <c r="AH61" s="236" t="s">
        <v>835</v>
      </c>
      <c r="AI61" s="236" t="s">
        <v>836</v>
      </c>
      <c r="AJ61" s="236" t="s">
        <v>837</v>
      </c>
      <c r="AK61" s="236" t="s">
        <v>838</v>
      </c>
      <c r="AL61" s="236" t="s">
        <v>839</v>
      </c>
    </row>
    <row r="62" spans="2:40" x14ac:dyDescent="0.3">
      <c r="C62" s="235"/>
      <c r="D62"/>
      <c r="E62" s="37" t="s">
        <v>773</v>
      </c>
      <c r="F62" s="37"/>
      <c r="G62" s="86" t="s">
        <v>279</v>
      </c>
      <c r="H62" s="37" t="s">
        <v>775</v>
      </c>
      <c r="I62" s="37"/>
      <c r="J62" s="234">
        <f>'Net revenue summary'!J140</f>
        <v>90.771576258219881</v>
      </c>
      <c r="K62" s="234">
        <f>'Net revenue summary'!K140</f>
        <v>0</v>
      </c>
      <c r="L62" s="234">
        <f>'Net revenue summary'!L140</f>
        <v>0</v>
      </c>
      <c r="M62" s="234">
        <f>'Net revenue summary'!M140</f>
        <v>57.92470677934201</v>
      </c>
      <c r="N62" s="234">
        <f>'Net revenue summary'!N140</f>
        <v>190.82316754778489</v>
      </c>
      <c r="O62" s="234">
        <f>'Net revenue summary'!O140</f>
        <v>435.49596438876165</v>
      </c>
      <c r="P62" s="234">
        <f>'Net revenue summary'!P140</f>
        <v>1300.3224656117322</v>
      </c>
      <c r="Q62" s="234">
        <f>'Net revenue summary'!Q140</f>
        <v>0</v>
      </c>
      <c r="R62" s="234">
        <f>'Net revenue summary'!R140</f>
        <v>0</v>
      </c>
      <c r="S62" s="234">
        <f>'Net revenue summary'!S140</f>
        <v>2400.4705155248835</v>
      </c>
      <c r="T62" s="234">
        <f>'Net revenue summary'!T140</f>
        <v>4486.3757326666409</v>
      </c>
      <c r="U62" s="234">
        <f>'Net revenue summary'!U140</f>
        <v>6995.7805742399178</v>
      </c>
      <c r="V62" s="234">
        <f>'Net revenue summary'!V140</f>
        <v>12636.070751194515</v>
      </c>
      <c r="W62" s="234">
        <f>'Net revenue summary'!W140</f>
        <v>0</v>
      </c>
      <c r="X62" s="234">
        <f>'Net revenue summary'!X140</f>
        <v>2574.2720111490776</v>
      </c>
      <c r="Y62" s="234">
        <f>'Net revenue summary'!Y140</f>
        <v>4591.9043575818296</v>
      </c>
      <c r="Z62" s="234">
        <f>'Net revenue summary'!Z140</f>
        <v>7076.1159418990937</v>
      </c>
      <c r="AA62" s="234">
        <f>'Net revenue summary'!AA140</f>
        <v>15084.728935868168</v>
      </c>
      <c r="AB62" s="234">
        <f>'Net revenue summary'!AB140</f>
        <v>0</v>
      </c>
      <c r="AC62" s="234">
        <f>'Net revenue summary'!AC140</f>
        <v>9121.7888495040461</v>
      </c>
      <c r="AD62" s="234">
        <f>'Net revenue summary'!AD140</f>
        <v>30289.962203149935</v>
      </c>
      <c r="AE62" s="234">
        <f>'Net revenue summary'!AE140</f>
        <v>65396.783981524015</v>
      </c>
      <c r="AF62" s="234">
        <f>'Net revenue summary'!AF140</f>
        <v>165444.56370284737</v>
      </c>
      <c r="AG62" s="234">
        <f>'Net revenue summary'!AG140</f>
        <v>170913.36986565214</v>
      </c>
      <c r="AH62" s="234">
        <f>'Net revenue summary'!AH140</f>
        <v>0</v>
      </c>
      <c r="AI62" s="234">
        <f>'Net revenue summary'!AI140</f>
        <v>0</v>
      </c>
      <c r="AJ62" s="234">
        <f>'Net revenue summary'!AJ140</f>
        <v>-519.3039463203728</v>
      </c>
      <c r="AK62" s="234">
        <f>'Net revenue summary'!AL140</f>
        <v>-818.39051131618839</v>
      </c>
      <c r="AL62" s="234">
        <f>'Net revenue summary'!AN140</f>
        <v>-19840.448804138912</v>
      </c>
    </row>
    <row r="63" spans="2:40" x14ac:dyDescent="0.3">
      <c r="C63" s="235"/>
      <c r="D63"/>
      <c r="E63" s="108" t="s">
        <v>778</v>
      </c>
      <c r="F63" s="108"/>
      <c r="G63" s="214" t="s">
        <v>271</v>
      </c>
      <c r="H63" s="308" t="s">
        <v>775</v>
      </c>
      <c r="I63" s="308"/>
      <c r="J63" s="428">
        <f>'Net revenue summary'!J146</f>
        <v>2.6269571324430285</v>
      </c>
      <c r="K63" s="428">
        <f>'Net revenue summary'!K146</f>
        <v>0.82592009334114957</v>
      </c>
      <c r="L63" s="428">
        <f>'Net revenue summary'!L146</f>
        <v>0</v>
      </c>
      <c r="M63" s="428">
        <f>'Net revenue summary'!M146</f>
        <v>3.977583696555175</v>
      </c>
      <c r="N63" s="428">
        <f>'Net revenue summary'!N146</f>
        <v>2.4756940166300758</v>
      </c>
      <c r="O63" s="428">
        <f>'Net revenue summary'!O146</f>
        <v>2.2664884372238525</v>
      </c>
      <c r="P63" s="428">
        <f>'Net revenue summary'!P146</f>
        <v>2.1713187660043358</v>
      </c>
      <c r="Q63" s="428">
        <f>'Net revenue summary'!Q146</f>
        <v>0.38147689590795603</v>
      </c>
      <c r="R63" s="428">
        <f>'Net revenue summary'!R146</f>
        <v>0</v>
      </c>
      <c r="S63" s="428">
        <f>'Net revenue summary'!S146</f>
        <v>2.4049113589238478</v>
      </c>
      <c r="T63" s="428">
        <f>'Net revenue summary'!T146</f>
        <v>2.6091395756095284</v>
      </c>
      <c r="U63" s="428">
        <f>'Net revenue summary'!U146</f>
        <v>2.596452642246851</v>
      </c>
      <c r="V63" s="428">
        <f>'Net revenue summary'!V146</f>
        <v>2.5686149895096477</v>
      </c>
      <c r="W63" s="428">
        <f>'Net revenue summary'!W146</f>
        <v>0</v>
      </c>
      <c r="X63" s="428">
        <f>'Net revenue summary'!X146</f>
        <v>1.0111722718250375</v>
      </c>
      <c r="Y63" s="428">
        <f>'Net revenue summary'!Y146</f>
        <v>2.4641707528259853</v>
      </c>
      <c r="Z63" s="428">
        <f>'Net revenue summary'!Z146</f>
        <v>2.3254682563119995</v>
      </c>
      <c r="AA63" s="428">
        <f>'Net revenue summary'!AA146</f>
        <v>2.8974573004815714</v>
      </c>
      <c r="AB63" s="428">
        <f>'Net revenue summary'!AB146</f>
        <v>0</v>
      </c>
      <c r="AC63" s="428">
        <f>'Net revenue summary'!AC146</f>
        <v>2.1344805048682369</v>
      </c>
      <c r="AD63" s="428">
        <f>'Net revenue summary'!AD146</f>
        <v>2.0181539358334937</v>
      </c>
      <c r="AE63" s="428">
        <f>'Net revenue summary'!AE146</f>
        <v>1.9689131106458977</v>
      </c>
      <c r="AF63" s="428">
        <f>'Net revenue summary'!AF146</f>
        <v>1.9130198143989194</v>
      </c>
      <c r="AG63" s="428">
        <f>'Net revenue summary'!AG146</f>
        <v>2.9175328629120671</v>
      </c>
      <c r="AH63" s="428">
        <f>'Net revenue summary'!AH146</f>
        <v>-0.81694230848457328</v>
      </c>
      <c r="AI63" s="428">
        <f>'Net revenue summary'!AI146</f>
        <v>0</v>
      </c>
      <c r="AJ63" s="428">
        <f>'Net revenue summary'!AJ146</f>
        <v>-0.72280106898184782</v>
      </c>
      <c r="AK63" s="428">
        <f>'Net revenue summary'!AL146</f>
        <v>-0.55460001540581105</v>
      </c>
      <c r="AL63" s="428">
        <f>'Net revenue summary'!AN146</f>
        <v>-0.57470709693734534</v>
      </c>
    </row>
    <row r="64" spans="2:40" x14ac:dyDescent="0.3">
      <c r="C64" s="235"/>
      <c r="D64"/>
      <c r="E64" s="108" t="s">
        <v>787</v>
      </c>
      <c r="F64" s="108"/>
      <c r="G64" s="108" t="s">
        <v>169</v>
      </c>
      <c r="H64" s="108" t="s">
        <v>775</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788</v>
      </c>
      <c r="F65" s="23"/>
      <c r="G65" s="23" t="s">
        <v>271</v>
      </c>
      <c r="H65" s="266" t="s">
        <v>775</v>
      </c>
      <c r="I65" s="266"/>
      <c r="J65" s="430">
        <f>'Net revenue summary'!J174</f>
        <v>2.6269571324430285</v>
      </c>
      <c r="K65" s="430">
        <f>'Net revenue summary'!K174</f>
        <v>0.82592009334114957</v>
      </c>
      <c r="L65" s="430" t="str">
        <f>'Net revenue summary'!L174</f>
        <v>-</v>
      </c>
      <c r="M65" s="430">
        <f>'Net revenue summary'!M174</f>
        <v>3.9775836965551745</v>
      </c>
      <c r="N65" s="430">
        <f>'Net revenue summary'!N174</f>
        <v>2.4756940166300758</v>
      </c>
      <c r="O65" s="430">
        <f>'Net revenue summary'!O174</f>
        <v>2.2664884372238525</v>
      </c>
      <c r="P65" s="430">
        <f>'Net revenue summary'!P174</f>
        <v>2.1713187660043358</v>
      </c>
      <c r="Q65" s="430">
        <f>'Net revenue summary'!Q174</f>
        <v>0.38147689590795603</v>
      </c>
      <c r="R65" s="430" t="str">
        <f>'Net revenue summary'!R174</f>
        <v>-</v>
      </c>
      <c r="S65" s="430">
        <f>'Net revenue summary'!S174</f>
        <v>2.4049113589238478</v>
      </c>
      <c r="T65" s="430">
        <f>'Net revenue summary'!T174</f>
        <v>2.6091395756095284</v>
      </c>
      <c r="U65" s="430">
        <f>'Net revenue summary'!U174</f>
        <v>2.5964526422468515</v>
      </c>
      <c r="V65" s="430">
        <f>'Net revenue summary'!V174</f>
        <v>2.5686149895096477</v>
      </c>
      <c r="W65" s="430" t="str">
        <f>'Net revenue summary'!W174</f>
        <v>-</v>
      </c>
      <c r="X65" s="430">
        <f>'Net revenue summary'!X174</f>
        <v>1.0111722718250375</v>
      </c>
      <c r="Y65" s="430">
        <f>'Net revenue summary'!Y174</f>
        <v>2.4641707528259853</v>
      </c>
      <c r="Z65" s="430">
        <f>'Net revenue summary'!Z174</f>
        <v>2.3254682563119995</v>
      </c>
      <c r="AA65" s="430">
        <f>'Net revenue summary'!AA174</f>
        <v>2.8974573004815714</v>
      </c>
      <c r="AB65" s="430" t="str">
        <f>'Net revenue summary'!AB174</f>
        <v>-</v>
      </c>
      <c r="AC65" s="430">
        <f>'Net revenue summary'!AC174</f>
        <v>2.1344805048682369</v>
      </c>
      <c r="AD65" s="430">
        <f>'Net revenue summary'!AD174</f>
        <v>2.0181539358334937</v>
      </c>
      <c r="AE65" s="430">
        <f>'Net revenue summary'!AE174</f>
        <v>1.9689131106458977</v>
      </c>
      <c r="AF65" s="430">
        <f>'Net revenue summary'!AF174</f>
        <v>1.9130198143989194</v>
      </c>
      <c r="AG65" s="430">
        <f>'Net revenue summary'!AG174</f>
        <v>2.9175328629120676</v>
      </c>
      <c r="AH65" s="430">
        <f>'Net revenue summary'!AH174</f>
        <v>-0.81694230848457328</v>
      </c>
      <c r="AI65" s="430" t="str">
        <f>'Net revenue summary'!AI174</f>
        <v>-</v>
      </c>
      <c r="AJ65" s="430">
        <f>'Net revenue summary'!AJ174</f>
        <v>-0.72280106898184782</v>
      </c>
      <c r="AK65" s="430">
        <f>'Net revenue summary'!AL174</f>
        <v>-0.55460001540581105</v>
      </c>
      <c r="AL65" s="430">
        <f>'Net revenue summary'!AN174</f>
        <v>-0.57470709693734534</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821</v>
      </c>
      <c r="E69"/>
    </row>
    <row r="70" spans="2:40" x14ac:dyDescent="0.3">
      <c r="D70" s="29" t="s">
        <v>822</v>
      </c>
      <c r="E70"/>
    </row>
    <row r="72" spans="2:40" ht="43.2" x14ac:dyDescent="0.3">
      <c r="E72"/>
      <c r="J72" s="236" t="s">
        <v>915</v>
      </c>
      <c r="K72" s="236" t="s">
        <v>833</v>
      </c>
      <c r="L72" s="236" t="s">
        <v>916</v>
      </c>
      <c r="M72" s="236" t="s">
        <v>917</v>
      </c>
      <c r="N72" s="236" t="s">
        <v>918</v>
      </c>
      <c r="O72" s="236" t="s">
        <v>919</v>
      </c>
      <c r="P72" s="236" t="s">
        <v>920</v>
      </c>
      <c r="Q72" s="236" t="s">
        <v>834</v>
      </c>
      <c r="R72" s="236" t="s">
        <v>921</v>
      </c>
      <c r="S72" s="236" t="s">
        <v>922</v>
      </c>
      <c r="T72" s="236" t="s">
        <v>923</v>
      </c>
      <c r="U72" s="236" t="s">
        <v>924</v>
      </c>
      <c r="V72" s="236" t="s">
        <v>925</v>
      </c>
      <c r="W72" s="236" t="s">
        <v>926</v>
      </c>
      <c r="X72" s="236" t="s">
        <v>927</v>
      </c>
      <c r="Y72" s="236" t="s">
        <v>928</v>
      </c>
      <c r="Z72" s="236" t="s">
        <v>929</v>
      </c>
      <c r="AA72" s="236" t="s">
        <v>930</v>
      </c>
      <c r="AB72" s="236" t="s">
        <v>931</v>
      </c>
      <c r="AC72" s="236" t="s">
        <v>932</v>
      </c>
      <c r="AD72" s="236" t="s">
        <v>933</v>
      </c>
      <c r="AE72" s="236" t="s">
        <v>934</v>
      </c>
      <c r="AF72" s="236" t="s">
        <v>935</v>
      </c>
      <c r="AG72" s="236" t="s">
        <v>843</v>
      </c>
      <c r="AH72" s="236" t="s">
        <v>835</v>
      </c>
      <c r="AI72" s="236" t="s">
        <v>836</v>
      </c>
      <c r="AJ72" s="236" t="s">
        <v>837</v>
      </c>
      <c r="AK72" s="236" t="s">
        <v>838</v>
      </c>
      <c r="AL72" s="236" t="s">
        <v>839</v>
      </c>
    </row>
    <row r="73" spans="2:40" x14ac:dyDescent="0.3">
      <c r="C73" s="235"/>
      <c r="D73"/>
      <c r="E73" s="23" t="s">
        <v>796</v>
      </c>
      <c r="F73" s="23"/>
      <c r="G73" s="64" t="s">
        <v>169</v>
      </c>
      <c r="H73" s="23" t="s">
        <v>450</v>
      </c>
      <c r="I73" s="23"/>
      <c r="J73" s="309">
        <f>'Net revenue summary'!J206</f>
        <v>0.30218852846840238</v>
      </c>
      <c r="K73" s="309">
        <f>'Net revenue summary'!K206</f>
        <v>0</v>
      </c>
      <c r="L73" s="309">
        <f>'Net revenue summary'!L206</f>
        <v>0</v>
      </c>
      <c r="M73" s="309">
        <f>'Net revenue summary'!M206</f>
        <v>0.30221180303578515</v>
      </c>
      <c r="N73" s="309">
        <f>'Net revenue summary'!N206</f>
        <v>0.30262700671636067</v>
      </c>
      <c r="O73" s="309">
        <f>'Net revenue summary'!O206</f>
        <v>0.30279813210674406</v>
      </c>
      <c r="P73" s="309">
        <f>'Net revenue summary'!P206</f>
        <v>0.30293539732091457</v>
      </c>
      <c r="Q73" s="309">
        <f>'Net revenue summary'!Q206</f>
        <v>0</v>
      </c>
      <c r="R73" s="309">
        <f>'Net revenue summary'!R206</f>
        <v>0</v>
      </c>
      <c r="S73" s="309">
        <f>'Net revenue summary'!S206</f>
        <v>0.30286649167617591</v>
      </c>
      <c r="T73" s="309">
        <f>'Net revenue summary'!T206</f>
        <v>0.30283168144685191</v>
      </c>
      <c r="U73" s="309">
        <f>'Net revenue summary'!U206</f>
        <v>0.3028385836685123</v>
      </c>
      <c r="V73" s="309">
        <f>'Net revenue summary'!V206</f>
        <v>0.30284621396510925</v>
      </c>
      <c r="W73" s="165"/>
      <c r="X73" s="165"/>
      <c r="Y73" s="165"/>
      <c r="Z73" s="165"/>
      <c r="AA73" s="165"/>
      <c r="AB73" s="165"/>
      <c r="AC73" s="165"/>
      <c r="AD73" s="165"/>
      <c r="AE73" s="165"/>
      <c r="AF73" s="165"/>
      <c r="AG73" s="309">
        <f>'Net revenue summary'!AG206</f>
        <v>0.30291606784332387</v>
      </c>
      <c r="AH73" s="309">
        <f>'Net revenue summary'!AH206</f>
        <v>0</v>
      </c>
      <c r="AI73" s="165"/>
      <c r="AJ73" s="309">
        <f>'Net revenue summary'!AJ206</f>
        <v>-2.1892157478710841E-16</v>
      </c>
      <c r="AK73" s="165"/>
      <c r="AL73" s="165"/>
    </row>
    <row r="74" spans="2:40" x14ac:dyDescent="0.3">
      <c r="C74" s="235"/>
      <c r="D74"/>
      <c r="E74" s="37" t="s">
        <v>797</v>
      </c>
      <c r="F74" s="37"/>
      <c r="G74" s="67" t="s">
        <v>169</v>
      </c>
      <c r="H74" s="37" t="s">
        <v>451</v>
      </c>
      <c r="I74" s="37"/>
      <c r="J74" s="310">
        <f>'Net revenue summary'!J207</f>
        <v>0.4390300558952161</v>
      </c>
      <c r="K74" s="310">
        <f>'Net revenue summary'!K207</f>
        <v>0</v>
      </c>
      <c r="L74" s="310">
        <f>'Net revenue summary'!L207</f>
        <v>0</v>
      </c>
      <c r="M74" s="310">
        <f>'Net revenue summary'!M207</f>
        <v>0.43934241448101696</v>
      </c>
      <c r="N74" s="310">
        <f>'Net revenue summary'!N207</f>
        <v>0.43993872528076589</v>
      </c>
      <c r="O74" s="310">
        <f>'Net revenue summary'!O207</f>
        <v>0.44024068457664356</v>
      </c>
      <c r="P74" s="310">
        <f>'Net revenue summary'!P207</f>
        <v>0.44033789482464292</v>
      </c>
      <c r="Q74" s="310">
        <f>'Net revenue summary'!Q207</f>
        <v>0</v>
      </c>
      <c r="R74" s="310">
        <f>'Net revenue summary'!R207</f>
        <v>0</v>
      </c>
      <c r="S74" s="310">
        <f>'Net revenue summary'!S207</f>
        <v>0.44011120123312486</v>
      </c>
      <c r="T74" s="310">
        <f>'Net revenue summary'!T207</f>
        <v>0.44010831098181236</v>
      </c>
      <c r="U74" s="310">
        <f>'Net revenue summary'!U207</f>
        <v>0.44010959842360031</v>
      </c>
      <c r="V74" s="310">
        <f>'Net revenue summary'!V207</f>
        <v>0.44011536472522056</v>
      </c>
      <c r="W74" s="310">
        <f>'Net revenue summary'!W207</f>
        <v>0</v>
      </c>
      <c r="X74" s="310">
        <f>'Net revenue summary'!X207</f>
        <v>0.18251232138214027</v>
      </c>
      <c r="Y74" s="310">
        <f>'Net revenue summary'!Y207</f>
        <v>0.18253414749583263</v>
      </c>
      <c r="Z74" s="310">
        <f>'Net revenue summary'!Z207</f>
        <v>0.18253888287532186</v>
      </c>
      <c r="AA74" s="310">
        <f>'Net revenue summary'!AA207</f>
        <v>0.18255160035002121</v>
      </c>
      <c r="AB74" s="310">
        <f>'Net revenue summary'!AB207</f>
        <v>0</v>
      </c>
      <c r="AC74" s="310">
        <f>'Net revenue summary'!AC207</f>
        <v>7.3678742512418224E-2</v>
      </c>
      <c r="AD74" s="310">
        <f>'Net revenue summary'!AD207</f>
        <v>7.3675954175139086E-2</v>
      </c>
      <c r="AE74" s="310">
        <f>'Net revenue summary'!AE207</f>
        <v>7.3669502376877985E-2</v>
      </c>
      <c r="AF74" s="310">
        <f>'Net revenue summary'!AF207</f>
        <v>7.366012257598735E-2</v>
      </c>
      <c r="AG74" s="310">
        <f>'Net revenue summary'!AG207</f>
        <v>0.44013183152820606</v>
      </c>
      <c r="AH74" s="310">
        <f>'Net revenue summary'!AH207</f>
        <v>0</v>
      </c>
      <c r="AI74" s="310">
        <f>'Net revenue summary'!AI207</f>
        <v>0</v>
      </c>
      <c r="AJ74" s="310">
        <f>'Net revenue summary'!AJ207</f>
        <v>-2.1892157478710841E-16</v>
      </c>
      <c r="AK74" s="310">
        <f>'Net revenue summary'!AL207</f>
        <v>0</v>
      </c>
      <c r="AL74" s="310">
        <f>'Net revenue summary'!AN207</f>
        <v>-9.4596146414210516E-3</v>
      </c>
    </row>
    <row r="76" spans="2:40" x14ac:dyDescent="0.3">
      <c r="B76" s="30" t="s">
        <v>233</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234</v>
      </c>
      <c r="G78" s="6" t="s">
        <v>57</v>
      </c>
      <c r="H78" s="103">
        <f t="array" ref="H78">SUM(IF(ISERROR(H19:AL75), 1))</f>
        <v>0</v>
      </c>
    </row>
    <row r="80" spans="2:40" x14ac:dyDescent="0.3">
      <c r="B80" s="30" t="s">
        <v>108</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[enter DNO name] - [enter data version name]</v>
      </c>
    </row>
    <row r="3" spans="1:9" s="5" customFormat="1" ht="14.4" x14ac:dyDescent="0.3">
      <c r="A3" s="5" t="str">
        <f>Cover!D2&amp;" - "&amp;Cover!D8&amp;" v"&amp;Cover!D10&amp;" - "&amp;Cover!D19</f>
        <v>CDCM charging model - Release for charge setting v7 - 2022/23</v>
      </c>
    </row>
    <row r="5" spans="1:9" customFormat="1" ht="14.4" x14ac:dyDescent="0.3">
      <c r="A5" s="9"/>
      <c r="B5" s="41" t="s">
        <v>109</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108</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[enter DNO name] - [enter data version name]</v>
      </c>
    </row>
    <row r="3" spans="1:7" s="5" customFormat="1" x14ac:dyDescent="0.3">
      <c r="A3" s="5" t="str">
        <f>Cover!D2&amp;" - "&amp;Cover!D8&amp;" v"&amp;Cover!D10&amp;" - "&amp;Cover!D19</f>
        <v>CDCM charging model - Release for charge setting v7 - 2022/23</v>
      </c>
    </row>
    <row r="5" spans="1:7" x14ac:dyDescent="0.3">
      <c r="B5" s="30" t="s">
        <v>12</v>
      </c>
      <c r="C5" s="30"/>
      <c r="D5" s="30"/>
      <c r="E5" s="30"/>
      <c r="F5" s="30"/>
      <c r="G5" s="30"/>
    </row>
    <row r="7" spans="1:7" x14ac:dyDescent="0.3">
      <c r="C7" s="29" t="s">
        <v>110</v>
      </c>
    </row>
    <row r="8" spans="1:7" x14ac:dyDescent="0.3">
      <c r="C8" s="29" t="s">
        <v>111</v>
      </c>
    </row>
    <row r="10" spans="1:7" x14ac:dyDescent="0.3">
      <c r="B10" s="30" t="s">
        <v>112</v>
      </c>
      <c r="C10" s="30"/>
      <c r="D10" s="30"/>
      <c r="E10" s="30"/>
      <c r="F10" s="30"/>
      <c r="G10" s="30"/>
    </row>
    <row r="12" spans="1:7" x14ac:dyDescent="0.3">
      <c r="C12" s="29" t="s">
        <v>113</v>
      </c>
    </row>
    <row r="14" spans="1:7" ht="15" thickBot="1" x14ac:dyDescent="0.35">
      <c r="F14" s="321" t="s">
        <v>114</v>
      </c>
      <c r="G14" s="287" t="s">
        <v>115</v>
      </c>
    </row>
    <row r="15" spans="1:7" ht="15.6" thickTop="1" thickBot="1" x14ac:dyDescent="0.35">
      <c r="F15" s="289" t="s">
        <v>116</v>
      </c>
    </row>
    <row r="16" spans="1:7" ht="15" thickTop="1" x14ac:dyDescent="0.3">
      <c r="F16" s="289" t="s">
        <v>117</v>
      </c>
      <c r="G16" s="58" t="str">
        <f>'Version control'!$B$5</f>
        <v>Model version</v>
      </c>
    </row>
    <row r="17" spans="6:7" x14ac:dyDescent="0.3">
      <c r="F17" s="288" t="s">
        <v>118</v>
      </c>
      <c r="G17" s="58" t="str">
        <f>'Version control'!$B$17</f>
        <v>Version log</v>
      </c>
    </row>
    <row r="18" spans="6:7" x14ac:dyDescent="0.3">
      <c r="F18" s="288" t="s">
        <v>118</v>
      </c>
      <c r="G18" s="58" t="str">
        <f>'Version control'!$B$31</f>
        <v>Model checks</v>
      </c>
    </row>
    <row r="19" spans="6:7" ht="15" thickBot="1" x14ac:dyDescent="0.35">
      <c r="F19" s="288" t="s">
        <v>118</v>
      </c>
      <c r="G19" s="58" t="str">
        <f>'Version control'!$B$60</f>
        <v>Version log lists</v>
      </c>
    </row>
    <row r="20" spans="6:7" ht="15.6" thickTop="1" thickBot="1" x14ac:dyDescent="0.35">
      <c r="F20" s="289" t="s">
        <v>109</v>
      </c>
      <c r="G20" s="58" t="str">
        <f>'Model map'!$B$5</f>
        <v>Model map</v>
      </c>
    </row>
    <row r="21" spans="6:7" ht="15.6" thickTop="1" thickBot="1" x14ac:dyDescent="0.35">
      <c r="F21" s="289" t="s">
        <v>119</v>
      </c>
      <c r="G21" s="58" t="str">
        <f>'Named ranges'!$B$5</f>
        <v>List of named ranges</v>
      </c>
    </row>
    <row r="22" spans="6:7" ht="15.6" thickTop="1" thickBot="1" x14ac:dyDescent="0.35">
      <c r="F22" s="291" t="s">
        <v>55</v>
      </c>
      <c r="G22" s="58" t="str">
        <f>'Fixed inputs'!$B$11</f>
        <v>Fixed inputs</v>
      </c>
    </row>
    <row r="23" spans="6:7" ht="15.6" thickTop="1" thickBot="1" x14ac:dyDescent="0.35">
      <c r="F23" s="291" t="s">
        <v>58</v>
      </c>
      <c r="G23" s="58" t="str">
        <f>'Inputs by customer type'!$B$11</f>
        <v>Inputs by customer type</v>
      </c>
    </row>
    <row r="24" spans="6:7" ht="15.6" thickTop="1" thickBot="1" x14ac:dyDescent="0.35">
      <c r="F24" s="291" t="s">
        <v>60</v>
      </c>
      <c r="G24" s="58" t="str">
        <f>'Inputs by network level'!$B$11</f>
        <v>Inputs by network level</v>
      </c>
    </row>
    <row r="25" spans="6:7" ht="15.6" thickTop="1" thickBot="1" x14ac:dyDescent="0.35">
      <c r="F25" s="291" t="s">
        <v>62</v>
      </c>
      <c r="G25" s="58" t="str">
        <f>'General inputs'!$B$11</f>
        <v>General inputs</v>
      </c>
    </row>
    <row r="26" spans="6:7" ht="15.6" thickTop="1" thickBot="1" x14ac:dyDescent="0.35">
      <c r="F26" s="293" t="s">
        <v>122</v>
      </c>
      <c r="G26" s="58" t="str">
        <f>'Standing charge factors'!$B$17</f>
        <v>Adjustments to standing charges</v>
      </c>
    </row>
    <row r="27" spans="6:7" ht="15" thickTop="1" x14ac:dyDescent="0.3">
      <c r="F27" s="293" t="s">
        <v>66</v>
      </c>
      <c r="G27" s="58" t="str">
        <f>'Load &amp; loss characteristics'!$B$13</f>
        <v>Load and loss characteristics</v>
      </c>
    </row>
    <row r="28" spans="6:7" ht="15" thickBot="1" x14ac:dyDescent="0.35">
      <c r="F28" s="292" t="s">
        <v>118</v>
      </c>
      <c r="G28" s="58" t="str">
        <f>'Load &amp; loss characteristics'!$B$31</f>
        <v>User loss factor adjustments</v>
      </c>
    </row>
    <row r="29" spans="6:7" ht="15.6" thickTop="1" thickBot="1" x14ac:dyDescent="0.35">
      <c r="F29" s="293" t="s">
        <v>68</v>
      </c>
      <c r="G29" s="58" t="str">
        <f>'Customer contributions'!$B$12</f>
        <v>Customer contributions</v>
      </c>
    </row>
    <row r="30" spans="6:7" ht="15" thickTop="1" x14ac:dyDescent="0.3">
      <c r="F30" s="293" t="s">
        <v>70</v>
      </c>
      <c r="G30" s="58" t="str">
        <f>'Volume adjustments'!$B$13</f>
        <v>LDNO discounts</v>
      </c>
    </row>
    <row r="31" spans="6:7" x14ac:dyDescent="0.3">
      <c r="F31" s="292" t="s">
        <v>118</v>
      </c>
      <c r="G31" s="58" t="str">
        <f>'Volume adjustments'!$B$51</f>
        <v>Volume discounting</v>
      </c>
    </row>
    <row r="32" spans="6:7" ht="15" thickBot="1" x14ac:dyDescent="0.35">
      <c r="F32" s="292" t="s">
        <v>118</v>
      </c>
      <c r="G32" s="58" t="str">
        <f>'Volume adjustments'!$B$310</f>
        <v>Volume discounting for revenue matching</v>
      </c>
    </row>
    <row r="33" spans="6:7" ht="15" thickTop="1" x14ac:dyDescent="0.3">
      <c r="F33" s="293" t="s">
        <v>72</v>
      </c>
      <c r="G33" s="58" t="str">
        <f>'Pseudo-load coefficients'!$B$13</f>
        <v>Step 1: Ratio of coincidence to load factor assuming units evenly spread within time bands, and peak falls in Red period</v>
      </c>
    </row>
    <row r="34" spans="6:7" x14ac:dyDescent="0.3">
      <c r="F34" s="292" t="s">
        <v>118</v>
      </c>
      <c r="G34" s="58" t="str">
        <f>'Pseudo-load coefficients'!$B$56</f>
        <v>Step 2: Calculate correction factor</v>
      </c>
    </row>
    <row r="35" spans="6:7" x14ac:dyDescent="0.3">
      <c r="F35" s="292" t="s">
        <v>118</v>
      </c>
      <c r="G35" s="58" t="str">
        <f>'Pseudo-load coefficients'!$B$95</f>
        <v>Step 3: Ratio of coincidence factor (to network asset peak) to load factor, given peaking probabilities, multiplied by correction factor</v>
      </c>
    </row>
    <row r="36" spans="6:7" ht="15" thickBot="1" x14ac:dyDescent="0.35">
      <c r="F36" s="292" t="s">
        <v>118</v>
      </c>
      <c r="G36" s="58" t="str">
        <f>'Pseudo-load coefficients'!$B$261</f>
        <v>Step 4: Results of Step 3</v>
      </c>
    </row>
    <row r="37" spans="6:7" ht="15" thickTop="1" x14ac:dyDescent="0.3">
      <c r="F37" s="293" t="s">
        <v>74</v>
      </c>
      <c r="G37" s="58" t="str">
        <f>'System peak demand'!$B$16</f>
        <v>Common inputs for chargeable load calculations</v>
      </c>
    </row>
    <row r="38" spans="6:7" x14ac:dyDescent="0.3">
      <c r="F38" s="292" t="s">
        <v>118</v>
      </c>
      <c r="G38" s="58" t="str">
        <f>'System peak demand'!$B$63</f>
        <v>Load at system peak charged to unit rates</v>
      </c>
    </row>
    <row r="39" spans="6:7" x14ac:dyDescent="0.3">
      <c r="F39" s="292" t="s">
        <v>118</v>
      </c>
      <c r="G39" s="58" t="str">
        <f>'System peak demand'!$B$179</f>
        <v>Load at system peak charged to standing charges</v>
      </c>
    </row>
    <row r="40" spans="6:7" ht="15" thickBot="1" x14ac:dyDescent="0.35">
      <c r="F40" s="292" t="s">
        <v>118</v>
      </c>
      <c r="G40" s="58" t="str">
        <f>'System peak demand'!$B$262</f>
        <v>System peak based on chargeable load</v>
      </c>
    </row>
    <row r="41" spans="6:7" ht="15.6" thickTop="1" thickBot="1" x14ac:dyDescent="0.35">
      <c r="F41" s="293" t="s">
        <v>76</v>
      </c>
      <c r="G41" s="58" t="str">
        <f>'Service model assets'!$B$12</f>
        <v>Service model notional asset values</v>
      </c>
    </row>
    <row r="42" spans="6:7" ht="15" thickTop="1" x14ac:dyDescent="0.3">
      <c r="F42" s="293" t="s">
        <v>78</v>
      </c>
      <c r="G42" s="58" t="str">
        <f>'Unit costs'!$B$15</f>
        <v>500MW model costs</v>
      </c>
    </row>
    <row r="43" spans="6:7" x14ac:dyDescent="0.3">
      <c r="F43" s="292" t="s">
        <v>118</v>
      </c>
      <c r="G43" s="58" t="str">
        <f>'Unit costs'!$B$58</f>
        <v>Allocation of other costs</v>
      </c>
    </row>
    <row r="44" spans="6:7" ht="15" thickBot="1" x14ac:dyDescent="0.35">
      <c r="F44" s="292" t="s">
        <v>118</v>
      </c>
      <c r="G44" s="58" t="str">
        <f>'Unit costs'!$B$102</f>
        <v>Outputs</v>
      </c>
    </row>
    <row r="45" spans="6:7" ht="15" thickTop="1" x14ac:dyDescent="0.3">
      <c r="F45" s="293" t="s">
        <v>80</v>
      </c>
      <c r="G45" s="58" t="str">
        <f>'Initial unit rates'!$B$11</f>
        <v>Inputs for yardstick and unit rate calculations</v>
      </c>
    </row>
    <row r="46" spans="6:7" ht="15" thickBot="1" x14ac:dyDescent="0.35">
      <c r="F46" s="292" t="s">
        <v>118</v>
      </c>
      <c r="G46" s="58" t="str">
        <f>'Initial unit rates'!$B$116</f>
        <v>Calculation of yardstick &amp; unit rate charges</v>
      </c>
    </row>
    <row r="47" spans="6:7" ht="15" thickTop="1" x14ac:dyDescent="0.3">
      <c r="F47" s="293" t="s">
        <v>82</v>
      </c>
      <c r="G47" s="58" t="str">
        <f>'Service model charges'!$B$13</f>
        <v>Inputs to service model charge calculation</v>
      </c>
    </row>
    <row r="48" spans="6:7" ht="15" thickBot="1" x14ac:dyDescent="0.35">
      <c r="F48" s="292" t="s">
        <v>118</v>
      </c>
      <c r="G48" s="58" t="str">
        <f>'Service model charges'!$B$29</f>
        <v>Allocation of service model costs</v>
      </c>
    </row>
    <row r="49" spans="6:7" ht="15" thickTop="1" x14ac:dyDescent="0.3">
      <c r="F49" s="293" t="s">
        <v>84</v>
      </c>
      <c r="G49" s="58" t="str">
        <f>'Unit rate charges'!$B$15</f>
        <v>Inputs to unit rate charge calculations</v>
      </c>
    </row>
    <row r="50" spans="6:7" ht="15" thickBot="1" x14ac:dyDescent="0.35">
      <c r="F50" s="292" t="s">
        <v>118</v>
      </c>
      <c r="G50" s="58" t="str">
        <f>'Unit rate charges'!$B$122</f>
        <v>Application of standing charges to unit rates</v>
      </c>
    </row>
    <row r="51" spans="6:7" ht="15" thickTop="1" x14ac:dyDescent="0.3">
      <c r="F51" s="293" t="s">
        <v>88</v>
      </c>
      <c r="G51" s="58" t="str">
        <f>'Capacity charges'!$B$17</f>
        <v>Inputs to capacity charge calculations</v>
      </c>
    </row>
    <row r="52" spans="6:7" x14ac:dyDescent="0.3">
      <c r="F52" s="292" t="s">
        <v>118</v>
      </c>
      <c r="G52" s="58" t="str">
        <f>'Capacity charges'!$B$125</f>
        <v>Calculation of capacity charges</v>
      </c>
    </row>
    <row r="53" spans="6:7" ht="15" thickBot="1" x14ac:dyDescent="0.35">
      <c r="F53" s="292" t="s">
        <v>118</v>
      </c>
      <c r="G53" s="58" t="str">
        <f>'Capacity charges'!$B$249</f>
        <v>Capacity charges (and elements allocated to fixed charges)</v>
      </c>
    </row>
    <row r="54" spans="6:7" ht="15" thickTop="1" x14ac:dyDescent="0.3">
      <c r="F54" s="293" t="s">
        <v>86</v>
      </c>
      <c r="G54" s="58" t="str">
        <f>'Reactive power charges'!$B$13</f>
        <v>Inputs to reactive power charge calculations</v>
      </c>
    </row>
    <row r="55" spans="6:7" x14ac:dyDescent="0.3">
      <c r="F55" s="292" t="s">
        <v>118</v>
      </c>
      <c r="G55" s="58" t="str">
        <f>'Reactive power charges'!$B$150</f>
        <v>Calculation of yardstick charges for generation</v>
      </c>
    </row>
    <row r="56" spans="6:7" ht="15" thickBot="1" x14ac:dyDescent="0.35">
      <c r="F56" s="292" t="s">
        <v>118</v>
      </c>
      <c r="G56" s="58" t="str">
        <f>'Reactive power charges'!$B$185</f>
        <v>Calculation of reactive power charges</v>
      </c>
    </row>
    <row r="57" spans="6:7" ht="15" thickTop="1" x14ac:dyDescent="0.3">
      <c r="F57" s="293" t="s">
        <v>90</v>
      </c>
      <c r="G57" s="58" t="str">
        <f>'Fixed charges'!$B$14</f>
        <v>Inputs to fixed charge calculations</v>
      </c>
    </row>
    <row r="58" spans="6:7" ht="15" thickBot="1" x14ac:dyDescent="0.35">
      <c r="F58" s="292" t="s">
        <v>118</v>
      </c>
      <c r="G58" s="58" t="str">
        <f>'Fixed charges'!$B$65</f>
        <v>Calculation of fixed charges</v>
      </c>
    </row>
    <row r="59" spans="6:7" ht="15.6" thickTop="1" thickBot="1" x14ac:dyDescent="0.35">
      <c r="F59" s="293" t="s">
        <v>1159</v>
      </c>
      <c r="G59" s="58" t="str">
        <f>'SoLR &amp; bad debt adders'!$B$12</f>
        <v>Fixed tariff adjustments</v>
      </c>
    </row>
    <row r="60" spans="6:7" ht="15" thickTop="1" x14ac:dyDescent="0.3">
      <c r="F60" s="293" t="s">
        <v>92</v>
      </c>
      <c r="G60" s="58" t="str">
        <f>'Revenue matching'!$B$13</f>
        <v>Pre-matching net revenue calculations</v>
      </c>
    </row>
    <row r="61" spans="6:7" x14ac:dyDescent="0.3">
      <c r="F61" s="292" t="s">
        <v>118</v>
      </c>
      <c r="G61" s="58" t="str">
        <f>'Revenue matching'!$B$86</f>
        <v>Residual charge calculation</v>
      </c>
    </row>
    <row r="62" spans="6:7" x14ac:dyDescent="0.3">
      <c r="F62" s="292" t="s">
        <v>118</v>
      </c>
      <c r="G62" s="58" t="str">
        <f>'Revenue matching'!$B$209</f>
        <v>Adjustments for negative fixed charges</v>
      </c>
    </row>
    <row r="63" spans="6:7" ht="15" thickBot="1" x14ac:dyDescent="0.35">
      <c r="F63" s="292" t="s">
        <v>118</v>
      </c>
      <c r="G63" s="58" t="str">
        <f>'Revenue matching'!$B$407</f>
        <v>Final adders</v>
      </c>
    </row>
    <row r="64" spans="6:7" ht="15" thickTop="1" x14ac:dyDescent="0.3">
      <c r="F64" s="293" t="s">
        <v>94</v>
      </c>
      <c r="G64" s="58" t="str">
        <f>Rounding!$B$12</f>
        <v>Inputs</v>
      </c>
    </row>
    <row r="65" spans="2:7" ht="15" thickBot="1" x14ac:dyDescent="0.35">
      <c r="F65" s="292" t="s">
        <v>118</v>
      </c>
      <c r="G65" s="58" t="str">
        <f>Rounding!$B$103</f>
        <v>Rounding of tariff forecast</v>
      </c>
    </row>
    <row r="66" spans="2:7" ht="15" thickTop="1" x14ac:dyDescent="0.3">
      <c r="F66" s="293" t="s">
        <v>96</v>
      </c>
      <c r="G66" s="58" t="str">
        <f>'Net revenue summary'!$B$11</f>
        <v>Inputs to net revenue summary calculation</v>
      </c>
    </row>
    <row r="67" spans="2:7" x14ac:dyDescent="0.3">
      <c r="F67" s="292" t="s">
        <v>118</v>
      </c>
      <c r="G67" s="58" t="str">
        <f>'Net revenue summary'!$B$90</f>
        <v>Typical bills</v>
      </c>
    </row>
    <row r="68" spans="2:7" x14ac:dyDescent="0.3">
      <c r="F68" s="292" t="s">
        <v>118</v>
      </c>
      <c r="G68" s="58" t="str">
        <f>'Net revenue summary'!$B$150</f>
        <v>Comparison with previous year</v>
      </c>
    </row>
    <row r="69" spans="2:7" ht="15" thickBot="1" x14ac:dyDescent="0.35">
      <c r="F69" s="292" t="s">
        <v>118</v>
      </c>
      <c r="G69" s="58" t="str">
        <f>'Net revenue summary'!$B$176</f>
        <v>LDNO margins</v>
      </c>
    </row>
    <row r="70" spans="2:7" ht="15.6" thickTop="1" thickBot="1" x14ac:dyDescent="0.35">
      <c r="F70" s="295" t="s">
        <v>98</v>
      </c>
      <c r="G70" s="58" t="str">
        <f>'Tariff summary'!$B$11</f>
        <v>Tariff summary</v>
      </c>
    </row>
    <row r="71" spans="2:7" ht="15" thickTop="1" x14ac:dyDescent="0.3">
      <c r="F71" s="295" t="s">
        <v>100</v>
      </c>
      <c r="G71" s="58" t="str">
        <f>'Output to other models'!$B$12</f>
        <v>Outputs for PCDM</v>
      </c>
    </row>
    <row r="72" spans="2:7" x14ac:dyDescent="0.3">
      <c r="F72" s="294" t="s">
        <v>118</v>
      </c>
      <c r="G72" s="58" t="str">
        <f>'Output to other models'!$B$25</f>
        <v>Outputs for EDCM</v>
      </c>
    </row>
    <row r="73" spans="2:7" x14ac:dyDescent="0.3">
      <c r="F73" s="294" t="s">
        <v>118</v>
      </c>
      <c r="G73" s="58" t="str">
        <f>'Output to other models'!$B$55</f>
        <v>Outputs for users' internal use</v>
      </c>
    </row>
    <row r="75" spans="2:7" x14ac:dyDescent="0.3">
      <c r="B75" s="30" t="s">
        <v>120</v>
      </c>
      <c r="C75" s="30"/>
      <c r="D75" s="30"/>
      <c r="E75" s="30"/>
      <c r="F75" s="30"/>
      <c r="G75" s="30"/>
    </row>
    <row r="77" spans="2:7" x14ac:dyDescent="0.3">
      <c r="C77" s="29" t="s">
        <v>121</v>
      </c>
    </row>
    <row r="79" spans="2:7" ht="15" thickBot="1" x14ac:dyDescent="0.35">
      <c r="F79" s="321" t="s">
        <v>114</v>
      </c>
      <c r="G79" s="287" t="s">
        <v>115</v>
      </c>
    </row>
    <row r="80" spans="2:7" ht="15" thickTop="1" x14ac:dyDescent="0.3">
      <c r="F80" s="291" t="s">
        <v>55</v>
      </c>
      <c r="G80" s="58" t="str">
        <f ca="1">'Fixed inputs'!$C$13</f>
        <v>Input 101-A: Conversions and time</v>
      </c>
    </row>
    <row r="81" spans="6:7" x14ac:dyDescent="0.3">
      <c r="F81" s="290" t="s">
        <v>118</v>
      </c>
      <c r="G81" s="58" t="str">
        <f ca="1">'Fixed inputs'!$C$20</f>
        <v>Input 101-B: Input 101-B: Rounding</v>
      </c>
    </row>
    <row r="82" spans="6:7" x14ac:dyDescent="0.3">
      <c r="F82" s="290" t="s">
        <v>118</v>
      </c>
      <c r="G82" s="58" t="str">
        <f ca="1">'Fixed inputs'!$C$33</f>
        <v>Input 101-C: Financial and general assumptions</v>
      </c>
    </row>
    <row r="83" spans="6:7" x14ac:dyDescent="0.3">
      <c r="F83" s="290" t="s">
        <v>118</v>
      </c>
      <c r="G83" s="58" t="str">
        <f ca="1">'Fixed inputs'!$C$43</f>
        <v>Input 101-D: Mappings</v>
      </c>
    </row>
    <row r="84" spans="6:7" x14ac:dyDescent="0.3">
      <c r="F84" s="290" t="s">
        <v>118</v>
      </c>
      <c r="G84" s="58" t="str">
        <f ca="1">'Fixed inputs'!$C$84</f>
        <v>Input 101-E: Standing charge factors</v>
      </c>
    </row>
    <row r="85" spans="6:7" x14ac:dyDescent="0.3">
      <c r="F85" s="290" t="s">
        <v>118</v>
      </c>
      <c r="G85" s="58" t="str">
        <f ca="1">'Fixed inputs'!$C$99</f>
        <v>Input 101-F: Flags</v>
      </c>
    </row>
    <row r="86" spans="6:7" x14ac:dyDescent="0.3">
      <c r="F86" s="290" t="s">
        <v>118</v>
      </c>
      <c r="G86" s="58" t="str">
        <f ca="1">'Fixed inputs'!$C$141</f>
        <v>Input 101-G: Identifiers for customer groupings</v>
      </c>
    </row>
    <row r="87" spans="6:7" x14ac:dyDescent="0.3">
      <c r="F87" s="290" t="s">
        <v>118</v>
      </c>
      <c r="G87" s="58" t="str">
        <f ca="1">'Fixed inputs'!$C$151</f>
        <v>Input 101-H: Decimal places for error checks</v>
      </c>
    </row>
    <row r="88" spans="6:7" x14ac:dyDescent="0.3">
      <c r="F88" s="290" t="s">
        <v>118</v>
      </c>
      <c r="G88" s="58" t="str">
        <f ca="1">'Fixed inputs'!$C$155</f>
        <v>Input 101-I: Map of applicable MPANs</v>
      </c>
    </row>
    <row r="89" spans="6:7" ht="15" thickBot="1" x14ac:dyDescent="0.35">
      <c r="F89" s="290" t="s">
        <v>118</v>
      </c>
      <c r="G89" s="58" t="str">
        <f ca="1">'Fixed inputs'!$C$161</f>
        <v>Input 101-J: Revenue matching inputs</v>
      </c>
    </row>
    <row r="90" spans="6:7" ht="15" thickTop="1" x14ac:dyDescent="0.3">
      <c r="F90" s="291" t="s">
        <v>58</v>
      </c>
      <c r="G90" s="58" t="str">
        <f ca="1">'Inputs by customer type'!$C$13</f>
        <v>Input 102-A: Load characteristics</v>
      </c>
    </row>
    <row r="91" spans="6:7" x14ac:dyDescent="0.3">
      <c r="F91" s="290" t="s">
        <v>118</v>
      </c>
      <c r="G91" s="58" t="str">
        <f ca="1">'Inputs by customer type'!$C$18</f>
        <v>Input 102-B: Volume forecasts for the charging year</v>
      </c>
    </row>
    <row r="92" spans="6:7" x14ac:dyDescent="0.3">
      <c r="F92" s="290" t="s">
        <v>118</v>
      </c>
      <c r="G92" s="58" t="str">
        <f ca="1">'Inputs by customer type'!$C$163</f>
        <v>Input 102-C: Non-Domestic Aggregated (Related MPAN) distribution by bands</v>
      </c>
    </row>
    <row r="93" spans="6:7" x14ac:dyDescent="0.3">
      <c r="F93" s="290" t="s">
        <v>118</v>
      </c>
      <c r="G93" s="58" t="str">
        <f ca="1">'Inputs by customer type'!$C$183</f>
        <v>Input 102-D: Service model asset values</v>
      </c>
    </row>
    <row r="94" spans="6:7" x14ac:dyDescent="0.3">
      <c r="F94" s="290" t="s">
        <v>118</v>
      </c>
      <c r="G94" s="58" t="str">
        <f ca="1">'Inputs by customer type'!$C$192</f>
        <v>Input 102-E: Previous year all-the-way tariff forecast</v>
      </c>
    </row>
    <row r="95" spans="6:7" ht="15" thickBot="1" x14ac:dyDescent="0.35">
      <c r="F95" s="290" t="s">
        <v>118</v>
      </c>
      <c r="G95" s="58" t="str">
        <f ca="1">'Inputs by customer type'!$C$206</f>
        <v>Input 102-F: Previous year net revenue (if known)</v>
      </c>
    </row>
    <row r="96" spans="6:7" ht="15" thickTop="1" x14ac:dyDescent="0.3">
      <c r="F96" s="291" t="s">
        <v>60</v>
      </c>
      <c r="G96" s="58" t="str">
        <f ca="1">'Inputs by network level'!$C$13</f>
        <v>Input 103-A: Network and load inputs</v>
      </c>
    </row>
    <row r="97" spans="6:7" x14ac:dyDescent="0.3">
      <c r="F97" s="290" t="s">
        <v>118</v>
      </c>
      <c r="G97" s="58" t="str">
        <f ca="1">'Inputs by network level'!$C$23</f>
        <v>Input 103-B: Customer contributions under current connection charging policy</v>
      </c>
    </row>
    <row r="98" spans="6:7" x14ac:dyDescent="0.3">
      <c r="F98" s="290" t="s">
        <v>118</v>
      </c>
      <c r="G98" s="58" t="str">
        <f ca="1">'Inputs by network level'!$C$31</f>
        <v>Input 103-C: DRM asset costs</v>
      </c>
    </row>
    <row r="99" spans="6:7" ht="15" thickBot="1" x14ac:dyDescent="0.35">
      <c r="F99" s="290" t="s">
        <v>118</v>
      </c>
      <c r="G99" s="58" t="str">
        <f ca="1">'Inputs by network level'!$C$35</f>
        <v>Input 103-D: Peaking probabilities by network level</v>
      </c>
    </row>
    <row r="100" spans="6:7" ht="15" thickTop="1" x14ac:dyDescent="0.3">
      <c r="F100" s="291" t="s">
        <v>62</v>
      </c>
      <c r="G100" s="58" t="str">
        <f ca="1">'General inputs'!$C$13</f>
        <v>Input 104-A: Inputs by distribution timeband</v>
      </c>
    </row>
    <row r="101" spans="6:7" x14ac:dyDescent="0.3">
      <c r="F101" s="290" t="s">
        <v>118</v>
      </c>
      <c r="G101" s="58" t="str">
        <f ca="1">'General inputs'!$C$25</f>
        <v>Input 104-B: LDNO discount inputs</v>
      </c>
    </row>
    <row r="102" spans="6:7" x14ac:dyDescent="0.3">
      <c r="F102" s="290" t="s">
        <v>118</v>
      </c>
      <c r="G102" s="58" t="str">
        <f ca="1">'General inputs'!$C$35</f>
        <v>Input 104-C: CDCM target revenue</v>
      </c>
    </row>
    <row r="103" spans="6:7" x14ac:dyDescent="0.3">
      <c r="F103" s="290" t="s">
        <v>118</v>
      </c>
      <c r="G103" s="58" t="str">
        <f ca="1">'General inputs'!$C$89</f>
        <v>Input 104-D: Financial and general assumptions</v>
      </c>
    </row>
    <row r="104" spans="6:7" x14ac:dyDescent="0.3">
      <c r="F104" s="290" t="s">
        <v>118</v>
      </c>
      <c r="G104" s="58" t="str">
        <f ca="1">'General inputs'!$C$95</f>
        <v>Input 104-E: Transmission exit charges</v>
      </c>
    </row>
    <row r="105" spans="6:7" ht="15" thickBot="1" x14ac:dyDescent="0.35">
      <c r="F105" s="290" t="s">
        <v>118</v>
      </c>
      <c r="G105" s="58" t="str">
        <f ca="1">'General inputs'!$C$99</f>
        <v>Input 104-F: Other expenditure</v>
      </c>
    </row>
    <row r="106" spans="6:7" ht="15.6" thickTop="1" thickBot="1" x14ac:dyDescent="0.35">
      <c r="F106" s="293" t="s">
        <v>122</v>
      </c>
      <c r="G106" s="58" t="str">
        <f ca="1">'Standing charge factors'!$C$19</f>
        <v>Section 101-A: Adjustments to standing charges</v>
      </c>
    </row>
    <row r="107" spans="6:7" ht="15" thickTop="1" x14ac:dyDescent="0.3">
      <c r="F107" s="293" t="s">
        <v>66</v>
      </c>
      <c r="G107" s="58" t="str">
        <f ca="1">'Load &amp; loss characteristics'!$C$17</f>
        <v>Section 102-A: Load characteristics</v>
      </c>
    </row>
    <row r="108" spans="6:7" x14ac:dyDescent="0.3">
      <c r="F108" s="292" t="s">
        <v>118</v>
      </c>
      <c r="G108" s="58" t="str">
        <f ca="1">'Load &amp; loss characteristics'!$C$25</f>
        <v>Section 102-B: Loss adjustment factors</v>
      </c>
    </row>
    <row r="109" spans="6:7" x14ac:dyDescent="0.3">
      <c r="F109" s="292" t="s">
        <v>118</v>
      </c>
      <c r="G109" s="58" t="str">
        <f ca="1">'Load &amp; loss characteristics'!$C$35</f>
        <v>Section 102-C: Proportion of relevant load going through 132kV/HV direct transformation</v>
      </c>
    </row>
    <row r="110" spans="6:7" x14ac:dyDescent="0.3">
      <c r="F110" s="292" t="s">
        <v>118</v>
      </c>
      <c r="G110" s="58" t="str">
        <f ca="1">'Load &amp; loss characteristics'!$C$40</f>
        <v>Section 102-D: Network use factors</v>
      </c>
    </row>
    <row r="111" spans="6:7" ht="15" thickBot="1" x14ac:dyDescent="0.35">
      <c r="F111" s="292" t="s">
        <v>118</v>
      </c>
      <c r="G111" s="58" t="str">
        <f ca="1">'Load &amp; loss characteristics'!$C$121</f>
        <v>Section 102-E: User loss factors</v>
      </c>
    </row>
    <row r="112" spans="6:7" ht="15" thickTop="1" x14ac:dyDescent="0.3">
      <c r="F112" s="293" t="s">
        <v>68</v>
      </c>
      <c r="G112" s="58" t="str">
        <f ca="1">'Customer contributions'!$C$16</f>
        <v>Section 103-A: Network use factors</v>
      </c>
    </row>
    <row r="113" spans="6:7" ht="15" thickBot="1" x14ac:dyDescent="0.35">
      <c r="F113" s="292" t="s">
        <v>118</v>
      </c>
      <c r="G113" s="58" t="str">
        <f ca="1">'Customer contributions'!$C$38</f>
        <v>Section 103-B: Customer contributions</v>
      </c>
    </row>
    <row r="114" spans="6:7" ht="15" thickTop="1" x14ac:dyDescent="0.3">
      <c r="F114" s="293" t="s">
        <v>70</v>
      </c>
      <c r="G114" s="58" t="str">
        <f ca="1">'Volume adjustments'!$C$15</f>
        <v>Section 104-A: LDNO discounts</v>
      </c>
    </row>
    <row r="115" spans="6:7" x14ac:dyDescent="0.3">
      <c r="F115" s="292" t="s">
        <v>118</v>
      </c>
      <c r="G115" s="58" t="str">
        <f ca="1">'Volume adjustments'!$C$53</f>
        <v>Section 104-B: Aggregation of volumes</v>
      </c>
    </row>
    <row r="116" spans="6:7" x14ac:dyDescent="0.3">
      <c r="F116" s="292" t="s">
        <v>118</v>
      </c>
      <c r="G116" s="58" t="str">
        <f ca="1">'Volume adjustments'!$C$225</f>
        <v>Section 104-C: Volume discounting</v>
      </c>
    </row>
    <row r="117" spans="6:7" x14ac:dyDescent="0.3">
      <c r="F117" s="292" t="s">
        <v>118</v>
      </c>
      <c r="G117" s="58" t="str">
        <f ca="1">'Volume adjustments'!$C$332</f>
        <v>Section 104-D: No residual volume discounting</v>
      </c>
    </row>
    <row r="118" spans="6:7" x14ac:dyDescent="0.3">
      <c r="F118" s="292" t="s">
        <v>118</v>
      </c>
      <c r="G118" s="58" t="str">
        <f ca="1">'Volume adjustments'!$C$361</f>
        <v>Section 104-E: Residual band 1 volume discounting</v>
      </c>
    </row>
    <row r="119" spans="6:7" x14ac:dyDescent="0.3">
      <c r="F119" s="292" t="s">
        <v>118</v>
      </c>
      <c r="G119" s="58" t="str">
        <f ca="1">'Volume adjustments'!$C$390</f>
        <v>Section 104-F: Residual band 2 volume discounting</v>
      </c>
    </row>
    <row r="120" spans="6:7" x14ac:dyDescent="0.3">
      <c r="F120" s="292" t="s">
        <v>118</v>
      </c>
      <c r="G120" s="58" t="str">
        <f ca="1">'Volume adjustments'!$C$419</f>
        <v>Section 104-G: Residual band 3 volume discounting</v>
      </c>
    </row>
    <row r="121" spans="6:7" x14ac:dyDescent="0.3">
      <c r="F121" s="292" t="s">
        <v>118</v>
      </c>
      <c r="G121" s="58" t="str">
        <f ca="1">'Volume adjustments'!$C$448</f>
        <v>Section 104-H: Residual band 4 volume discounting</v>
      </c>
    </row>
    <row r="122" spans="6:7" x14ac:dyDescent="0.3">
      <c r="F122" s="292" t="s">
        <v>118</v>
      </c>
      <c r="G122" s="58" t="str">
        <f ca="1">'Volume adjustments'!$C$477</f>
        <v>Section 104-I: Discounted volumes by residual band</v>
      </c>
    </row>
    <row r="123" spans="6:7" x14ac:dyDescent="0.3">
      <c r="F123" s="292" t="s">
        <v>118</v>
      </c>
      <c r="G123" s="58" t="str">
        <f ca="1">'Volume adjustments'!$C$523</f>
        <v>Section 104-J: Volumes by residual band</v>
      </c>
    </row>
    <row r="124" spans="6:7" ht="15" thickBot="1" x14ac:dyDescent="0.35">
      <c r="F124" s="292" t="s">
        <v>118</v>
      </c>
      <c r="G124" s="58" t="str">
        <f ca="1">'Volume adjustments'!$C$657</f>
        <v>Section 104-K: Non-domestic aggregated (related MPAN) distribution across bands</v>
      </c>
    </row>
    <row r="125" spans="6:7" ht="15" thickTop="1" x14ac:dyDescent="0.3">
      <c r="F125" s="293" t="s">
        <v>72</v>
      </c>
      <c r="G125" s="58" t="str">
        <f ca="1">'Pseudo-load coefficients'!$C$18</f>
        <v>Section 105-A: Flags and hours in timebands</v>
      </c>
    </row>
    <row r="126" spans="6:7" x14ac:dyDescent="0.3">
      <c r="F126" s="292" t="s">
        <v>118</v>
      </c>
      <c r="G126" s="58" t="str">
        <f ca="1">'Pseudo-load coefficients'!$C$28</f>
        <v>Section 105-B: Average load by timeband</v>
      </c>
    </row>
    <row r="127" spans="6:7" x14ac:dyDescent="0.3">
      <c r="F127" s="292" t="s">
        <v>118</v>
      </c>
      <c r="G127" s="58" t="str">
        <f ca="1">'Pseudo-load coefficients'!$C$36</f>
        <v>Section 105-C: Aggregated groups for pseudo-load coefficients</v>
      </c>
    </row>
    <row r="128" spans="6:7" x14ac:dyDescent="0.3">
      <c r="F128" s="292" t="s">
        <v>118</v>
      </c>
      <c r="G128" s="58" t="str">
        <f ca="1">'Pseudo-load coefficients'!$C$52</f>
        <v>Section 105-D: Ratio of coincidence to load factor assuming units evenly spread within time bands, and peak falls in Red period</v>
      </c>
    </row>
    <row r="129" spans="6:7" x14ac:dyDescent="0.3">
      <c r="F129" s="292" t="s">
        <v>118</v>
      </c>
      <c r="G129" s="58" t="str">
        <f ca="1">'Pseudo-load coefficients'!$C$60</f>
        <v>Section 105-E: Load characteristics for all customers</v>
      </c>
    </row>
    <row r="130" spans="6:7" x14ac:dyDescent="0.3">
      <c r="F130" s="292" t="s">
        <v>118</v>
      </c>
      <c r="G130" s="58" t="str">
        <f ca="1">'Pseudo-load coefficients'!$C$65</f>
        <v>Section 105-F: Aggregated load characteristics for grouped customers</v>
      </c>
    </row>
    <row r="131" spans="6:7" x14ac:dyDescent="0.3">
      <c r="F131" s="292" t="s">
        <v>118</v>
      </c>
      <c r="G131" s="58" t="str">
        <f ca="1">'Pseudo-load coefficients'!$C$87</f>
        <v>Section 105-G: Calculation of correction factor</v>
      </c>
    </row>
    <row r="132" spans="6:7" x14ac:dyDescent="0.3">
      <c r="F132" s="292" t="s">
        <v>118</v>
      </c>
      <c r="G132" s="58" t="str">
        <f ca="1">'Pseudo-load coefficients'!$C$100</f>
        <v>Section 105-H: Peaking probabilities, by network level</v>
      </c>
    </row>
    <row r="133" spans="6:7" x14ac:dyDescent="0.3">
      <c r="F133" s="292" t="s">
        <v>118</v>
      </c>
      <c r="G133" s="58" t="str">
        <f ca="1">'Pseudo-load coefficients'!$C$174</f>
        <v>Section 105-I: Peaking probabilities, by network level and customer type</v>
      </c>
    </row>
    <row r="134" spans="6:7" x14ac:dyDescent="0.3">
      <c r="F134" s="292" t="s">
        <v>118</v>
      </c>
      <c r="G134" s="58" t="str">
        <f ca="1">'Pseudo-load coefficients'!$C$221</f>
        <v>Section 105-J: Ratio of coincidence factor to load factor, based on uniform distribution in timebands and peaking probabilities</v>
      </c>
    </row>
    <row r="135" spans="6:7" x14ac:dyDescent="0.3">
      <c r="F135" s="292" t="s">
        <v>118</v>
      </c>
      <c r="G135" s="58" t="str">
        <f ca="1">'Pseudo-load coefficients'!$C$265</f>
        <v>Section 105-K: Load coefficient</v>
      </c>
    </row>
    <row r="136" spans="6:7" ht="15" thickBot="1" x14ac:dyDescent="0.35">
      <c r="F136" s="292" t="s">
        <v>118</v>
      </c>
      <c r="G136" s="58" t="str">
        <f ca="1">'Pseudo-load coefficients'!$C$269</f>
        <v>Section 105-L: Pseudo load coefficients, by unit rate</v>
      </c>
    </row>
    <row r="137" spans="6:7" ht="15" thickTop="1" x14ac:dyDescent="0.3">
      <c r="F137" s="293" t="s">
        <v>74</v>
      </c>
      <c r="G137" s="58" t="str">
        <f ca="1">'System peak demand'!$C$18</f>
        <v>Section 106-A: Common inputs for chargeable load calculations</v>
      </c>
    </row>
    <row r="138" spans="6:7" x14ac:dyDescent="0.3">
      <c r="F138" s="292" t="s">
        <v>118</v>
      </c>
      <c r="G138" s="58" t="str">
        <f ca="1">'System peak demand'!$C$67</f>
        <v>Section 106-B: System peak load, by unit rate</v>
      </c>
    </row>
    <row r="139" spans="6:7" x14ac:dyDescent="0.3">
      <c r="F139" s="292" t="s">
        <v>118</v>
      </c>
      <c r="G139" s="58" t="str">
        <f ca="1">'System peak demand'!$C$138</f>
        <v>Section 106-C: System peak load, all unit rates</v>
      </c>
    </row>
    <row r="140" spans="6:7" x14ac:dyDescent="0.3">
      <c r="F140" s="292" t="s">
        <v>118</v>
      </c>
      <c r="G140" s="58" t="str">
        <f ca="1">'System peak demand'!$C$164</f>
        <v>Section 106-D: Unit rate contributions to chargeable peak load</v>
      </c>
    </row>
    <row r="141" spans="6:7" x14ac:dyDescent="0.3">
      <c r="F141" s="292" t="s">
        <v>118</v>
      </c>
      <c r="G141" s="58" t="str">
        <f ca="1">'System peak demand'!$C$184</f>
        <v>Section 106-E: Adjustment of import and exceeded capacity</v>
      </c>
    </row>
    <row r="142" spans="6:7" x14ac:dyDescent="0.3">
      <c r="F142" s="292" t="s">
        <v>118</v>
      </c>
      <c r="G142" s="58" t="str">
        <f ca="1">'System peak demand'!$C$194</f>
        <v>Section 106-F: Calculation of LV circuit diversity factor</v>
      </c>
    </row>
    <row r="143" spans="6:7" x14ac:dyDescent="0.3">
      <c r="F143" s="292" t="s">
        <v>118</v>
      </c>
      <c r="G143" s="58" t="str">
        <f ca="1">'System peak demand'!$C$236</f>
        <v>Section 106-G: Import/exceeded capacity contribution to system peak</v>
      </c>
    </row>
    <row r="144" spans="6:7" x14ac:dyDescent="0.3">
      <c r="F144" s="292" t="s">
        <v>118</v>
      </c>
      <c r="G144" s="58" t="str">
        <f ca="1">'System peak demand'!$C$249</f>
        <v>Section 106-H: Estimated capacity contribution to system peak</v>
      </c>
    </row>
    <row r="145" spans="6:7" ht="15" thickBot="1" x14ac:dyDescent="0.35">
      <c r="F145" s="292" t="s">
        <v>118</v>
      </c>
      <c r="G145" s="58" t="str">
        <f ca="1">'System peak demand'!$C$266</f>
        <v>Section 106-I: System peak based on chargeable load</v>
      </c>
    </row>
    <row r="146" spans="6:7" ht="15.6" thickTop="1" thickBot="1" x14ac:dyDescent="0.35">
      <c r="F146" s="293" t="s">
        <v>76</v>
      </c>
      <c r="G146" s="58" t="str">
        <f ca="1">'Service model assets'!$C$14</f>
        <v>Section 107-A: Service model notional asset values</v>
      </c>
    </row>
    <row r="147" spans="6:7" ht="15" thickTop="1" x14ac:dyDescent="0.3">
      <c r="F147" s="293" t="s">
        <v>78</v>
      </c>
      <c r="G147" s="58" t="str">
        <f ca="1">'Unit costs'!$C$19</f>
        <v>Section 108-A: Financial data</v>
      </c>
    </row>
    <row r="148" spans="6:7" x14ac:dyDescent="0.3">
      <c r="F148" s="292" t="s">
        <v>118</v>
      </c>
      <c r="G148" s="58" t="str">
        <f ca="1">'Unit costs'!$C$27</f>
        <v>Section 108-B: Diversity and loss adjustment factors</v>
      </c>
    </row>
    <row r="149" spans="6:7" x14ac:dyDescent="0.3">
      <c r="F149" s="292" t="s">
        <v>118</v>
      </c>
      <c r="G149" s="58" t="str">
        <f ca="1">'Unit costs'!$C$35</f>
        <v>Section 108-C: Maximum demand</v>
      </c>
    </row>
    <row r="150" spans="6:7" x14ac:dyDescent="0.3">
      <c r="F150" s="292" t="s">
        <v>118</v>
      </c>
      <c r="G150" s="58" t="str">
        <f ca="1">'Unit costs'!$C$42</f>
        <v>Section 108-D: Rerouting matrix</v>
      </c>
    </row>
    <row r="151" spans="6:7" x14ac:dyDescent="0.3">
      <c r="F151" s="292" t="s">
        <v>118</v>
      </c>
      <c r="G151" s="58" t="str">
        <f ca="1">'Unit costs'!$C$50</f>
        <v>Section 108-E: Annuitised cost of assets</v>
      </c>
    </row>
    <row r="152" spans="6:7" x14ac:dyDescent="0.3">
      <c r="F152" s="292" t="s">
        <v>118</v>
      </c>
      <c r="G152" s="58" t="str">
        <f ca="1">'Unit costs'!$C$62</f>
        <v>Section 108-F: System simultaneous peak load based on charegable units</v>
      </c>
    </row>
    <row r="153" spans="6:7" x14ac:dyDescent="0.3">
      <c r="F153" s="292" t="s">
        <v>118</v>
      </c>
      <c r="G153" s="58" t="str">
        <f ca="1">'Unit costs'!$C$69</f>
        <v>Section 108-G: Notional asset values, by network level</v>
      </c>
    </row>
    <row r="154" spans="6:7" x14ac:dyDescent="0.3">
      <c r="F154" s="292" t="s">
        <v>118</v>
      </c>
      <c r="G154" s="58" t="str">
        <f ca="1">'Unit costs'!$C$80</f>
        <v>Section 108-H: Other operating costs</v>
      </c>
    </row>
    <row r="155" spans="6:7" x14ac:dyDescent="0.3">
      <c r="F155" s="292" t="s">
        <v>118</v>
      </c>
      <c r="G155" s="58" t="str">
        <f ca="1">'Unit costs'!$C$92</f>
        <v>Section 108-I: Other operating costs by network level</v>
      </c>
    </row>
    <row r="156" spans="6:7" x14ac:dyDescent="0.3">
      <c r="F156" s="292" t="s">
        <v>118</v>
      </c>
      <c r="G156" s="58" t="str">
        <f ca="1">'Unit costs'!$C$104</f>
        <v>Section 108-J: Notional asset values by network level</v>
      </c>
    </row>
    <row r="157" spans="6:7" x14ac:dyDescent="0.3">
      <c r="F157" s="292" t="s">
        <v>118</v>
      </c>
      <c r="G157" s="58" t="str">
        <f ca="1">'Unit costs'!$C$110</f>
        <v>Section 108-K: Unit costs</v>
      </c>
    </row>
    <row r="158" spans="6:7" ht="15" thickBot="1" x14ac:dyDescent="0.35">
      <c r="F158" s="292" t="s">
        <v>118</v>
      </c>
      <c r="G158" s="58" t="str">
        <f ca="1">'Unit costs'!$C$117</f>
        <v>Section 108-L: Values used for allocating costs to service models</v>
      </c>
    </row>
    <row r="159" spans="6:7" ht="15" thickTop="1" x14ac:dyDescent="0.3">
      <c r="F159" s="293" t="s">
        <v>80</v>
      </c>
      <c r="G159" s="58" t="str">
        <f ca="1">'Initial unit rates'!$C$13</f>
        <v>Section 109-A: Inputs for yardstick and unit rate calculations</v>
      </c>
    </row>
    <row r="160" spans="6:7" x14ac:dyDescent="0.3">
      <c r="F160" s="292" t="s">
        <v>118</v>
      </c>
      <c r="G160" s="58" t="str">
        <f ca="1">'Initial unit rates'!$C$118</f>
        <v>Section 109-B: Yardstick charges</v>
      </c>
    </row>
    <row r="161" spans="6:7" x14ac:dyDescent="0.3">
      <c r="F161" s="292" t="s">
        <v>118</v>
      </c>
      <c r="G161" s="58" t="str">
        <f ca="1">'Initial unit rates'!$C$146</f>
        <v>Section 109-C: Unit rate 1</v>
      </c>
    </row>
    <row r="162" spans="6:7" x14ac:dyDescent="0.3">
      <c r="F162" s="292" t="s">
        <v>118</v>
      </c>
      <c r="G162" s="58" t="str">
        <f ca="1">'Initial unit rates'!$C$175</f>
        <v>Section 109-D: Unit rate 2</v>
      </c>
    </row>
    <row r="163" spans="6:7" ht="15" thickBot="1" x14ac:dyDescent="0.35">
      <c r="F163" s="292" t="s">
        <v>118</v>
      </c>
      <c r="G163" s="58" t="str">
        <f ca="1">'Initial unit rates'!$C$204</f>
        <v>Section 109-E: Unit rate 3</v>
      </c>
    </row>
    <row r="164" spans="6:7" ht="15" thickTop="1" x14ac:dyDescent="0.3">
      <c r="F164" s="293" t="s">
        <v>82</v>
      </c>
      <c r="G164" s="58" t="str">
        <f ca="1">'Service model charges'!$C$17</f>
        <v>Section 110-A: Inputs to service model charge calculation</v>
      </c>
    </row>
    <row r="165" spans="6:7" x14ac:dyDescent="0.3">
      <c r="F165" s="292" t="s">
        <v>118</v>
      </c>
      <c r="G165" s="58" t="str">
        <f ca="1">'Service model charges'!$C$33</f>
        <v>Section 110-B: Calculation of other operating expenditure per £ of notional asset value</v>
      </c>
    </row>
    <row r="166" spans="6:7" ht="15" thickBot="1" x14ac:dyDescent="0.35">
      <c r="F166" s="292" t="s">
        <v>118</v>
      </c>
      <c r="G166" s="58" t="str">
        <f ca="1">'Service model charges'!$C$37</f>
        <v>Section 110-C: Calculation of service model charges</v>
      </c>
    </row>
    <row r="167" spans="6:7" ht="15" thickTop="1" x14ac:dyDescent="0.3">
      <c r="F167" s="293" t="s">
        <v>84</v>
      </c>
      <c r="G167" s="58" t="str">
        <f ca="1">'Unit rate charges'!$C$19</f>
        <v>Section 111-A: Initial unit rate 1</v>
      </c>
    </row>
    <row r="168" spans="6:7" x14ac:dyDescent="0.3">
      <c r="F168" s="292" t="s">
        <v>118</v>
      </c>
      <c r="G168" s="58" t="str">
        <f ca="1">'Unit rate charges'!$C$49</f>
        <v>Section 111-B: Initial unit rate 2</v>
      </c>
    </row>
    <row r="169" spans="6:7" x14ac:dyDescent="0.3">
      <c r="F169" s="292" t="s">
        <v>118</v>
      </c>
      <c r="G169" s="58" t="str">
        <f ca="1">'Unit rate charges'!$C$79</f>
        <v>Section 111-C: Initial unit rate 3</v>
      </c>
    </row>
    <row r="170" spans="6:7" x14ac:dyDescent="0.3">
      <c r="F170" s="292" t="s">
        <v>118</v>
      </c>
      <c r="G170" s="58" t="str">
        <f ca="1">'Unit rate charges'!$C$109</f>
        <v>Section 111-D: Standing charge factors</v>
      </c>
    </row>
    <row r="171" spans="6:7" x14ac:dyDescent="0.3">
      <c r="F171" s="292" t="s">
        <v>118</v>
      </c>
      <c r="G171" s="58" t="str">
        <f ca="1">'Unit rate charges'!$C$124</f>
        <v>Section 111-E: Contributions to unit rate 1 p/kWh by network level (taking account of standing charges)</v>
      </c>
    </row>
    <row r="172" spans="6:7" x14ac:dyDescent="0.3">
      <c r="F172" s="292" t="s">
        <v>118</v>
      </c>
      <c r="G172" s="58" t="str">
        <f ca="1">'Unit rate charges'!$C$154</f>
        <v>Section 111-F: Contributions to unit rate 2 p/kWh by network level (taking account of standing charges)</v>
      </c>
    </row>
    <row r="173" spans="6:7" x14ac:dyDescent="0.3">
      <c r="F173" s="292" t="s">
        <v>118</v>
      </c>
      <c r="G173" s="58" t="str">
        <f ca="1">'Unit rate charges'!$C$184</f>
        <v>Section 111-G: Contributions to unit rate 3 p/kWh by network level (taking account of standing charges)</v>
      </c>
    </row>
    <row r="174" spans="6:7" ht="15" thickBot="1" x14ac:dyDescent="0.35">
      <c r="F174" s="292" t="s">
        <v>118</v>
      </c>
      <c r="G174" s="58" t="str">
        <f ca="1">'Unit rate charges'!$C$214</f>
        <v>Section 111-H: Unit rates, post application of standing charges</v>
      </c>
    </row>
    <row r="175" spans="6:7" ht="15" thickTop="1" x14ac:dyDescent="0.3">
      <c r="F175" s="293" t="s">
        <v>88</v>
      </c>
      <c r="G175" s="58" t="str">
        <f ca="1">'Capacity charges'!$C$19</f>
        <v>Section 112-A: Inputs to capacity charge calculations</v>
      </c>
    </row>
    <row r="176" spans="6:7" x14ac:dyDescent="0.3">
      <c r="F176" s="292" t="s">
        <v>118</v>
      </c>
      <c r="G176" s="58" t="str">
        <f ca="1">'Capacity charges'!$C$129</f>
        <v>Section 112-B: Capacity-based charge elements (to be split between capacity &amp; fixed charges)</v>
      </c>
    </row>
    <row r="177" spans="6:7" x14ac:dyDescent="0.3">
      <c r="F177" s="292" t="s">
        <v>118</v>
      </c>
      <c r="G177" s="58" t="str">
        <f ca="1">'Capacity charges'!$C$159</f>
        <v>Section 112-C: Exceeded capacity-based charge elements</v>
      </c>
    </row>
    <row r="178" spans="6:7" x14ac:dyDescent="0.3">
      <c r="F178" s="292" t="s">
        <v>118</v>
      </c>
      <c r="G178" s="58" t="str">
        <f ca="1">'Capacity charges'!$C$189</f>
        <v>Section 112-D: Capacity charges for eligible customers, by network level</v>
      </c>
    </row>
    <row r="179" spans="6:7" x14ac:dyDescent="0.3">
      <c r="F179" s="292" t="s">
        <v>118</v>
      </c>
      <c r="G179" s="58" t="str">
        <f ca="1">'Capacity charges'!$C$219</f>
        <v>Section 112-E: Exceeded capacity charges for eligible customers, by network level</v>
      </c>
    </row>
    <row r="180" spans="6:7" x14ac:dyDescent="0.3">
      <c r="F180" s="292" t="s">
        <v>118</v>
      </c>
      <c r="G180" s="58" t="str">
        <f ca="1">'Capacity charges'!$C$254</f>
        <v>Section 112-F: Capacity and exceeded capacity charges</v>
      </c>
    </row>
    <row r="181" spans="6:7" ht="15" thickBot="1" x14ac:dyDescent="0.35">
      <c r="F181" s="292" t="s">
        <v>118</v>
      </c>
      <c r="G181" s="58" t="str">
        <f ca="1">'Capacity charges'!$C$259</f>
        <v>Section 112-G: Capacity elements allocated to fixed charges</v>
      </c>
    </row>
    <row r="182" spans="6:7" ht="15" thickTop="1" x14ac:dyDescent="0.3">
      <c r="F182" s="293" t="s">
        <v>86</v>
      </c>
      <c r="G182" s="58" t="str">
        <f ca="1">'Reactive power charges'!$C$17</f>
        <v>Section 113-A: Inputs to reactive power charge calculations</v>
      </c>
    </row>
    <row r="183" spans="6:7" x14ac:dyDescent="0.3">
      <c r="F183" s="292" t="s">
        <v>118</v>
      </c>
      <c r="G183" s="58" t="str">
        <f ca="1">'Reactive power charges'!$C$120</f>
        <v>Section 113-B: Yardstick charge (demand)</v>
      </c>
    </row>
    <row r="184" spans="6:7" x14ac:dyDescent="0.3">
      <c r="F184" s="292" t="s">
        <v>118</v>
      </c>
      <c r="G184" s="58" t="str">
        <f ca="1">'Reactive power charges'!$C$155</f>
        <v>Section 113-C: Yardstick charge used for generation</v>
      </c>
    </row>
    <row r="185" spans="6:7" x14ac:dyDescent="0.3">
      <c r="F185" s="292" t="s">
        <v>118</v>
      </c>
      <c r="G185" s="58" t="str">
        <f ca="1">'Reactive power charges'!$C$190</f>
        <v>Section 113-D: Reactive power charges, all customer categories</v>
      </c>
    </row>
    <row r="186" spans="6:7" ht="15" thickBot="1" x14ac:dyDescent="0.35">
      <c r="F186" s="292" t="s">
        <v>118</v>
      </c>
      <c r="G186" s="58" t="str">
        <f ca="1">'Reactive power charges'!$C$220</f>
        <v>Section 113-E: Reactive power charges for applicable customers</v>
      </c>
    </row>
    <row r="187" spans="6:7" ht="15" thickTop="1" x14ac:dyDescent="0.3">
      <c r="F187" s="293" t="s">
        <v>90</v>
      </c>
      <c r="G187" s="58" t="str">
        <f ca="1">'Fixed charges'!$C$16</f>
        <v>Section 114-A: Volumes (discounted MPANs &amp; maximum load)</v>
      </c>
    </row>
    <row r="188" spans="6:7" x14ac:dyDescent="0.3">
      <c r="F188" s="292" t="s">
        <v>118</v>
      </c>
      <c r="G188" s="58" t="str">
        <f ca="1">'Fixed charges'!$C$22</f>
        <v>Section 114-B: Capacity elements allocated to fixed charges</v>
      </c>
    </row>
    <row r="189" spans="6:7" x14ac:dyDescent="0.3">
      <c r="F189" s="292" t="s">
        <v>118</v>
      </c>
      <c r="G189" s="58" t="str">
        <f ca="1">'Fixed charges'!$C$52</f>
        <v>Section 114-C: Service model costs allocated to fixed charges</v>
      </c>
    </row>
    <row r="190" spans="6:7" x14ac:dyDescent="0.3">
      <c r="F190" s="292" t="s">
        <v>118</v>
      </c>
      <c r="G190" s="58" t="str">
        <f ca="1">'Fixed charges'!$C$58</f>
        <v>Section 114-D: Flags</v>
      </c>
    </row>
    <row r="191" spans="6:7" x14ac:dyDescent="0.3">
      <c r="F191" s="292" t="s">
        <v>118</v>
      </c>
      <c r="G191" s="58" t="str">
        <f ca="1">'Fixed charges'!$C$67</f>
        <v>Section 114-E: Revenue allocated to fixed charges</v>
      </c>
    </row>
    <row r="192" spans="6:7" x14ac:dyDescent="0.3">
      <c r="F192" s="292" t="s">
        <v>118</v>
      </c>
      <c r="G192" s="58" t="str">
        <f ca="1">'Fixed charges'!$C$97</f>
        <v>Section 114-F: Revenue allocated to fixed charges, by aggregation group</v>
      </c>
    </row>
    <row r="193" spans="6:7" x14ac:dyDescent="0.3">
      <c r="F193" s="292" t="s">
        <v>118</v>
      </c>
      <c r="G193" s="58" t="str">
        <f ca="1">'Fixed charges'!$C$127</f>
        <v>Section 114-G: Fixed charges, by network level</v>
      </c>
    </row>
    <row r="194" spans="6:7" ht="15" thickBot="1" x14ac:dyDescent="0.35">
      <c r="F194" s="292" t="s">
        <v>118</v>
      </c>
      <c r="G194" s="58" t="str">
        <f ca="1">'Fixed charges'!$C$159</f>
        <v>Section 114-H: Aggregated fixed charges</v>
      </c>
    </row>
    <row r="195" spans="6:7" ht="15" thickTop="1" x14ac:dyDescent="0.3">
      <c r="F195" s="293" t="s">
        <v>1159</v>
      </c>
      <c r="G195" s="58" t="str">
        <f ca="1">'SoLR &amp; bad debt adders'!$C$16</f>
        <v>Section 115-A: Inputs for fixed tariff adjustments</v>
      </c>
    </row>
    <row r="196" spans="6:7" x14ac:dyDescent="0.3">
      <c r="F196" s="292" t="s">
        <v>118</v>
      </c>
      <c r="G196" s="58" t="str">
        <f ca="1">'SoLR &amp; bad debt adders'!$C$33</f>
        <v>Section 115-B: Calculation of fixed tariff adjustments</v>
      </c>
    </row>
    <row r="197" spans="6:7" ht="15" thickBot="1" x14ac:dyDescent="0.35">
      <c r="F197" s="292" t="s">
        <v>118</v>
      </c>
      <c r="G197" s="58" t="str">
        <f ca="1">'SoLR &amp; bad debt adders'!$C$48</f>
        <v>Section 115-C: Calculation of fixed charge adder revenue</v>
      </c>
    </row>
    <row r="198" spans="6:7" ht="15" thickTop="1" x14ac:dyDescent="0.3">
      <c r="F198" s="293" t="s">
        <v>92</v>
      </c>
      <c r="G198" s="58" t="str">
        <f ca="1">'Revenue matching'!$C$15</f>
        <v>Section 116-A: Inputs to revenue matching</v>
      </c>
    </row>
    <row r="199" spans="6:7" x14ac:dyDescent="0.3">
      <c r="F199" s="292" t="s">
        <v>118</v>
      </c>
      <c r="G199" s="58" t="str">
        <f ca="1">'Revenue matching'!$C$69</f>
        <v>Section 116-B: Net revenue before matching</v>
      </c>
    </row>
    <row r="200" spans="6:7" x14ac:dyDescent="0.3">
      <c r="F200" s="292" t="s">
        <v>118</v>
      </c>
      <c r="G200" s="58" t="str">
        <f ca="1">'Revenue matching'!$C$88</f>
        <v>Section 116-C: Grouping of residual bands where a band has insufficient customers</v>
      </c>
    </row>
    <row r="201" spans="6:7" x14ac:dyDescent="0.3">
      <c r="F201" s="292" t="s">
        <v>118</v>
      </c>
      <c r="G201" s="58" t="str">
        <f ca="1">'Revenue matching'!$C$151</f>
        <v>Section 116-D: Calculating MPANs for matching</v>
      </c>
    </row>
    <row r="202" spans="6:7" x14ac:dyDescent="0.3">
      <c r="F202" s="292" t="s">
        <v>118</v>
      </c>
      <c r="G202" s="58" t="str">
        <f ca="1">'Revenue matching'!$C$159</f>
        <v>Section 116-E: Calculating unit volumes for matching</v>
      </c>
    </row>
    <row r="203" spans="6:7" x14ac:dyDescent="0.3">
      <c r="F203" s="292" t="s">
        <v>118</v>
      </c>
      <c r="G203" s="58" t="str">
        <f ca="1">'Revenue matching'!$C$176</f>
        <v>Section 116-F: Allocating revenue to tariffs</v>
      </c>
    </row>
    <row r="204" spans="6:7" x14ac:dyDescent="0.3">
      <c r="F204" s="292" t="s">
        <v>118</v>
      </c>
      <c r="G204" s="58" t="str">
        <f ca="1">'Revenue matching'!$C$192</f>
        <v>Section 116-G: Calculating the residual fixed charge</v>
      </c>
    </row>
    <row r="205" spans="6:7" x14ac:dyDescent="0.3">
      <c r="F205" s="292" t="s">
        <v>118</v>
      </c>
      <c r="G205" s="58" t="str">
        <f ca="1">'Revenue matching'!$C$200</f>
        <v>Section 116-H: Calculating the initial residual unit rate</v>
      </c>
    </row>
    <row r="206" spans="6:7" x14ac:dyDescent="0.3">
      <c r="F206" s="292" t="s">
        <v>118</v>
      </c>
      <c r="G206" s="58" t="str">
        <f ca="1">'Revenue matching'!$C$213</f>
        <v>Section 116-I: Floor on negative residual fixed charges</v>
      </c>
    </row>
    <row r="207" spans="6:7" x14ac:dyDescent="0.3">
      <c r="F207" s="292" t="s">
        <v>118</v>
      </c>
      <c r="G207" s="58" t="str">
        <f ca="1">'Revenue matching'!$C$232</f>
        <v>Section 116-J: Ranking unit rate volumes and tariffs</v>
      </c>
    </row>
    <row r="208" spans="6:7" x14ac:dyDescent="0.3">
      <c r="F208" s="292" t="s">
        <v>118</v>
      </c>
      <c r="G208" s="58" t="str">
        <f ca="1">'Revenue matching'!$C$286</f>
        <v>Section 116-K: Revenue matching for three timebands</v>
      </c>
    </row>
    <row r="209" spans="6:7" x14ac:dyDescent="0.3">
      <c r="F209" s="292" t="s">
        <v>118</v>
      </c>
      <c r="G209" s="58" t="str">
        <f ca="1">'Revenue matching'!$C$313</f>
        <v>Section 116-L: Revenue matching for two timebands</v>
      </c>
    </row>
    <row r="210" spans="6:7" x14ac:dyDescent="0.3">
      <c r="F210" s="292" t="s">
        <v>118</v>
      </c>
      <c r="G210" s="58" t="str">
        <f ca="1">'Revenue matching'!$C$345</f>
        <v>Section 116-M: Revenue matching for one timeband</v>
      </c>
    </row>
    <row r="211" spans="6:7" x14ac:dyDescent="0.3">
      <c r="F211" s="292" t="s">
        <v>118</v>
      </c>
      <c r="G211" s="58" t="str">
        <f ca="1">'Revenue matching'!$C$377</f>
        <v>Section 116-N: Revenue matching adders by timeband</v>
      </c>
    </row>
    <row r="212" spans="6:7" ht="15" thickBot="1" x14ac:dyDescent="0.35">
      <c r="F212" s="292" t="s">
        <v>118</v>
      </c>
      <c r="G212" s="58" t="str">
        <f ca="1">'Revenue matching'!$C$409</f>
        <v>Section 116-O: Final adders</v>
      </c>
    </row>
    <row r="213" spans="6:7" ht="15" thickTop="1" x14ac:dyDescent="0.3">
      <c r="F213" s="293" t="s">
        <v>94</v>
      </c>
      <c r="G213" s="58" t="str">
        <f ca="1">Rounding!$C$16</f>
        <v>Section 117-A: Pre-match, pre-rounding tariff forecast</v>
      </c>
    </row>
    <row r="214" spans="6:7" x14ac:dyDescent="0.3">
      <c r="F214" s="292" t="s">
        <v>118</v>
      </c>
      <c r="G214" s="58" t="str">
        <f ca="1">Rounding!$C$28</f>
        <v>Section 117-B: Adders for revenue matching</v>
      </c>
    </row>
    <row r="215" spans="6:7" x14ac:dyDescent="0.3">
      <c r="F215" s="292" t="s">
        <v>118</v>
      </c>
      <c r="G215" s="58" t="str">
        <f ca="1">Rounding!$C$40</f>
        <v>Section 117-C: Adder to fixed charge for allocated pass-through costs</v>
      </c>
    </row>
    <row r="216" spans="6:7" x14ac:dyDescent="0.3">
      <c r="F216" s="292" t="s">
        <v>118</v>
      </c>
      <c r="G216" s="58" t="str">
        <f ca="1">Rounding!$C$52</f>
        <v>Section 117-D: LDNO discounts</v>
      </c>
    </row>
    <row r="217" spans="6:7" x14ac:dyDescent="0.3">
      <c r="F217" s="292" t="s">
        <v>118</v>
      </c>
      <c r="G217" s="58" t="str">
        <f ca="1">Rounding!$C$92</f>
        <v>Section 117-E: Decimal places for rounding</v>
      </c>
    </row>
    <row r="218" spans="6:7" x14ac:dyDescent="0.3">
      <c r="F218" s="292" t="s">
        <v>118</v>
      </c>
      <c r="G218" s="58" t="str">
        <f ca="1">Rounding!$C$107</f>
        <v>Section 117-F: Tariff forecast, post-revenue matching</v>
      </c>
    </row>
    <row r="219" spans="6:7" x14ac:dyDescent="0.3">
      <c r="F219" s="292" t="s">
        <v>118</v>
      </c>
      <c r="G219" s="58" t="str">
        <f ca="1">Rounding!$C$118</f>
        <v>Section 117-G: Tariff forecast, post-adders &amp; discounting</v>
      </c>
    </row>
    <row r="220" spans="6:7" ht="15" thickBot="1" x14ac:dyDescent="0.35">
      <c r="F220" s="292" t="s">
        <v>118</v>
      </c>
      <c r="G220" s="58" t="str">
        <f ca="1">Rounding!$C$147</f>
        <v>Section 117-H: Tariff forecast, post-rounding</v>
      </c>
    </row>
    <row r="221" spans="6:7" ht="15" thickTop="1" x14ac:dyDescent="0.3">
      <c r="F221" s="293" t="s">
        <v>96</v>
      </c>
      <c r="G221" s="58" t="str">
        <f ca="1">'Net revenue summary'!$C$13</f>
        <v>Section 118-A: Volume forecasts</v>
      </c>
    </row>
    <row r="222" spans="6:7" x14ac:dyDescent="0.3">
      <c r="F222" s="292" t="s">
        <v>118</v>
      </c>
      <c r="G222" s="58" t="str">
        <f ca="1">'Net revenue summary'!$C$52</f>
        <v>Section 118-B: Tariff forecast</v>
      </c>
    </row>
    <row r="223" spans="6:7" x14ac:dyDescent="0.3">
      <c r="F223" s="292" t="s">
        <v>118</v>
      </c>
      <c r="G223" s="58" t="str">
        <f ca="1">'Net revenue summary'!$C$81</f>
        <v>Section 118-C: Net revenue components</v>
      </c>
    </row>
    <row r="224" spans="6:7" x14ac:dyDescent="0.3">
      <c r="F224" s="292" t="s">
        <v>118</v>
      </c>
      <c r="G224" s="58" t="str">
        <f ca="1">'Net revenue summary'!$C$92</f>
        <v>Section 118-D: Net revenue by tariff</v>
      </c>
    </row>
    <row r="225" spans="2:7" x14ac:dyDescent="0.3">
      <c r="F225" s="292" t="s">
        <v>118</v>
      </c>
      <c r="G225" s="58" t="str">
        <f ca="1">'Net revenue summary'!$C$124</f>
        <v>Section 118-E: Net revenue summary (for information only)</v>
      </c>
    </row>
    <row r="226" spans="2:7" x14ac:dyDescent="0.3">
      <c r="F226" s="292" t="s">
        <v>118</v>
      </c>
      <c r="G226" s="58" t="str">
        <f ca="1">'Net revenue summary'!$C$138</f>
        <v>Section 118-F: Typical bills</v>
      </c>
    </row>
    <row r="227" spans="2:7" x14ac:dyDescent="0.3">
      <c r="F227" s="292" t="s">
        <v>118</v>
      </c>
      <c r="G227" s="58" t="str">
        <f ca="1">'Net revenue summary'!$C$144</f>
        <v>Section 118-G: Average bill per kWh</v>
      </c>
    </row>
    <row r="228" spans="2:7" x14ac:dyDescent="0.3">
      <c r="F228" s="292" t="s">
        <v>118</v>
      </c>
      <c r="G228" s="58" t="str">
        <f ca="1">'Net revenue summary'!$C$152</f>
        <v>Section 118-H: Previous year all the way tariff forecast</v>
      </c>
    </row>
    <row r="229" spans="2:7" x14ac:dyDescent="0.3">
      <c r="F229" s="292" t="s">
        <v>118</v>
      </c>
      <c r="G229" s="58" t="str">
        <f ca="1">'Net revenue summary'!$C$163</f>
        <v>Section 118-I: Previous year net revenue from all the way tariff forecast</v>
      </c>
    </row>
    <row r="230" spans="2:7" x14ac:dyDescent="0.3">
      <c r="F230" s="292" t="s">
        <v>118</v>
      </c>
      <c r="G230" s="58" t="str">
        <f ca="1">'Net revenue summary'!$C$178</f>
        <v>Section 118-J: LDNO typical bills using all-the-way volumes</v>
      </c>
    </row>
    <row r="231" spans="2:7" ht="15" thickBot="1" x14ac:dyDescent="0.35">
      <c r="F231" s="292" t="s">
        <v>118</v>
      </c>
      <c r="G231" s="58" t="str">
        <f ca="1">'Net revenue summary'!$C$202</f>
        <v>Section 118-K: LDNO margins</v>
      </c>
    </row>
    <row r="232" spans="2:7" ht="15.6" thickTop="1" thickBot="1" x14ac:dyDescent="0.35">
      <c r="F232" s="295" t="s">
        <v>98</v>
      </c>
      <c r="G232" s="58" t="str">
        <f>'Tariff summary'!$C$13</f>
        <v>Output 101-A: Tariffs for 2022/23</v>
      </c>
    </row>
    <row r="233" spans="2:7" ht="15" thickTop="1" x14ac:dyDescent="0.3">
      <c r="F233" s="295" t="s">
        <v>100</v>
      </c>
      <c r="G233" s="58" t="str">
        <f ca="1">'Output to other models'!$C$14</f>
        <v>Output 102-A: CDCM notional EHV asset values</v>
      </c>
    </row>
    <row r="234" spans="2:7" x14ac:dyDescent="0.3">
      <c r="F234" s="294" t="s">
        <v>118</v>
      </c>
      <c r="G234" s="58" t="str">
        <f ca="1">'Output to other models'!$C$27</f>
        <v>Output 102-B: CDCM end user tariff forecast</v>
      </c>
    </row>
    <row r="235" spans="2:7" x14ac:dyDescent="0.3">
      <c r="F235" s="294" t="s">
        <v>118</v>
      </c>
      <c r="G235" s="58" t="str">
        <f ca="1">'Output to other models'!$C$45</f>
        <v>Output 102-C: CDCM non-tariff outputs to EDCM</v>
      </c>
    </row>
    <row r="236" spans="2:7" x14ac:dyDescent="0.3">
      <c r="F236" s="294" t="s">
        <v>118</v>
      </c>
      <c r="G236" s="58" t="str">
        <f ca="1">'Output to other models'!$C$57</f>
        <v>Output 102-D: Outputs for DNOs' internal use</v>
      </c>
    </row>
    <row r="237" spans="2:7" x14ac:dyDescent="0.3">
      <c r="F237" s="294" t="s">
        <v>118</v>
      </c>
      <c r="G237" s="58" t="str">
        <f ca="1">'Output to other models'!$C$67</f>
        <v>Output 102-E: Outputs for IDNOs' internal use</v>
      </c>
    </row>
    <row r="239" spans="2:7" x14ac:dyDescent="0.3">
      <c r="B239" s="30" t="s">
        <v>108</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[enter DNO name] - [enter data version name]</v>
      </c>
    </row>
    <row r="3" spans="1:8" s="5" customFormat="1" x14ac:dyDescent="0.3">
      <c r="A3" s="5" t="str">
        <f>Cover!D2&amp;" - "&amp;Cover!D8&amp;" v"&amp;Cover!D10&amp;" - "&amp;Cover!D19</f>
        <v>CDCM charging model - Release for charge setting v7 - 2022/23</v>
      </c>
    </row>
    <row r="5" spans="1:8" x14ac:dyDescent="0.3">
      <c r="B5" s="41" t="s">
        <v>123</v>
      </c>
      <c r="C5" s="41"/>
      <c r="D5" s="41"/>
      <c r="E5" s="41"/>
      <c r="F5" s="42"/>
      <c r="G5" s="42"/>
      <c r="H5" s="42"/>
    </row>
    <row r="6" spans="1:8" x14ac:dyDescent="0.3">
      <c r="B6" s="40"/>
      <c r="C6" s="40"/>
      <c r="D6" s="40"/>
      <c r="E6" s="40"/>
      <c r="F6" s="43"/>
      <c r="G6" s="40"/>
      <c r="H6" s="40"/>
    </row>
    <row r="7" spans="1:8" x14ac:dyDescent="0.3">
      <c r="F7" s="58" t="s">
        <v>124</v>
      </c>
      <c r="G7" t="s">
        <v>125</v>
      </c>
      <c r="H7" t="s">
        <v>116</v>
      </c>
    </row>
    <row r="8" spans="1:8" x14ac:dyDescent="0.3">
      <c r="F8" s="58" t="s">
        <v>126</v>
      </c>
      <c r="G8" t="s">
        <v>127</v>
      </c>
      <c r="H8" t="s">
        <v>55</v>
      </c>
    </row>
    <row r="9" spans="1:8" x14ac:dyDescent="0.3">
      <c r="F9" s="58" t="s">
        <v>128</v>
      </c>
      <c r="G9" t="s">
        <v>129</v>
      </c>
      <c r="H9" t="s">
        <v>62</v>
      </c>
    </row>
    <row r="10" spans="1:8" x14ac:dyDescent="0.3">
      <c r="F10" s="58" t="s">
        <v>130</v>
      </c>
      <c r="G10" t="s">
        <v>131</v>
      </c>
      <c r="H10" t="s">
        <v>116</v>
      </c>
    </row>
    <row r="11" spans="1:8" x14ac:dyDescent="0.3">
      <c r="F11" s="58" t="s">
        <v>132</v>
      </c>
      <c r="G11" t="s">
        <v>133</v>
      </c>
      <c r="H11" t="s">
        <v>55</v>
      </c>
    </row>
    <row r="12" spans="1:8" x14ac:dyDescent="0.3">
      <c r="F12" s="58" t="s">
        <v>134</v>
      </c>
      <c r="G12" t="s">
        <v>135</v>
      </c>
      <c r="H12" t="s">
        <v>62</v>
      </c>
    </row>
    <row r="13" spans="1:8" x14ac:dyDescent="0.3">
      <c r="F13" s="58" t="s">
        <v>136</v>
      </c>
      <c r="G13" t="s">
        <v>137</v>
      </c>
      <c r="H13" t="s">
        <v>55</v>
      </c>
    </row>
    <row r="14" spans="1:8" x14ac:dyDescent="0.3">
      <c r="F14" s="58" t="s">
        <v>138</v>
      </c>
      <c r="G14" t="s">
        <v>139</v>
      </c>
      <c r="H14" t="s">
        <v>55</v>
      </c>
    </row>
    <row r="15" spans="1:8" x14ac:dyDescent="0.3">
      <c r="F15" s="58" t="s">
        <v>140</v>
      </c>
      <c r="G15" t="s">
        <v>141</v>
      </c>
      <c r="H15" t="s">
        <v>55</v>
      </c>
    </row>
    <row r="16" spans="1:8" x14ac:dyDescent="0.3">
      <c r="F16" s="58" t="s">
        <v>142</v>
      </c>
      <c r="G16" t="s">
        <v>143</v>
      </c>
      <c r="H16" t="s">
        <v>55</v>
      </c>
    </row>
    <row r="17" spans="2:8" x14ac:dyDescent="0.3">
      <c r="F17" s="58"/>
    </row>
    <row r="18" spans="2:8" x14ac:dyDescent="0.3">
      <c r="B18" s="41" t="s">
        <v>108</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61" t="s">
        <v>145</v>
      </c>
      <c r="H5" s="62" t="s">
        <v>146</v>
      </c>
      <c r="I5" s="14"/>
      <c r="J5" s="62" t="s">
        <v>831</v>
      </c>
      <c r="K5" s="62" t="s">
        <v>833</v>
      </c>
      <c r="L5" s="62" t="s">
        <v>832</v>
      </c>
      <c r="M5" s="62" t="s">
        <v>834</v>
      </c>
      <c r="N5" s="62" t="s">
        <v>840</v>
      </c>
      <c r="O5" s="62" t="s">
        <v>841</v>
      </c>
      <c r="P5" s="62" t="s">
        <v>842</v>
      </c>
      <c r="Q5" s="62" t="s">
        <v>843</v>
      </c>
      <c r="R5" s="62" t="s">
        <v>835</v>
      </c>
      <c r="S5" s="62" t="s">
        <v>836</v>
      </c>
      <c r="T5" s="62" t="s">
        <v>837</v>
      </c>
      <c r="U5" s="62" t="s">
        <v>846</v>
      </c>
      <c r="V5" s="62" t="s">
        <v>838</v>
      </c>
      <c r="W5" s="62" t="s">
        <v>845</v>
      </c>
      <c r="X5" s="62" t="s">
        <v>839</v>
      </c>
      <c r="Y5" s="62"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148</v>
      </c>
    </row>
    <row r="11" spans="1:43" x14ac:dyDescent="0.3">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133</v>
      </c>
      <c r="G15" t="s">
        <v>149</v>
      </c>
      <c r="H15" s="242">
        <v>24</v>
      </c>
    </row>
    <row r="16" spans="1:43" x14ac:dyDescent="0.3">
      <c r="E16" s="28" t="s">
        <v>150</v>
      </c>
      <c r="G16" t="s">
        <v>151</v>
      </c>
      <c r="H16" s="242">
        <v>10</v>
      </c>
    </row>
    <row r="17" spans="3:43" x14ac:dyDescent="0.3">
      <c r="E17" s="28" t="s">
        <v>152</v>
      </c>
      <c r="G17" t="s">
        <v>151</v>
      </c>
      <c r="H17" s="242">
        <v>100</v>
      </c>
    </row>
    <row r="18" spans="3:43" x14ac:dyDescent="0.3">
      <c r="E18" s="28" t="s">
        <v>153</v>
      </c>
      <c r="G18" t="s">
        <v>151</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154</v>
      </c>
    </row>
    <row r="23" spans="3:43" x14ac:dyDescent="0.3">
      <c r="E23" s="32"/>
    </row>
    <row r="24" spans="3:43" x14ac:dyDescent="0.3">
      <c r="E24" s="32" t="s">
        <v>155</v>
      </c>
      <c r="F24" s="29"/>
      <c r="I24" t="s">
        <v>156</v>
      </c>
      <c r="AQ24" t="s">
        <v>157</v>
      </c>
    </row>
    <row r="25" spans="3:43" x14ac:dyDescent="0.3">
      <c r="F25" s="23" t="s">
        <v>158</v>
      </c>
      <c r="G25" s="23" t="s">
        <v>151</v>
      </c>
      <c r="H25" s="246">
        <v>3</v>
      </c>
    </row>
    <row r="26" spans="3:43" x14ac:dyDescent="0.3">
      <c r="F26" t="s">
        <v>159</v>
      </c>
      <c r="G26" t="s">
        <v>151</v>
      </c>
      <c r="H26" s="242">
        <v>3</v>
      </c>
    </row>
    <row r="27" spans="3:43" x14ac:dyDescent="0.3">
      <c r="F27" t="s">
        <v>160</v>
      </c>
      <c r="G27" t="s">
        <v>151</v>
      </c>
      <c r="H27" s="242">
        <v>3</v>
      </c>
    </row>
    <row r="28" spans="3:43" x14ac:dyDescent="0.3">
      <c r="F28" t="s">
        <v>161</v>
      </c>
      <c r="G28" t="s">
        <v>151</v>
      </c>
      <c r="H28" s="242">
        <v>2</v>
      </c>
    </row>
    <row r="29" spans="3:43" x14ac:dyDescent="0.3">
      <c r="F29" t="s">
        <v>162</v>
      </c>
      <c r="G29" t="s">
        <v>151</v>
      </c>
      <c r="H29" s="242">
        <v>2</v>
      </c>
    </row>
    <row r="30" spans="3:43" x14ac:dyDescent="0.3">
      <c r="F30" t="s">
        <v>163</v>
      </c>
      <c r="G30" t="s">
        <v>151</v>
      </c>
      <c r="H30" s="242">
        <v>2</v>
      </c>
    </row>
    <row r="31" spans="3:43" x14ac:dyDescent="0.3">
      <c r="F31" s="37" t="s">
        <v>164</v>
      </c>
      <c r="G31" s="37" t="s">
        <v>151</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165</v>
      </c>
      <c r="G35" t="s">
        <v>166</v>
      </c>
      <c r="H35" s="242">
        <v>40</v>
      </c>
      <c r="I35" t="s">
        <v>156</v>
      </c>
      <c r="AQ35" s="3" t="s">
        <v>167</v>
      </c>
    </row>
    <row r="37" spans="3:43" x14ac:dyDescent="0.3">
      <c r="E37" s="28" t="s">
        <v>168</v>
      </c>
      <c r="G37" t="s">
        <v>169</v>
      </c>
      <c r="H37" s="242">
        <v>0.95</v>
      </c>
      <c r="I37" t="s">
        <v>156</v>
      </c>
      <c r="AQ37" t="s">
        <v>170</v>
      </c>
    </row>
    <row r="39" spans="3:43" x14ac:dyDescent="0.3">
      <c r="E39" s="28" t="s">
        <v>171</v>
      </c>
      <c r="G39" t="s">
        <v>169</v>
      </c>
      <c r="H39" s="248">
        <v>0.6</v>
      </c>
      <c r="I39" t="s">
        <v>156</v>
      </c>
      <c r="AQ39" s="3" t="s">
        <v>172</v>
      </c>
    </row>
    <row r="41" spans="3:43" x14ac:dyDescent="0.3">
      <c r="E41" s="28" t="s">
        <v>173</v>
      </c>
      <c r="G41" s="28" t="s">
        <v>174</v>
      </c>
      <c r="H41" s="242">
        <v>500</v>
      </c>
      <c r="I41" t="s">
        <v>156</v>
      </c>
      <c r="AQ41" s="63" t="s">
        <v>175</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176</v>
      </c>
    </row>
    <row r="46" spans="3:43" x14ac:dyDescent="0.3">
      <c r="F46" s="64" t="s">
        <v>177</v>
      </c>
      <c r="G46" s="23" t="s">
        <v>178</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179</v>
      </c>
      <c r="G47" t="s">
        <v>178</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180</v>
      </c>
      <c r="G48" t="s">
        <v>178</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181</v>
      </c>
      <c r="G49" s="37" t="s">
        <v>178</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182</v>
      </c>
      <c r="I51" t="s">
        <v>156</v>
      </c>
      <c r="AQ51" s="3" t="s">
        <v>183</v>
      </c>
    </row>
    <row r="52" spans="5:43" x14ac:dyDescent="0.3">
      <c r="E52" s="29" t="s">
        <v>184</v>
      </c>
    </row>
    <row r="53" spans="5:43" x14ac:dyDescent="0.3">
      <c r="F53" s="64" t="s">
        <v>185</v>
      </c>
      <c r="G53" s="23" t="s">
        <v>178</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186</v>
      </c>
      <c r="G54" t="s">
        <v>178</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187</v>
      </c>
      <c r="G55" t="s">
        <v>178</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188</v>
      </c>
      <c r="G56" s="37" t="s">
        <v>178</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189</v>
      </c>
    </row>
    <row r="59" spans="5:43" x14ac:dyDescent="0.3">
      <c r="E59" s="29" t="s">
        <v>190</v>
      </c>
    </row>
    <row r="60" spans="5:43" x14ac:dyDescent="0.3">
      <c r="F60" s="23" t="s">
        <v>191</v>
      </c>
      <c r="G60" s="23" t="s">
        <v>192</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193</v>
      </c>
      <c r="G61" t="s">
        <v>192</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194</v>
      </c>
      <c r="G62" t="s">
        <v>192</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195</v>
      </c>
      <c r="G63" t="s">
        <v>192</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196</v>
      </c>
      <c r="G64" t="s">
        <v>192</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197</v>
      </c>
      <c r="G65" t="s">
        <v>192</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198</v>
      </c>
      <c r="G66" t="s">
        <v>192</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199</v>
      </c>
      <c r="G67" t="s">
        <v>192</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200</v>
      </c>
      <c r="G68" t="s">
        <v>192</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201</v>
      </c>
      <c r="G69" s="37" t="s">
        <v>192</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202</v>
      </c>
      <c r="I71" t="s">
        <v>156</v>
      </c>
      <c r="AQ71" s="3" t="s">
        <v>203</v>
      </c>
    </row>
    <row r="72" spans="5:43" x14ac:dyDescent="0.3">
      <c r="E72" s="29" t="s">
        <v>204</v>
      </c>
    </row>
    <row r="73" spans="5:43" x14ac:dyDescent="0.3">
      <c r="E73" s="29"/>
      <c r="F73" s="23" t="s">
        <v>191</v>
      </c>
      <c r="G73" s="23" t="s">
        <v>192</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193</v>
      </c>
      <c r="G74" t="s">
        <v>192</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194</v>
      </c>
      <c r="G75" t="s">
        <v>192</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195</v>
      </c>
      <c r="G76" t="s">
        <v>192</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196</v>
      </c>
      <c r="G77" t="s">
        <v>192</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197</v>
      </c>
      <c r="G78" t="s">
        <v>192</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198</v>
      </c>
      <c r="G79" t="s">
        <v>192</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199</v>
      </c>
      <c r="G80" t="s">
        <v>192</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200</v>
      </c>
      <c r="G81" t="s">
        <v>192</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201</v>
      </c>
      <c r="G82" s="37" t="s">
        <v>192</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122</v>
      </c>
      <c r="F86" s="32"/>
      <c r="I86" t="s">
        <v>156</v>
      </c>
      <c r="AQ86" t="s">
        <v>205</v>
      </c>
    </row>
    <row r="87" spans="3:43" x14ac:dyDescent="0.3">
      <c r="E87" s="29" t="s">
        <v>865</v>
      </c>
      <c r="F87" s="29"/>
    </row>
    <row r="88" spans="3:43" x14ac:dyDescent="0.3">
      <c r="E88" s="29"/>
      <c r="F88" s="23" t="s">
        <v>191</v>
      </c>
      <c r="G88" s="23" t="s">
        <v>169</v>
      </c>
      <c r="H88" s="23"/>
      <c r="I88" s="23"/>
      <c r="J88" s="65"/>
      <c r="K88" s="65"/>
      <c r="L88" s="65"/>
      <c r="M88" s="65"/>
      <c r="N88" s="65"/>
      <c r="O88" s="65"/>
      <c r="P88" s="65"/>
      <c r="Q88" s="65"/>
      <c r="R88" s="65"/>
      <c r="S88" s="65"/>
      <c r="T88" s="65"/>
      <c r="U88" s="65"/>
      <c r="V88" s="65"/>
      <c r="W88" s="65"/>
      <c r="X88" s="65"/>
      <c r="Y88" s="65"/>
    </row>
    <row r="89" spans="3:43" x14ac:dyDescent="0.3">
      <c r="E89" s="29"/>
      <c r="F89" t="s">
        <v>193</v>
      </c>
      <c r="G89" t="s">
        <v>169</v>
      </c>
      <c r="J89" s="66"/>
      <c r="K89" s="66"/>
      <c r="L89" s="66"/>
      <c r="M89" s="66"/>
      <c r="N89" s="66"/>
      <c r="O89" s="66"/>
      <c r="P89" s="66"/>
      <c r="Q89" s="66"/>
      <c r="R89" s="66"/>
      <c r="S89" s="66"/>
      <c r="T89" s="66"/>
      <c r="U89" s="66"/>
      <c r="V89" s="66"/>
      <c r="W89" s="66"/>
      <c r="X89" s="66"/>
      <c r="Y89" s="66"/>
    </row>
    <row r="90" spans="3:43" x14ac:dyDescent="0.3">
      <c r="E90" s="29"/>
      <c r="F90" t="s">
        <v>194</v>
      </c>
      <c r="G90" t="s">
        <v>169</v>
      </c>
      <c r="J90" s="70"/>
      <c r="K90" s="70"/>
      <c r="L90" s="70"/>
      <c r="M90" s="70"/>
      <c r="N90" s="70"/>
      <c r="O90" s="70"/>
      <c r="P90" s="70"/>
      <c r="Q90" s="70"/>
      <c r="R90" s="66"/>
      <c r="S90" s="66"/>
      <c r="T90" s="66"/>
      <c r="U90" s="66"/>
      <c r="V90" s="66"/>
      <c r="W90" s="66"/>
      <c r="X90" s="66"/>
      <c r="Y90" s="66"/>
    </row>
    <row r="91" spans="3:43" x14ac:dyDescent="0.3">
      <c r="E91" s="29"/>
      <c r="F91" t="s">
        <v>195</v>
      </c>
      <c r="G91" t="s">
        <v>169</v>
      </c>
      <c r="J91" s="70"/>
      <c r="K91" s="70"/>
      <c r="L91" s="70"/>
      <c r="M91" s="70"/>
      <c r="N91" s="70"/>
      <c r="O91" s="70"/>
      <c r="P91" s="70"/>
      <c r="Q91" s="70"/>
      <c r="R91" s="66"/>
      <c r="S91" s="66"/>
      <c r="T91" s="66"/>
      <c r="U91" s="66"/>
      <c r="V91" s="66"/>
      <c r="W91" s="66"/>
      <c r="X91" s="66"/>
      <c r="Y91" s="66"/>
    </row>
    <row r="92" spans="3:43" x14ac:dyDescent="0.3">
      <c r="E92" s="29"/>
      <c r="F92" t="s">
        <v>196</v>
      </c>
      <c r="G92" t="s">
        <v>169</v>
      </c>
      <c r="J92" s="70"/>
      <c r="K92" s="70"/>
      <c r="L92" s="70"/>
      <c r="M92" s="70"/>
      <c r="N92" s="70"/>
      <c r="O92" s="70"/>
      <c r="P92" s="248">
        <v>0.2</v>
      </c>
      <c r="Q92" s="70"/>
      <c r="R92" s="66"/>
      <c r="S92" s="66"/>
      <c r="T92" s="66"/>
      <c r="U92" s="66"/>
      <c r="V92" s="66"/>
      <c r="W92" s="66"/>
      <c r="X92" s="66"/>
      <c r="Y92" s="66"/>
    </row>
    <row r="93" spans="3:43" x14ac:dyDescent="0.3">
      <c r="E93" s="29"/>
      <c r="F93" t="s">
        <v>197</v>
      </c>
      <c r="G93" t="s">
        <v>169</v>
      </c>
      <c r="J93" s="70"/>
      <c r="K93" s="70"/>
      <c r="L93" s="70"/>
      <c r="M93" s="70"/>
      <c r="N93" s="70"/>
      <c r="O93" s="70"/>
      <c r="P93" s="248">
        <v>1</v>
      </c>
      <c r="Q93" s="70"/>
      <c r="R93" s="66"/>
      <c r="S93" s="66"/>
      <c r="T93" s="66"/>
      <c r="U93" s="66"/>
      <c r="V93" s="66"/>
      <c r="W93" s="66"/>
      <c r="X93" s="66"/>
      <c r="Y93" s="66"/>
    </row>
    <row r="94" spans="3:43" x14ac:dyDescent="0.3">
      <c r="E94" s="29"/>
      <c r="F94" t="s">
        <v>198</v>
      </c>
      <c r="G94" t="s">
        <v>169</v>
      </c>
      <c r="J94" s="70"/>
      <c r="K94" s="70"/>
      <c r="L94" s="70"/>
      <c r="M94" s="70"/>
      <c r="N94" s="70"/>
      <c r="O94" s="70"/>
      <c r="P94" s="70"/>
      <c r="Q94" s="70"/>
      <c r="R94" s="66"/>
      <c r="S94" s="66"/>
      <c r="T94" s="66"/>
      <c r="U94" s="66"/>
      <c r="V94" s="66"/>
      <c r="W94" s="66"/>
      <c r="X94" s="66"/>
      <c r="Y94" s="66"/>
    </row>
    <row r="95" spans="3:43" x14ac:dyDescent="0.3">
      <c r="E95" s="29"/>
      <c r="F95" t="s">
        <v>199</v>
      </c>
      <c r="G95" t="s">
        <v>169</v>
      </c>
      <c r="J95" s="70"/>
      <c r="K95" s="70"/>
      <c r="L95" s="70"/>
      <c r="M95" s="70"/>
      <c r="N95" s="248">
        <v>0.2</v>
      </c>
      <c r="O95" s="248">
        <v>1</v>
      </c>
      <c r="P95" s="248">
        <v>1</v>
      </c>
      <c r="Q95" s="70"/>
      <c r="R95" s="66"/>
      <c r="S95" s="66"/>
      <c r="T95" s="66"/>
      <c r="U95" s="66"/>
      <c r="V95" s="66"/>
      <c r="W95" s="66"/>
      <c r="X95" s="66"/>
      <c r="Y95" s="66"/>
    </row>
    <row r="96" spans="3:43" x14ac:dyDescent="0.3">
      <c r="E96" s="29"/>
      <c r="F96" t="s">
        <v>200</v>
      </c>
      <c r="G96" t="s">
        <v>169</v>
      </c>
      <c r="J96" s="70"/>
      <c r="K96" s="70"/>
      <c r="L96" s="70"/>
      <c r="M96" s="70"/>
      <c r="N96" s="248">
        <v>1</v>
      </c>
      <c r="O96" s="248">
        <v>1</v>
      </c>
      <c r="P96" s="70"/>
      <c r="Q96" s="70"/>
      <c r="R96" s="66"/>
      <c r="S96" s="66"/>
      <c r="T96" s="66"/>
      <c r="U96" s="66"/>
      <c r="V96" s="66"/>
      <c r="W96" s="66"/>
      <c r="X96" s="66"/>
      <c r="Y96" s="66"/>
    </row>
    <row r="97" spans="3:43" x14ac:dyDescent="0.3">
      <c r="E97" s="29"/>
      <c r="F97" s="37" t="s">
        <v>201</v>
      </c>
      <c r="G97" s="37" t="s">
        <v>169</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206</v>
      </c>
      <c r="E101" s="32"/>
    </row>
    <row r="102" spans="3:43" x14ac:dyDescent="0.3">
      <c r="D102" s="29" t="s">
        <v>207</v>
      </c>
      <c r="E102" s="29"/>
    </row>
    <row r="103" spans="3:43" x14ac:dyDescent="0.3">
      <c r="D103" s="29" t="s">
        <v>208</v>
      </c>
      <c r="E103" s="29"/>
    </row>
    <row r="104" spans="3:43" x14ac:dyDescent="0.3">
      <c r="D104" s="29"/>
      <c r="E104" s="32" t="s">
        <v>209</v>
      </c>
    </row>
    <row r="105" spans="3:43" x14ac:dyDescent="0.3">
      <c r="D105" s="29"/>
      <c r="F105" s="28" t="s">
        <v>210</v>
      </c>
      <c r="G105" t="s">
        <v>211</v>
      </c>
      <c r="I105" t="s">
        <v>156</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212</v>
      </c>
    </row>
    <row r="106" spans="3:43" x14ac:dyDescent="0.3">
      <c r="D106" s="29"/>
      <c r="E106" s="28"/>
      <c r="F106" s="28" t="s">
        <v>213</v>
      </c>
      <c r="G106" t="s">
        <v>169</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214</v>
      </c>
      <c r="F108" s="28"/>
      <c r="J108" s="14"/>
      <c r="K108" s="14"/>
      <c r="L108" s="14"/>
      <c r="M108" s="14"/>
      <c r="N108" s="14"/>
      <c r="O108" s="14"/>
      <c r="P108" s="14"/>
      <c r="Q108" s="14"/>
      <c r="R108" s="14"/>
      <c r="S108" s="14"/>
      <c r="T108" s="14"/>
      <c r="U108" s="14"/>
      <c r="V108" s="14"/>
      <c r="W108" s="14"/>
      <c r="X108" s="14"/>
      <c r="Y108" s="14"/>
    </row>
    <row r="109" spans="3:43" x14ac:dyDescent="0.3">
      <c r="D109" s="29"/>
      <c r="F109" s="28" t="s">
        <v>210</v>
      </c>
      <c r="G109" t="s">
        <v>211</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213</v>
      </c>
      <c r="G110" t="s">
        <v>169</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215</v>
      </c>
      <c r="F112" s="28"/>
      <c r="J112" s="14"/>
      <c r="K112" s="14"/>
      <c r="L112" s="14"/>
      <c r="M112" s="14"/>
      <c r="N112" s="14"/>
      <c r="O112" s="14"/>
      <c r="P112" s="14"/>
      <c r="Q112" s="14"/>
      <c r="R112" s="14"/>
      <c r="S112" s="14"/>
      <c r="T112" s="14"/>
      <c r="U112" s="14"/>
      <c r="V112" s="14"/>
      <c r="W112" s="14"/>
      <c r="X112" s="14"/>
      <c r="Y112" s="14"/>
    </row>
    <row r="113" spans="4:25" x14ac:dyDescent="0.3">
      <c r="D113" s="29"/>
      <c r="F113" s="28" t="s">
        <v>210</v>
      </c>
      <c r="G113" t="s">
        <v>211</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213</v>
      </c>
      <c r="G114" t="s">
        <v>169</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216</v>
      </c>
      <c r="F116" s="28"/>
      <c r="J116" s="14"/>
      <c r="K116" s="14"/>
      <c r="L116" s="14"/>
      <c r="M116" s="14"/>
      <c r="N116" s="14"/>
      <c r="O116" s="14"/>
      <c r="P116" s="14"/>
      <c r="Q116" s="14"/>
      <c r="R116" s="14"/>
      <c r="S116" s="14"/>
      <c r="T116" s="14"/>
      <c r="U116" s="14"/>
      <c r="V116" s="14"/>
      <c r="W116" s="14"/>
      <c r="X116" s="14"/>
      <c r="Y116" s="14"/>
    </row>
    <row r="117" spans="4:25" x14ac:dyDescent="0.3">
      <c r="D117" s="29"/>
      <c r="F117" s="28" t="s">
        <v>210</v>
      </c>
      <c r="G117" t="s">
        <v>211</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213</v>
      </c>
      <c r="G118" t="s">
        <v>169</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217</v>
      </c>
      <c r="F120" s="28"/>
      <c r="J120" s="14"/>
      <c r="K120" s="14"/>
      <c r="L120" s="14"/>
      <c r="M120" s="14"/>
      <c r="N120" s="14"/>
      <c r="O120" s="14"/>
      <c r="P120" s="14"/>
      <c r="Q120" s="14"/>
      <c r="R120" s="14"/>
      <c r="S120" s="14"/>
      <c r="T120" s="14"/>
      <c r="U120" s="14"/>
      <c r="V120" s="14"/>
      <c r="W120" s="14"/>
      <c r="X120" s="14"/>
      <c r="Y120" s="14"/>
    </row>
    <row r="121" spans="4:25" x14ac:dyDescent="0.3">
      <c r="D121" s="29"/>
      <c r="F121" s="28" t="s">
        <v>210</v>
      </c>
      <c r="G121" t="s">
        <v>211</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213</v>
      </c>
      <c r="G122" t="s">
        <v>169</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218</v>
      </c>
      <c r="J124" s="14"/>
      <c r="K124" s="14"/>
      <c r="L124" s="14"/>
      <c r="M124" s="14"/>
      <c r="N124" s="14"/>
      <c r="O124" s="14"/>
      <c r="P124" s="14"/>
      <c r="Q124" s="14"/>
      <c r="R124" s="14"/>
      <c r="S124" s="14"/>
      <c r="T124" s="14"/>
      <c r="U124" s="14"/>
      <c r="V124" s="14"/>
      <c r="W124" s="14"/>
      <c r="X124" s="14"/>
      <c r="Y124" s="14"/>
    </row>
    <row r="125" spans="4:25" x14ac:dyDescent="0.3">
      <c r="E125" s="29" t="s">
        <v>219</v>
      </c>
      <c r="J125" s="14"/>
      <c r="K125" s="14"/>
      <c r="L125" s="14"/>
      <c r="M125" s="14"/>
      <c r="N125" s="14"/>
      <c r="O125" s="14"/>
      <c r="P125" s="14"/>
      <c r="Q125" s="14"/>
      <c r="R125" s="14"/>
      <c r="S125" s="14"/>
      <c r="T125" s="14"/>
      <c r="U125" s="14"/>
      <c r="V125" s="14"/>
      <c r="W125" s="14"/>
      <c r="X125" s="14"/>
      <c r="Y125" s="14"/>
    </row>
    <row r="126" spans="4:25" x14ac:dyDescent="0.3">
      <c r="E126" s="29" t="s">
        <v>220</v>
      </c>
      <c r="J126" s="14"/>
      <c r="K126" s="14"/>
      <c r="L126" s="14"/>
      <c r="M126" s="14"/>
      <c r="N126" s="14"/>
      <c r="O126" s="14"/>
      <c r="P126" s="14"/>
      <c r="Q126" s="14"/>
      <c r="R126" s="14"/>
      <c r="S126" s="14"/>
      <c r="T126" s="14"/>
      <c r="U126" s="14"/>
      <c r="V126" s="14"/>
      <c r="W126" s="14"/>
      <c r="X126" s="14"/>
      <c r="Y126" s="14"/>
    </row>
    <row r="127" spans="4:25" x14ac:dyDescent="0.3">
      <c r="E127" s="29"/>
      <c r="F127" t="s">
        <v>218</v>
      </c>
      <c r="G127" t="s">
        <v>211</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221</v>
      </c>
      <c r="J129" s="14"/>
      <c r="K129" s="14"/>
      <c r="L129" s="14"/>
      <c r="M129" s="14"/>
      <c r="N129" s="14"/>
      <c r="O129" s="14"/>
      <c r="P129" s="14"/>
      <c r="Q129" s="14"/>
      <c r="R129" s="14"/>
      <c r="S129" s="14"/>
      <c r="T129" s="14"/>
      <c r="U129" s="14"/>
      <c r="V129" s="14"/>
      <c r="W129" s="14"/>
      <c r="X129" s="14"/>
      <c r="Y129" s="14"/>
    </row>
    <row r="130" spans="3:43" x14ac:dyDescent="0.3">
      <c r="E130" s="29" t="s">
        <v>222</v>
      </c>
      <c r="J130" s="14"/>
      <c r="K130" s="14"/>
      <c r="L130" s="14"/>
      <c r="M130" s="14"/>
      <c r="N130" s="14"/>
      <c r="O130" s="14"/>
      <c r="P130" s="14"/>
      <c r="Q130" s="14"/>
      <c r="R130" s="14"/>
      <c r="S130" s="14"/>
      <c r="T130" s="14"/>
      <c r="U130" s="14"/>
      <c r="V130" s="14"/>
      <c r="W130" s="14"/>
      <c r="X130" s="14"/>
      <c r="Y130" s="14"/>
    </row>
    <row r="131" spans="3:43" x14ac:dyDescent="0.3">
      <c r="E131" s="29"/>
      <c r="F131" t="s">
        <v>223</v>
      </c>
      <c r="G131" t="s">
        <v>211</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224</v>
      </c>
      <c r="I133" t="s">
        <v>156</v>
      </c>
      <c r="J133" s="14"/>
      <c r="K133" s="14"/>
      <c r="L133" s="14"/>
      <c r="M133" s="14"/>
      <c r="N133" s="14"/>
      <c r="O133" s="14"/>
      <c r="P133" s="14"/>
      <c r="Q133" s="14"/>
      <c r="R133" s="14"/>
      <c r="S133" s="14"/>
      <c r="T133" s="14"/>
      <c r="U133" s="14"/>
      <c r="V133" s="14"/>
      <c r="W133" s="14"/>
      <c r="X133" s="14"/>
      <c r="Y133" s="14"/>
      <c r="AQ133" t="s">
        <v>225</v>
      </c>
    </row>
    <row r="134" spans="3:43" x14ac:dyDescent="0.3">
      <c r="E134" s="29" t="s">
        <v>226</v>
      </c>
      <c r="J134" s="14"/>
      <c r="K134" s="14"/>
      <c r="L134" s="14"/>
      <c r="M134" s="14"/>
      <c r="N134" s="14"/>
      <c r="O134" s="14"/>
      <c r="P134" s="14"/>
      <c r="Q134" s="14"/>
      <c r="R134" s="14"/>
      <c r="S134" s="14"/>
      <c r="T134" s="14"/>
      <c r="U134" s="14"/>
      <c r="V134" s="14"/>
      <c r="W134" s="14"/>
      <c r="X134" s="14"/>
      <c r="Y134" s="14"/>
    </row>
    <row r="135" spans="3:43" x14ac:dyDescent="0.3">
      <c r="E135" s="29" t="s">
        <v>227</v>
      </c>
      <c r="J135" s="14"/>
      <c r="K135" s="14"/>
      <c r="L135" s="14"/>
      <c r="M135" s="14"/>
      <c r="N135" s="14"/>
      <c r="O135" s="14"/>
      <c r="P135" s="14"/>
      <c r="Q135" s="14"/>
      <c r="R135" s="14"/>
      <c r="S135" s="14"/>
      <c r="T135" s="14"/>
      <c r="U135" s="14"/>
      <c r="V135" s="14"/>
      <c r="W135" s="14"/>
      <c r="X135" s="14"/>
      <c r="Y135" s="14"/>
    </row>
    <row r="136" spans="3:43" x14ac:dyDescent="0.3">
      <c r="E136" s="29"/>
      <c r="F136" t="s">
        <v>162</v>
      </c>
      <c r="G136" t="s">
        <v>178</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163</v>
      </c>
      <c r="G137" t="s">
        <v>178</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228</v>
      </c>
      <c r="G138" t="s">
        <v>178</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229</v>
      </c>
      <c r="G139" t="s">
        <v>178</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230</v>
      </c>
      <c r="F143" s="32"/>
    </row>
    <row r="144" spans="3:43" x14ac:dyDescent="0.3">
      <c r="E144" s="29" t="s">
        <v>231</v>
      </c>
      <c r="F144" s="29"/>
      <c r="I144" t="s">
        <v>156</v>
      </c>
      <c r="AQ144" t="s">
        <v>904</v>
      </c>
    </row>
    <row r="145" spans="3:61" x14ac:dyDescent="0.3">
      <c r="E145" s="29"/>
      <c r="F145" s="28" t="s">
        <v>230</v>
      </c>
      <c r="G145" t="s">
        <v>151</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848</v>
      </c>
      <c r="F147" s="32"/>
      <c r="I147" t="s">
        <v>156</v>
      </c>
      <c r="AQ147" t="s">
        <v>861</v>
      </c>
    </row>
    <row r="148" spans="3:61" x14ac:dyDescent="0.3">
      <c r="E148" s="29" t="s">
        <v>849</v>
      </c>
      <c r="F148" s="29"/>
    </row>
    <row r="149" spans="3:61" x14ac:dyDescent="0.3">
      <c r="E149" s="29"/>
      <c r="F149" s="28" t="s">
        <v>850</v>
      </c>
      <c r="G149" t="s">
        <v>151</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232</v>
      </c>
      <c r="G153" t="s">
        <v>151</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874</v>
      </c>
      <c r="I157" t="s">
        <v>156</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899</v>
      </c>
      <c r="AR157" s="89"/>
    </row>
    <row r="158" spans="3:61" x14ac:dyDescent="0.3">
      <c r="C158" s="88"/>
      <c r="D158" s="2"/>
      <c r="F158" s="23" t="s">
        <v>875</v>
      </c>
      <c r="G158" s="23" t="s">
        <v>178</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876</v>
      </c>
      <c r="G159" s="37" t="s">
        <v>178</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1014</v>
      </c>
      <c r="F163" s="311"/>
      <c r="G163" s="311"/>
      <c r="H163" s="311"/>
      <c r="I163" s="311"/>
      <c r="J163" s="114" t="s">
        <v>915</v>
      </c>
      <c r="K163" s="114" t="s">
        <v>833</v>
      </c>
      <c r="L163" s="114" t="s">
        <v>916</v>
      </c>
      <c r="M163" s="114" t="s">
        <v>917</v>
      </c>
      <c r="N163" s="114" t="s">
        <v>918</v>
      </c>
      <c r="O163" s="114" t="s">
        <v>919</v>
      </c>
      <c r="P163" s="114" t="s">
        <v>920</v>
      </c>
      <c r="Q163" s="114" t="s">
        <v>834</v>
      </c>
      <c r="R163" s="114" t="s">
        <v>921</v>
      </c>
      <c r="S163" s="114" t="s">
        <v>922</v>
      </c>
      <c r="T163" s="114" t="s">
        <v>923</v>
      </c>
      <c r="U163" s="114" t="s">
        <v>924</v>
      </c>
      <c r="V163" s="114" t="s">
        <v>925</v>
      </c>
      <c r="W163" s="114" t="s">
        <v>926</v>
      </c>
      <c r="X163" s="114" t="s">
        <v>927</v>
      </c>
      <c r="Y163" s="114" t="s">
        <v>928</v>
      </c>
      <c r="Z163" s="114" t="s">
        <v>929</v>
      </c>
      <c r="AA163" s="114" t="s">
        <v>930</v>
      </c>
      <c r="AB163" s="114" t="s">
        <v>931</v>
      </c>
      <c r="AC163" s="114" t="s">
        <v>932</v>
      </c>
      <c r="AD163" s="114" t="s">
        <v>933</v>
      </c>
      <c r="AE163" s="114" t="s">
        <v>934</v>
      </c>
      <c r="AF163" s="114" t="s">
        <v>935</v>
      </c>
      <c r="AG163" s="114" t="s">
        <v>843</v>
      </c>
      <c r="AH163" s="114" t="s">
        <v>835</v>
      </c>
      <c r="AI163" s="114" t="s">
        <v>836</v>
      </c>
      <c r="AJ163" s="114" t="s">
        <v>837</v>
      </c>
      <c r="AK163" s="114" t="s">
        <v>846</v>
      </c>
      <c r="AL163" s="114" t="s">
        <v>838</v>
      </c>
      <c r="AM163" s="114" t="s">
        <v>845</v>
      </c>
      <c r="AN163" s="114" t="s">
        <v>839</v>
      </c>
      <c r="AO163" s="114" t="s">
        <v>844</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1013</v>
      </c>
      <c r="G164" s="23" t="s">
        <v>914</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940</v>
      </c>
      <c r="G165" s="311" t="s">
        <v>914</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1011</v>
      </c>
      <c r="G166" s="311" t="s">
        <v>914</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947</v>
      </c>
      <c r="G167" s="370" t="s">
        <v>151</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946</v>
      </c>
      <c r="G168" s="370" t="s">
        <v>151</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1012</v>
      </c>
      <c r="G169" s="373" t="s">
        <v>151</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1015</v>
      </c>
      <c r="F171" s="311"/>
      <c r="G171" s="370" t="s">
        <v>151</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1008</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1009</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1010</v>
      </c>
      <c r="G175" s="311"/>
      <c r="H175" s="311"/>
      <c r="I175" s="311"/>
      <c r="J175" s="114" t="s">
        <v>915</v>
      </c>
      <c r="K175" s="114" t="s">
        <v>833</v>
      </c>
      <c r="L175" s="114" t="s">
        <v>916</v>
      </c>
      <c r="M175" s="114" t="s">
        <v>917</v>
      </c>
      <c r="N175" s="114" t="s">
        <v>918</v>
      </c>
      <c r="O175" s="114" t="s">
        <v>919</v>
      </c>
      <c r="P175" s="114" t="s">
        <v>920</v>
      </c>
      <c r="Q175" s="114" t="s">
        <v>834</v>
      </c>
      <c r="R175" s="114" t="s">
        <v>921</v>
      </c>
      <c r="S175" s="114" t="s">
        <v>922</v>
      </c>
      <c r="T175" s="114" t="s">
        <v>923</v>
      </c>
      <c r="U175" s="114" t="s">
        <v>924</v>
      </c>
      <c r="V175" s="114" t="s">
        <v>925</v>
      </c>
      <c r="W175" s="114" t="s">
        <v>926</v>
      </c>
      <c r="X175" s="114" t="s">
        <v>927</v>
      </c>
      <c r="Y175" s="114" t="s">
        <v>928</v>
      </c>
      <c r="Z175" s="114" t="s">
        <v>929</v>
      </c>
      <c r="AA175" s="114" t="s">
        <v>930</v>
      </c>
      <c r="AB175" s="114" t="s">
        <v>931</v>
      </c>
      <c r="AC175" s="114" t="s">
        <v>932</v>
      </c>
      <c r="AD175" s="114" t="s">
        <v>933</v>
      </c>
      <c r="AE175" s="114" t="s">
        <v>934</v>
      </c>
      <c r="AF175" s="114" t="s">
        <v>935</v>
      </c>
      <c r="AG175" s="114" t="s">
        <v>843</v>
      </c>
      <c r="AH175" s="114" t="s">
        <v>835</v>
      </c>
      <c r="AI175" s="114" t="s">
        <v>836</v>
      </c>
      <c r="AJ175" s="114" t="s">
        <v>837</v>
      </c>
      <c r="AK175" s="114" t="s">
        <v>846</v>
      </c>
      <c r="AL175" s="114" t="s">
        <v>838</v>
      </c>
      <c r="AM175" s="114" t="s">
        <v>845</v>
      </c>
      <c r="AN175" s="114" t="s">
        <v>839</v>
      </c>
      <c r="AO175" s="114" t="s">
        <v>844</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1000</v>
      </c>
      <c r="G176" s="23" t="s">
        <v>151</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1001</v>
      </c>
      <c r="G177" s="311" t="s">
        <v>151</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1002</v>
      </c>
      <c r="G178" s="311" t="s">
        <v>151</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1003</v>
      </c>
      <c r="G179" s="311" t="s">
        <v>151</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1004</v>
      </c>
      <c r="G180" s="311" t="s">
        <v>151</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1005</v>
      </c>
      <c r="G181" s="311" t="s">
        <v>151</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1006</v>
      </c>
      <c r="G182" s="311" t="s">
        <v>151</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1007</v>
      </c>
      <c r="G183" s="37" t="s">
        <v>151</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233</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234</v>
      </c>
      <c r="G187" s="6" t="s">
        <v>57</v>
      </c>
      <c r="H187" s="24">
        <f t="array" ref="H187">SUM(IF(ISERROR(H15:Y146), 1))</f>
        <v>0</v>
      </c>
      <c r="I187" s="3"/>
    </row>
    <row r="188" spans="2:61" x14ac:dyDescent="0.3">
      <c r="I188" s="3"/>
    </row>
    <row r="189" spans="2:61" x14ac:dyDescent="0.3">
      <c r="E189" s="32" t="s">
        <v>235</v>
      </c>
      <c r="I189" s="3"/>
    </row>
    <row r="190" spans="2:61" x14ac:dyDescent="0.3">
      <c r="F190" s="23" t="s">
        <v>236</v>
      </c>
      <c r="G190" s="73" t="s">
        <v>57</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237</v>
      </c>
      <c r="G191" s="6" t="s">
        <v>57</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238</v>
      </c>
      <c r="G192" s="6" t="s">
        <v>57</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239</v>
      </c>
      <c r="G193" s="6" t="s">
        <v>57</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240</v>
      </c>
      <c r="G194" s="50" t="s">
        <v>57</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241</v>
      </c>
      <c r="G196" s="6" t="s">
        <v>57</v>
      </c>
      <c r="H196" s="103">
        <f>H187 + SUM(H190:H194)</f>
        <v>0</v>
      </c>
      <c r="I196" s="3"/>
    </row>
    <row r="197" spans="2:43" x14ac:dyDescent="0.3">
      <c r="I197" s="3"/>
    </row>
    <row r="198" spans="2:43" x14ac:dyDescent="0.3">
      <c r="B198" s="30" t="s">
        <v>108</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153" activePane="bottomRight" state="frozen"/>
      <selection pane="topRight"/>
      <selection pane="bottomLeft"/>
      <selection pane="bottomRight" activeCell="J161" sqref="J161:Y161"/>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[enter DNO name] - [enter data version name]</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144</v>
      </c>
      <c r="C5" s="60"/>
      <c r="D5" s="60"/>
      <c r="E5" s="60"/>
      <c r="F5" s="60"/>
      <c r="G5" s="299" t="s">
        <v>145</v>
      </c>
      <c r="H5" s="300" t="s">
        <v>146</v>
      </c>
      <c r="I5" s="14"/>
      <c r="J5" s="300" t="s">
        <v>831</v>
      </c>
      <c r="K5" s="300" t="s">
        <v>833</v>
      </c>
      <c r="L5" s="300" t="s">
        <v>832</v>
      </c>
      <c r="M5" s="300" t="s">
        <v>834</v>
      </c>
      <c r="N5" s="300" t="s">
        <v>840</v>
      </c>
      <c r="O5" s="300" t="s">
        <v>841</v>
      </c>
      <c r="P5" s="300" t="s">
        <v>842</v>
      </c>
      <c r="Q5" s="300" t="s">
        <v>843</v>
      </c>
      <c r="R5" s="300" t="s">
        <v>835</v>
      </c>
      <c r="S5" s="300" t="s">
        <v>836</v>
      </c>
      <c r="T5" s="300" t="s">
        <v>837</v>
      </c>
      <c r="U5" s="300" t="s">
        <v>846</v>
      </c>
      <c r="V5" s="300" t="s">
        <v>838</v>
      </c>
      <c r="W5" s="300" t="s">
        <v>845</v>
      </c>
      <c r="X5" s="300" t="s">
        <v>839</v>
      </c>
      <c r="Y5" s="300" t="s">
        <v>844</v>
      </c>
      <c r="AQ5" s="61" t="s">
        <v>147</v>
      </c>
    </row>
    <row r="7" spans="1:43" x14ac:dyDescent="0.3">
      <c r="B7" s="30" t="s">
        <v>12</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242</v>
      </c>
    </row>
    <row r="11" spans="1:43" x14ac:dyDescent="0.3">
      <c r="B11" s="30" t="s">
        <v>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243</v>
      </c>
      <c r="G15" s="13" t="s">
        <v>169</v>
      </c>
      <c r="I15" t="s">
        <v>156</v>
      </c>
      <c r="J15" s="252">
        <v>0.44796837710480569</v>
      </c>
      <c r="K15" s="252">
        <v>0.12678758597226766</v>
      </c>
      <c r="L15" s="252">
        <v>0.43768798874811282</v>
      </c>
      <c r="M15" s="252">
        <v>0.23185795849877822</v>
      </c>
      <c r="N15" s="252">
        <v>0.54123214231902228</v>
      </c>
      <c r="O15" s="252">
        <v>0.58771536453392137</v>
      </c>
      <c r="P15" s="252">
        <v>0.7285680308107656</v>
      </c>
      <c r="Q15" s="252">
        <v>0.4904377895334277</v>
      </c>
      <c r="R15" s="70"/>
      <c r="S15" s="70"/>
      <c r="T15" s="70"/>
      <c r="U15" s="70"/>
      <c r="V15" s="70"/>
      <c r="W15" s="70"/>
      <c r="X15" s="70"/>
      <c r="Y15" s="70"/>
      <c r="AQ15" t="s">
        <v>244</v>
      </c>
    </row>
    <row r="16" spans="1:43" x14ac:dyDescent="0.3">
      <c r="E16" s="28" t="s">
        <v>245</v>
      </c>
      <c r="G16" s="13" t="s">
        <v>169</v>
      </c>
      <c r="I16" t="s">
        <v>156</v>
      </c>
      <c r="J16" s="252">
        <v>0.92728776504797317</v>
      </c>
      <c r="K16" s="70"/>
      <c r="L16" s="252">
        <v>0.727736083732617</v>
      </c>
      <c r="M16" s="70"/>
      <c r="N16" s="252">
        <v>0.74966003876595877</v>
      </c>
      <c r="O16" s="252">
        <v>0.80604166755551976</v>
      </c>
      <c r="P16" s="252">
        <v>0.80938528774502716</v>
      </c>
      <c r="Q16" s="252">
        <v>0.95060113521235012</v>
      </c>
      <c r="R16" s="70"/>
      <c r="S16" s="70"/>
      <c r="T16" s="70"/>
      <c r="U16" s="70"/>
      <c r="V16" s="70"/>
      <c r="W16" s="70"/>
      <c r="X16" s="70"/>
      <c r="Y16" s="70"/>
      <c r="AQ16" t="s">
        <v>246</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963</v>
      </c>
      <c r="G20" s="13"/>
      <c r="I20" t="s">
        <v>156</v>
      </c>
      <c r="AQ20" t="s">
        <v>248</v>
      </c>
    </row>
    <row r="21" spans="3:43" x14ac:dyDescent="0.3">
      <c r="G21" s="13"/>
    </row>
    <row r="22" spans="3:43" x14ac:dyDescent="0.3">
      <c r="E22" s="32" t="s">
        <v>911</v>
      </c>
      <c r="G22" s="13"/>
    </row>
    <row r="23" spans="3:43" x14ac:dyDescent="0.3">
      <c r="E23" s="32"/>
      <c r="F23" s="78" t="s">
        <v>249</v>
      </c>
      <c r="G23" s="78" t="s">
        <v>209</v>
      </c>
      <c r="H23" s="23"/>
      <c r="I23" s="23"/>
      <c r="J23" s="83"/>
      <c r="K23" s="253">
        <v>907.55296879515561</v>
      </c>
      <c r="L23" s="253">
        <v>0</v>
      </c>
      <c r="M23" s="253">
        <v>38.5327591755619</v>
      </c>
      <c r="N23" s="253">
        <v>0</v>
      </c>
      <c r="O23" s="253">
        <v>0</v>
      </c>
      <c r="P23" s="253">
        <v>0</v>
      </c>
      <c r="Q23" s="83"/>
      <c r="R23" s="253">
        <v>68.229870901863052</v>
      </c>
      <c r="S23" s="253">
        <v>0</v>
      </c>
      <c r="T23" s="253">
        <v>4775.2942813887903</v>
      </c>
      <c r="U23" s="253">
        <v>0</v>
      </c>
      <c r="V23" s="253">
        <v>643.59278860763663</v>
      </c>
      <c r="W23" s="253">
        <v>0</v>
      </c>
      <c r="X23" s="253">
        <v>278149.15352828434</v>
      </c>
      <c r="Y23" s="253">
        <v>0</v>
      </c>
    </row>
    <row r="24" spans="3:43" x14ac:dyDescent="0.3">
      <c r="E24" s="32"/>
      <c r="F24" s="72" t="s">
        <v>250</v>
      </c>
      <c r="G24" s="72" t="s">
        <v>209</v>
      </c>
      <c r="J24" s="79"/>
      <c r="K24" s="254">
        <v>5824.4312721126043</v>
      </c>
      <c r="L24" s="254">
        <v>0</v>
      </c>
      <c r="M24" s="254">
        <v>502.36485110192183</v>
      </c>
      <c r="N24" s="254">
        <v>0</v>
      </c>
      <c r="O24" s="254">
        <v>0</v>
      </c>
      <c r="P24" s="254">
        <v>0</v>
      </c>
      <c r="Q24" s="79"/>
      <c r="R24" s="255">
        <v>449.63349348982825</v>
      </c>
      <c r="S24" s="255">
        <v>0</v>
      </c>
      <c r="T24" s="254">
        <v>23780.951178135838</v>
      </c>
      <c r="U24" s="254">
        <v>0</v>
      </c>
      <c r="V24" s="254">
        <v>2524.6060767726581</v>
      </c>
      <c r="W24" s="254">
        <v>0</v>
      </c>
      <c r="X24" s="254">
        <v>600091.23989919515</v>
      </c>
      <c r="Y24" s="254">
        <v>0</v>
      </c>
    </row>
    <row r="25" spans="3:43" x14ac:dyDescent="0.3">
      <c r="E25" s="32"/>
      <c r="F25" s="72" t="s">
        <v>251</v>
      </c>
      <c r="G25" s="72" t="s">
        <v>209</v>
      </c>
      <c r="J25" s="79"/>
      <c r="K25" s="254">
        <v>10388.832210240402</v>
      </c>
      <c r="L25" s="254">
        <v>0</v>
      </c>
      <c r="M25" s="254">
        <v>1825.2777420810467</v>
      </c>
      <c r="N25" s="254">
        <v>0</v>
      </c>
      <c r="O25" s="254">
        <v>0</v>
      </c>
      <c r="P25" s="254">
        <v>0</v>
      </c>
      <c r="Q25" s="79"/>
      <c r="R25" s="255">
        <v>251.99826680064848</v>
      </c>
      <c r="S25" s="255">
        <v>0</v>
      </c>
      <c r="T25" s="254">
        <v>24197.561642861572</v>
      </c>
      <c r="U25" s="254">
        <v>0</v>
      </c>
      <c r="V25" s="254">
        <v>4216.2054199370059</v>
      </c>
      <c r="W25" s="254">
        <v>0</v>
      </c>
      <c r="X25" s="254">
        <v>673152.99157943716</v>
      </c>
      <c r="Y25" s="254">
        <v>0</v>
      </c>
    </row>
    <row r="26" spans="3:43" x14ac:dyDescent="0.3">
      <c r="E26" s="32"/>
      <c r="F26" s="72" t="s">
        <v>214</v>
      </c>
      <c r="G26" s="72" t="s">
        <v>214</v>
      </c>
      <c r="J26" s="79"/>
      <c r="K26" s="254">
        <v>0</v>
      </c>
      <c r="L26" s="254">
        <v>0</v>
      </c>
      <c r="M26" s="254">
        <v>0</v>
      </c>
      <c r="N26" s="254">
        <v>0</v>
      </c>
      <c r="O26" s="254">
        <v>0</v>
      </c>
      <c r="P26" s="254">
        <v>0</v>
      </c>
      <c r="Q26" s="79"/>
      <c r="R26" s="254">
        <v>0</v>
      </c>
      <c r="S26" s="254">
        <v>0</v>
      </c>
      <c r="T26" s="254">
        <v>734.26186025829247</v>
      </c>
      <c r="U26" s="254">
        <v>0</v>
      </c>
      <c r="V26" s="254">
        <v>50.04201140862741</v>
      </c>
      <c r="W26" s="254">
        <v>0</v>
      </c>
      <c r="X26" s="254">
        <v>449.38337701268659</v>
      </c>
      <c r="Y26" s="254">
        <v>0</v>
      </c>
    </row>
    <row r="27" spans="3:43" x14ac:dyDescent="0.3">
      <c r="E27" s="32"/>
      <c r="F27" s="72" t="s">
        <v>252</v>
      </c>
      <c r="G27" s="72" t="s">
        <v>253</v>
      </c>
      <c r="J27" s="79"/>
      <c r="K27" s="79"/>
      <c r="L27" s="79"/>
      <c r="M27" s="79"/>
      <c r="N27" s="254">
        <v>0</v>
      </c>
      <c r="O27" s="254">
        <v>0</v>
      </c>
      <c r="P27" s="254">
        <v>0</v>
      </c>
      <c r="Q27" s="79"/>
      <c r="R27" s="79"/>
      <c r="S27" s="79"/>
      <c r="T27" s="79"/>
      <c r="U27" s="79"/>
      <c r="V27" s="79"/>
      <c r="W27" s="79"/>
      <c r="X27" s="79"/>
      <c r="Y27" s="79"/>
    </row>
    <row r="28" spans="3:43" x14ac:dyDescent="0.3">
      <c r="E28" s="32"/>
      <c r="F28" s="72" t="s">
        <v>254</v>
      </c>
      <c r="G28" s="72" t="s">
        <v>253</v>
      </c>
      <c r="J28" s="79"/>
      <c r="K28" s="79"/>
      <c r="L28" s="79"/>
      <c r="M28" s="79"/>
      <c r="N28" s="254">
        <v>0</v>
      </c>
      <c r="O28" s="254">
        <v>0</v>
      </c>
      <c r="P28" s="254">
        <v>0</v>
      </c>
      <c r="Q28" s="79"/>
      <c r="R28" s="79"/>
      <c r="S28" s="79"/>
      <c r="T28" s="79"/>
      <c r="U28" s="79"/>
      <c r="V28" s="79"/>
      <c r="W28" s="79"/>
      <c r="X28" s="79"/>
      <c r="Y28" s="79"/>
    </row>
    <row r="29" spans="3:43" x14ac:dyDescent="0.3">
      <c r="E29" s="32"/>
      <c r="F29" s="80" t="s">
        <v>255</v>
      </c>
      <c r="G29" s="80" t="s">
        <v>256</v>
      </c>
      <c r="H29" s="37"/>
      <c r="I29" s="37"/>
      <c r="J29" s="81"/>
      <c r="K29" s="81"/>
      <c r="L29" s="81"/>
      <c r="M29" s="81"/>
      <c r="N29" s="256">
        <v>0</v>
      </c>
      <c r="O29" s="256">
        <v>0</v>
      </c>
      <c r="P29" s="256">
        <v>0</v>
      </c>
      <c r="Q29" s="81"/>
      <c r="R29" s="81"/>
      <c r="S29" s="81"/>
      <c r="T29" s="256">
        <v>3663.5475540790721</v>
      </c>
      <c r="U29" s="81"/>
      <c r="V29" s="256">
        <v>397.56062338257436</v>
      </c>
      <c r="W29" s="81"/>
      <c r="X29" s="256">
        <v>20979.429173597407</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951</v>
      </c>
      <c r="G31" s="13"/>
    </row>
    <row r="32" spans="3:43" x14ac:dyDescent="0.3">
      <c r="E32" s="32"/>
      <c r="F32" s="78" t="s">
        <v>249</v>
      </c>
      <c r="G32" s="78" t="s">
        <v>209</v>
      </c>
      <c r="H32" s="23"/>
      <c r="I32" s="23"/>
      <c r="J32" s="253">
        <v>963611.57957705879</v>
      </c>
      <c r="K32" s="83"/>
      <c r="L32" s="253">
        <v>10077.067617770306</v>
      </c>
      <c r="M32" s="83"/>
      <c r="N32" s="253">
        <v>54447.012806749743</v>
      </c>
      <c r="O32" s="253">
        <v>376.99845725371262</v>
      </c>
      <c r="P32" s="253">
        <v>63516.588073736195</v>
      </c>
      <c r="Q32" s="253">
        <v>8811.3898575429248</v>
      </c>
      <c r="R32" s="83"/>
      <c r="S32" s="83"/>
      <c r="T32" s="83"/>
      <c r="U32" s="83"/>
      <c r="V32" s="83"/>
      <c r="W32" s="83"/>
      <c r="X32" s="83"/>
      <c r="Y32" s="83"/>
    </row>
    <row r="33" spans="5:42" x14ac:dyDescent="0.3">
      <c r="E33" s="32"/>
      <c r="F33" s="72" t="s">
        <v>250</v>
      </c>
      <c r="G33" s="72" t="s">
        <v>209</v>
      </c>
      <c r="J33" s="254">
        <v>2859384.3281420832</v>
      </c>
      <c r="K33" s="79"/>
      <c r="L33" s="254">
        <v>41491.897751145232</v>
      </c>
      <c r="M33" s="331"/>
      <c r="N33" s="254">
        <v>230531.15914503945</v>
      </c>
      <c r="O33" s="254">
        <v>1467.1113163535954</v>
      </c>
      <c r="P33" s="254">
        <v>243028.09309919522</v>
      </c>
      <c r="Q33" s="255">
        <v>49189.058441586792</v>
      </c>
      <c r="R33" s="79"/>
      <c r="S33" s="79"/>
      <c r="T33" s="79"/>
      <c r="U33" s="79"/>
      <c r="V33" s="79"/>
      <c r="W33" s="79"/>
      <c r="X33" s="79"/>
      <c r="Y33" s="79"/>
    </row>
    <row r="34" spans="5:42" x14ac:dyDescent="0.3">
      <c r="E34" s="32"/>
      <c r="F34" s="72" t="s">
        <v>251</v>
      </c>
      <c r="G34" s="72" t="s">
        <v>209</v>
      </c>
      <c r="J34" s="254">
        <v>4737373.0104243234</v>
      </c>
      <c r="K34" s="79"/>
      <c r="L34" s="254">
        <v>45575.712249303608</v>
      </c>
      <c r="M34" s="331"/>
      <c r="N34" s="254">
        <v>251242.6131015287</v>
      </c>
      <c r="O34" s="254">
        <v>1640.7478089642348</v>
      </c>
      <c r="P34" s="254">
        <v>346376.39665689884</v>
      </c>
      <c r="Q34" s="255">
        <v>159418.28502479228</v>
      </c>
      <c r="R34" s="79"/>
      <c r="S34" s="79"/>
      <c r="T34" s="79"/>
      <c r="U34" s="79"/>
      <c r="V34" s="79"/>
      <c r="W34" s="79"/>
      <c r="X34" s="79"/>
      <c r="Y34" s="79"/>
    </row>
    <row r="35" spans="5:42" x14ac:dyDescent="0.3">
      <c r="E35" s="32"/>
      <c r="F35" s="72" t="s">
        <v>214</v>
      </c>
      <c r="G35" s="72" t="s">
        <v>214</v>
      </c>
      <c r="J35" s="254">
        <v>2477396.9025159678</v>
      </c>
      <c r="K35" s="79"/>
      <c r="L35" s="254">
        <v>66707.473785459209</v>
      </c>
      <c r="M35" s="331"/>
      <c r="N35" s="254">
        <v>5372.1278746213347</v>
      </c>
      <c r="O35" s="254">
        <v>13.688496567162147</v>
      </c>
      <c r="P35" s="254">
        <v>1527.8223765518344</v>
      </c>
      <c r="Q35" s="254">
        <v>37.113907471596569</v>
      </c>
      <c r="R35" s="79"/>
      <c r="S35" s="79"/>
      <c r="T35" s="79"/>
      <c r="U35" s="79"/>
      <c r="V35" s="79"/>
      <c r="W35" s="79"/>
      <c r="X35" s="79"/>
      <c r="Y35" s="79"/>
    </row>
    <row r="36" spans="5:42" x14ac:dyDescent="0.3">
      <c r="E36" s="32"/>
      <c r="F36" s="72" t="s">
        <v>252</v>
      </c>
      <c r="G36" s="72" t="s">
        <v>253</v>
      </c>
      <c r="J36" s="79"/>
      <c r="K36" s="79"/>
      <c r="L36" s="79"/>
      <c r="M36" s="331"/>
      <c r="N36" s="254">
        <v>255460.28358215367</v>
      </c>
      <c r="O36" s="254">
        <v>109.35326295178152</v>
      </c>
      <c r="P36" s="254">
        <v>309930.28523199819</v>
      </c>
      <c r="Q36" s="79"/>
      <c r="R36" s="79"/>
      <c r="S36" s="79"/>
      <c r="T36" s="79"/>
      <c r="U36" s="79"/>
      <c r="V36" s="79"/>
      <c r="W36" s="79"/>
      <c r="X36" s="79"/>
      <c r="Y36" s="79"/>
    </row>
    <row r="37" spans="5:42" x14ac:dyDescent="0.3">
      <c r="E37" s="32"/>
      <c r="F37" s="72" t="s">
        <v>254</v>
      </c>
      <c r="G37" s="72" t="s">
        <v>253</v>
      </c>
      <c r="J37" s="79"/>
      <c r="K37" s="79"/>
      <c r="L37" s="79"/>
      <c r="M37" s="331"/>
      <c r="N37" s="254">
        <v>4359.4712095938203</v>
      </c>
      <c r="O37" s="254">
        <v>0.61790524733844565</v>
      </c>
      <c r="P37" s="254">
        <v>4018.3170988580564</v>
      </c>
      <c r="Q37" s="79"/>
      <c r="R37" s="79"/>
      <c r="S37" s="79"/>
      <c r="T37" s="79"/>
      <c r="U37" s="79"/>
      <c r="V37" s="79"/>
      <c r="W37" s="79"/>
      <c r="X37" s="79"/>
      <c r="Y37" s="79"/>
    </row>
    <row r="38" spans="5:42" x14ac:dyDescent="0.3">
      <c r="E38" s="32"/>
      <c r="F38" s="80" t="s">
        <v>255</v>
      </c>
      <c r="G38" s="80" t="s">
        <v>256</v>
      </c>
      <c r="H38" s="37"/>
      <c r="I38" s="37"/>
      <c r="J38" s="81"/>
      <c r="K38" s="81"/>
      <c r="L38" s="81"/>
      <c r="M38" s="81"/>
      <c r="N38" s="256">
        <v>57440.724377999293</v>
      </c>
      <c r="O38" s="256">
        <v>490.70112202356984</v>
      </c>
      <c r="P38" s="256">
        <v>54589.717629115243</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952</v>
      </c>
      <c r="G40" s="13"/>
    </row>
    <row r="41" spans="5:42" x14ac:dyDescent="0.3">
      <c r="E41" s="32"/>
      <c r="F41" s="78" t="s">
        <v>249</v>
      </c>
      <c r="G41" s="78" t="s">
        <v>209</v>
      </c>
      <c r="H41" s="23"/>
      <c r="I41" s="23"/>
      <c r="J41" s="83"/>
      <c r="K41" s="83"/>
      <c r="L41" s="253">
        <v>46380.797342607533</v>
      </c>
      <c r="M41" s="83"/>
      <c r="N41" s="253">
        <v>98684.405595474527</v>
      </c>
      <c r="O41" s="253">
        <v>745.06830569498231</v>
      </c>
      <c r="P41" s="253">
        <v>155361.22844926195</v>
      </c>
      <c r="Q41" s="83"/>
      <c r="R41" s="83"/>
      <c r="S41" s="83"/>
      <c r="T41" s="83"/>
      <c r="U41" s="83"/>
      <c r="V41" s="83"/>
      <c r="W41" s="83"/>
      <c r="X41" s="83"/>
      <c r="Y41" s="83"/>
    </row>
    <row r="42" spans="5:42" x14ac:dyDescent="0.3">
      <c r="E42" s="32"/>
      <c r="F42" s="72" t="s">
        <v>250</v>
      </c>
      <c r="G42" s="72" t="s">
        <v>209</v>
      </c>
      <c r="J42" s="79"/>
      <c r="K42" s="79"/>
      <c r="L42" s="254">
        <v>190970.96238219619</v>
      </c>
      <c r="M42" s="79"/>
      <c r="N42" s="254">
        <v>417834.31704895449</v>
      </c>
      <c r="O42" s="254">
        <v>2899.4764347427417</v>
      </c>
      <c r="P42" s="254">
        <v>594445.39193037932</v>
      </c>
      <c r="Q42" s="79"/>
      <c r="R42" s="79"/>
      <c r="S42" s="79"/>
      <c r="T42" s="79"/>
      <c r="U42" s="79"/>
      <c r="V42" s="79"/>
      <c r="W42" s="79"/>
      <c r="X42" s="79"/>
      <c r="Y42" s="79"/>
    </row>
    <row r="43" spans="5:42" x14ac:dyDescent="0.3">
      <c r="E43" s="32"/>
      <c r="F43" s="72" t="s">
        <v>251</v>
      </c>
      <c r="G43" s="72" t="s">
        <v>209</v>
      </c>
      <c r="J43" s="79"/>
      <c r="K43" s="79"/>
      <c r="L43" s="254">
        <v>209767.16181325607</v>
      </c>
      <c r="M43" s="79"/>
      <c r="N43" s="254">
        <v>455373.52108148136</v>
      </c>
      <c r="O43" s="254">
        <v>3242.6371158199172</v>
      </c>
      <c r="P43" s="254">
        <v>847234.77948741138</v>
      </c>
      <c r="Q43" s="79"/>
      <c r="R43" s="79"/>
      <c r="S43" s="79"/>
      <c r="T43" s="79"/>
      <c r="U43" s="79"/>
      <c r="V43" s="79"/>
      <c r="W43" s="79"/>
      <c r="X43" s="79"/>
      <c r="Y43" s="79"/>
    </row>
    <row r="44" spans="5:42" x14ac:dyDescent="0.3">
      <c r="E44" s="32"/>
      <c r="F44" s="72" t="s">
        <v>214</v>
      </c>
      <c r="G44" s="72" t="s">
        <v>214</v>
      </c>
      <c r="J44" s="79"/>
      <c r="K44" s="79"/>
      <c r="L44" s="254">
        <v>58008.136695282345</v>
      </c>
      <c r="M44" s="79"/>
      <c r="N44" s="254">
        <v>5652.2294775029186</v>
      </c>
      <c r="O44" s="254">
        <v>36.958940731337798</v>
      </c>
      <c r="P44" s="254">
        <v>1064.0737565844663</v>
      </c>
      <c r="Q44" s="79"/>
      <c r="R44" s="79"/>
      <c r="S44" s="79"/>
      <c r="T44" s="79"/>
      <c r="U44" s="79"/>
      <c r="V44" s="79"/>
      <c r="W44" s="79"/>
      <c r="X44" s="79"/>
      <c r="Y44" s="79"/>
    </row>
    <row r="45" spans="5:42" x14ac:dyDescent="0.3">
      <c r="E45" s="32"/>
      <c r="F45" s="72" t="s">
        <v>252</v>
      </c>
      <c r="G45" s="72" t="s">
        <v>253</v>
      </c>
      <c r="J45" s="79"/>
      <c r="K45" s="79"/>
      <c r="L45" s="79"/>
      <c r="M45" s="79"/>
      <c r="N45" s="254">
        <v>662575.12256898556</v>
      </c>
      <c r="O45" s="254">
        <v>4932.5751714703129</v>
      </c>
      <c r="P45" s="254">
        <v>692359.02086749545</v>
      </c>
      <c r="Q45" s="79"/>
      <c r="R45" s="79"/>
      <c r="S45" s="79"/>
      <c r="T45" s="79"/>
      <c r="U45" s="79"/>
      <c r="V45" s="79"/>
      <c r="W45" s="79"/>
      <c r="X45" s="79"/>
      <c r="Y45" s="79"/>
    </row>
    <row r="46" spans="5:42" x14ac:dyDescent="0.3">
      <c r="E46" s="32"/>
      <c r="F46" s="72" t="s">
        <v>254</v>
      </c>
      <c r="G46" s="72" t="s">
        <v>253</v>
      </c>
      <c r="J46" s="79"/>
      <c r="K46" s="79"/>
      <c r="L46" s="79"/>
      <c r="M46" s="79"/>
      <c r="N46" s="254">
        <v>11306.952026081508</v>
      </c>
      <c r="O46" s="254">
        <v>27.87172507771233</v>
      </c>
      <c r="P46" s="254">
        <v>8976.5932039133422</v>
      </c>
      <c r="Q46" s="79"/>
      <c r="R46" s="79"/>
      <c r="S46" s="79"/>
      <c r="T46" s="79"/>
      <c r="U46" s="79"/>
      <c r="V46" s="79"/>
      <c r="W46" s="79"/>
      <c r="X46" s="79"/>
      <c r="Y46" s="79"/>
    </row>
    <row r="47" spans="5:42" x14ac:dyDescent="0.3">
      <c r="E47" s="32"/>
      <c r="F47" s="80" t="s">
        <v>255</v>
      </c>
      <c r="G47" s="80" t="s">
        <v>256</v>
      </c>
      <c r="H47" s="37"/>
      <c r="I47" s="37"/>
      <c r="J47" s="81"/>
      <c r="K47" s="81"/>
      <c r="L47" s="81"/>
      <c r="M47" s="81"/>
      <c r="N47" s="256">
        <v>104110.46354986852</v>
      </c>
      <c r="O47" s="256">
        <v>969.78076847323098</v>
      </c>
      <c r="P47" s="256">
        <v>133526.15196697853</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953</v>
      </c>
      <c r="G49" s="13"/>
    </row>
    <row r="50" spans="5:42" x14ac:dyDescent="0.3">
      <c r="E50" s="32"/>
      <c r="F50" s="78" t="s">
        <v>249</v>
      </c>
      <c r="G50" s="78" t="s">
        <v>209</v>
      </c>
      <c r="H50" s="23"/>
      <c r="I50" s="23"/>
      <c r="J50" s="83"/>
      <c r="K50" s="83"/>
      <c r="L50" s="253">
        <v>57407.439884495587</v>
      </c>
      <c r="M50" s="83"/>
      <c r="N50" s="253">
        <v>62815.054690667086</v>
      </c>
      <c r="O50" s="253">
        <v>1577.1131724573945</v>
      </c>
      <c r="P50" s="253">
        <v>109995.27078543647</v>
      </c>
      <c r="Q50" s="83"/>
      <c r="R50" s="83"/>
      <c r="S50" s="83"/>
      <c r="T50" s="83"/>
      <c r="U50" s="83"/>
      <c r="V50" s="83"/>
      <c r="W50" s="83"/>
      <c r="X50" s="83"/>
      <c r="Y50" s="83"/>
    </row>
    <row r="51" spans="5:42" x14ac:dyDescent="0.3">
      <c r="E51" s="32"/>
      <c r="F51" s="72" t="s">
        <v>250</v>
      </c>
      <c r="G51" s="72" t="s">
        <v>209</v>
      </c>
      <c r="J51" s="79"/>
      <c r="K51" s="79"/>
      <c r="L51" s="254">
        <v>236372.69453686033</v>
      </c>
      <c r="M51" s="79"/>
      <c r="N51" s="254">
        <v>265961.83377397986</v>
      </c>
      <c r="O51" s="254">
        <v>6137.4271909166473</v>
      </c>
      <c r="P51" s="254">
        <v>420865.50489584269</v>
      </c>
      <c r="Q51" s="79"/>
      <c r="R51" s="79"/>
      <c r="S51" s="79"/>
      <c r="T51" s="79"/>
      <c r="U51" s="79"/>
      <c r="V51" s="79"/>
      <c r="W51" s="79"/>
      <c r="X51" s="79"/>
      <c r="Y51" s="79"/>
    </row>
    <row r="52" spans="5:42" x14ac:dyDescent="0.3">
      <c r="E52" s="32"/>
      <c r="F52" s="72" t="s">
        <v>251</v>
      </c>
      <c r="G52" s="72" t="s">
        <v>209</v>
      </c>
      <c r="J52" s="79"/>
      <c r="K52" s="79"/>
      <c r="L52" s="254">
        <v>259637.53151076686</v>
      </c>
      <c r="M52" s="79"/>
      <c r="N52" s="254">
        <v>289856.46170550201</v>
      </c>
      <c r="O52" s="254">
        <v>6863.8078814648015</v>
      </c>
      <c r="P52" s="254">
        <v>599839.6119723788</v>
      </c>
      <c r="Q52" s="79"/>
      <c r="R52" s="79"/>
      <c r="S52" s="79"/>
      <c r="T52" s="79"/>
      <c r="U52" s="79"/>
      <c r="V52" s="79"/>
      <c r="W52" s="79"/>
      <c r="X52" s="79"/>
      <c r="Y52" s="79"/>
    </row>
    <row r="53" spans="5:42" x14ac:dyDescent="0.3">
      <c r="E53" s="32"/>
      <c r="F53" s="72" t="s">
        <v>214</v>
      </c>
      <c r="G53" s="72" t="s">
        <v>214</v>
      </c>
      <c r="J53" s="79"/>
      <c r="K53" s="79"/>
      <c r="L53" s="254">
        <v>28801.983103357954</v>
      </c>
      <c r="M53" s="79"/>
      <c r="N53" s="254">
        <v>2296.0299849110434</v>
      </c>
      <c r="O53" s="254">
        <v>47.909737985067515</v>
      </c>
      <c r="P53" s="254">
        <v>340.42206388813389</v>
      </c>
      <c r="Q53" s="79"/>
      <c r="R53" s="79"/>
      <c r="S53" s="79"/>
      <c r="T53" s="79"/>
      <c r="U53" s="79"/>
      <c r="V53" s="79"/>
      <c r="W53" s="79"/>
      <c r="X53" s="79"/>
      <c r="Y53" s="79"/>
    </row>
    <row r="54" spans="5:42" x14ac:dyDescent="0.3">
      <c r="E54" s="32"/>
      <c r="F54" s="72" t="s">
        <v>252</v>
      </c>
      <c r="G54" s="72" t="s">
        <v>253</v>
      </c>
      <c r="J54" s="79"/>
      <c r="K54" s="79"/>
      <c r="L54" s="79"/>
      <c r="M54" s="79"/>
      <c r="N54" s="254">
        <v>417880.79807264765</v>
      </c>
      <c r="O54" s="254">
        <v>9375.6306287699972</v>
      </c>
      <c r="P54" s="254">
        <v>463240.66916449316</v>
      </c>
      <c r="Q54" s="79"/>
      <c r="R54" s="79"/>
      <c r="S54" s="79"/>
      <c r="T54" s="79"/>
      <c r="U54" s="79"/>
      <c r="V54" s="79"/>
      <c r="W54" s="79"/>
      <c r="X54" s="79"/>
      <c r="Y54" s="79"/>
    </row>
    <row r="55" spans="5:42" x14ac:dyDescent="0.3">
      <c r="E55" s="32"/>
      <c r="F55" s="72" t="s">
        <v>254</v>
      </c>
      <c r="G55" s="72" t="s">
        <v>253</v>
      </c>
      <c r="J55" s="79"/>
      <c r="K55" s="79"/>
      <c r="L55" s="79"/>
      <c r="M55" s="79"/>
      <c r="N55" s="254">
        <v>7131.2036559841272</v>
      </c>
      <c r="O55" s="254">
        <v>52.977398261801497</v>
      </c>
      <c r="P55" s="254">
        <v>6006.0213231396365</v>
      </c>
      <c r="Q55" s="79"/>
      <c r="R55" s="79"/>
      <c r="S55" s="79"/>
      <c r="T55" s="79"/>
      <c r="U55" s="79"/>
      <c r="V55" s="79"/>
      <c r="W55" s="79"/>
      <c r="X55" s="79"/>
      <c r="Y55" s="79"/>
    </row>
    <row r="56" spans="5:42" x14ac:dyDescent="0.3">
      <c r="E56" s="32"/>
      <c r="F56" s="80" t="s">
        <v>255</v>
      </c>
      <c r="G56" s="80" t="s">
        <v>256</v>
      </c>
      <c r="H56" s="37"/>
      <c r="I56" s="37"/>
      <c r="J56" s="81"/>
      <c r="K56" s="81"/>
      <c r="L56" s="81"/>
      <c r="M56" s="81"/>
      <c r="N56" s="256">
        <v>66268.874218720433</v>
      </c>
      <c r="O56" s="256">
        <v>2052.7702126966042</v>
      </c>
      <c r="P56" s="256">
        <v>94536.103950424949</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954</v>
      </c>
      <c r="G58" s="13"/>
    </row>
    <row r="59" spans="5:42" x14ac:dyDescent="0.3">
      <c r="E59" s="32"/>
      <c r="F59" s="78" t="s">
        <v>249</v>
      </c>
      <c r="G59" s="78" t="s">
        <v>209</v>
      </c>
      <c r="H59" s="23"/>
      <c r="I59" s="23"/>
      <c r="J59" s="83"/>
      <c r="K59" s="83"/>
      <c r="L59" s="253">
        <v>203593.86779338852</v>
      </c>
      <c r="M59" s="83"/>
      <c r="N59" s="253">
        <v>109573.68863907221</v>
      </c>
      <c r="O59" s="253">
        <v>22666.167120639308</v>
      </c>
      <c r="P59" s="253">
        <v>331849.9096835152</v>
      </c>
      <c r="Q59" s="83"/>
      <c r="R59" s="83"/>
      <c r="S59" s="83"/>
      <c r="T59" s="83"/>
      <c r="U59" s="83"/>
      <c r="V59" s="83"/>
      <c r="W59" s="83"/>
      <c r="X59" s="83"/>
      <c r="Y59" s="83"/>
    </row>
    <row r="60" spans="5:42" x14ac:dyDescent="0.3">
      <c r="E60" s="32"/>
      <c r="F60" s="72" t="s">
        <v>250</v>
      </c>
      <c r="G60" s="72" t="s">
        <v>209</v>
      </c>
      <c r="J60" s="79"/>
      <c r="K60" s="79"/>
      <c r="L60" s="254">
        <v>838289.10012936732</v>
      </c>
      <c r="M60" s="79"/>
      <c r="N60" s="254">
        <v>463940.0428342963</v>
      </c>
      <c r="O60" s="254">
        <v>88206.701224436474</v>
      </c>
      <c r="P60" s="254">
        <v>1269728.9509930837</v>
      </c>
      <c r="Q60" s="79"/>
      <c r="R60" s="79"/>
      <c r="S60" s="79"/>
      <c r="T60" s="79"/>
      <c r="U60" s="79"/>
      <c r="V60" s="79"/>
      <c r="W60" s="79"/>
      <c r="X60" s="79"/>
      <c r="Y60" s="79"/>
    </row>
    <row r="61" spans="5:42" x14ac:dyDescent="0.3">
      <c r="E61" s="32"/>
      <c r="F61" s="72" t="s">
        <v>251</v>
      </c>
      <c r="G61" s="72" t="s">
        <v>209</v>
      </c>
      <c r="J61" s="79"/>
      <c r="K61" s="79"/>
      <c r="L61" s="254">
        <v>920797.18884801259</v>
      </c>
      <c r="M61" s="79"/>
      <c r="N61" s="254">
        <v>505621.49219398445</v>
      </c>
      <c r="O61" s="254">
        <v>98646.196888223174</v>
      </c>
      <c r="P61" s="254">
        <v>1809684.3585750242</v>
      </c>
      <c r="Q61" s="79"/>
      <c r="R61" s="79"/>
      <c r="S61" s="79"/>
      <c r="T61" s="79"/>
      <c r="U61" s="79"/>
      <c r="V61" s="79"/>
      <c r="W61" s="79"/>
      <c r="X61" s="79"/>
      <c r="Y61" s="79"/>
    </row>
    <row r="62" spans="5:42" x14ac:dyDescent="0.3">
      <c r="E62" s="32"/>
      <c r="F62" s="72" t="s">
        <v>214</v>
      </c>
      <c r="G62" s="72" t="s">
        <v>214</v>
      </c>
      <c r="J62" s="79"/>
      <c r="K62" s="79"/>
      <c r="L62" s="254">
        <v>32773.441732823128</v>
      </c>
      <c r="M62" s="79"/>
      <c r="N62" s="254">
        <v>2193.6272483736902</v>
      </c>
      <c r="O62" s="254">
        <v>402.44179907456714</v>
      </c>
      <c r="P62" s="254">
        <v>394.44113390631082</v>
      </c>
      <c r="Q62" s="79"/>
      <c r="R62" s="79"/>
      <c r="S62" s="79"/>
      <c r="T62" s="79"/>
      <c r="U62" s="79"/>
      <c r="V62" s="79"/>
      <c r="W62" s="79"/>
      <c r="X62" s="79"/>
      <c r="Y62" s="79"/>
    </row>
    <row r="63" spans="5:42" x14ac:dyDescent="0.3">
      <c r="E63" s="32"/>
      <c r="F63" s="72" t="s">
        <v>252</v>
      </c>
      <c r="G63" s="72" t="s">
        <v>253</v>
      </c>
      <c r="J63" s="79"/>
      <c r="K63" s="79"/>
      <c r="L63" s="79"/>
      <c r="M63" s="79"/>
      <c r="N63" s="254">
        <v>695650.9327625141</v>
      </c>
      <c r="O63" s="254">
        <v>215017.71917869226</v>
      </c>
      <c r="P63" s="254">
        <v>1290688.6557104315</v>
      </c>
      <c r="Q63" s="79"/>
      <c r="R63" s="79"/>
      <c r="S63" s="79"/>
      <c r="T63" s="79"/>
      <c r="U63" s="79"/>
      <c r="V63" s="79"/>
      <c r="W63" s="79"/>
      <c r="X63" s="79"/>
      <c r="Y63" s="79"/>
    </row>
    <row r="64" spans="5:42" x14ac:dyDescent="0.3">
      <c r="E64" s="32"/>
      <c r="F64" s="72" t="s">
        <v>254</v>
      </c>
      <c r="G64" s="72" t="s">
        <v>253</v>
      </c>
      <c r="J64" s="79"/>
      <c r="K64" s="79"/>
      <c r="L64" s="79"/>
      <c r="M64" s="79"/>
      <c r="N64" s="254">
        <v>11871.396096411157</v>
      </c>
      <c r="O64" s="254">
        <v>1214.9667359248544</v>
      </c>
      <c r="P64" s="254">
        <v>16734.073892330565</v>
      </c>
      <c r="Q64" s="79"/>
      <c r="R64" s="79"/>
      <c r="S64" s="79"/>
      <c r="T64" s="79"/>
      <c r="U64" s="79"/>
      <c r="V64" s="79"/>
      <c r="W64" s="79"/>
      <c r="X64" s="79"/>
      <c r="Y64" s="79"/>
    </row>
    <row r="65" spans="4:43" x14ac:dyDescent="0.3">
      <c r="E65" s="32"/>
      <c r="F65" s="80" t="s">
        <v>255</v>
      </c>
      <c r="G65" s="80" t="s">
        <v>256</v>
      </c>
      <c r="H65" s="37"/>
      <c r="I65" s="37"/>
      <c r="J65" s="81"/>
      <c r="K65" s="81"/>
      <c r="L65" s="81"/>
      <c r="M65" s="81"/>
      <c r="N65" s="256">
        <v>115598.48233615856</v>
      </c>
      <c r="O65" s="256">
        <v>29502.27891937063</v>
      </c>
      <c r="P65" s="256">
        <v>285210.42162781412</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964</v>
      </c>
      <c r="G67" s="13"/>
      <c r="I67" t="s">
        <v>156</v>
      </c>
      <c r="AQ67" t="s">
        <v>248</v>
      </c>
    </row>
    <row r="68" spans="4:43" x14ac:dyDescent="0.3">
      <c r="G68" s="13"/>
    </row>
    <row r="69" spans="4:43" x14ac:dyDescent="0.3">
      <c r="E69" s="32" t="s">
        <v>912</v>
      </c>
      <c r="G69" s="13"/>
    </row>
    <row r="70" spans="4:43" x14ac:dyDescent="0.3">
      <c r="E70" s="32"/>
      <c r="F70" s="78" t="s">
        <v>249</v>
      </c>
      <c r="G70" s="78" t="s">
        <v>209</v>
      </c>
      <c r="H70" s="23"/>
      <c r="I70" s="23"/>
      <c r="J70" s="83"/>
      <c r="K70" s="253">
        <v>0</v>
      </c>
      <c r="L70" s="253">
        <v>0</v>
      </c>
      <c r="M70" s="253">
        <v>0</v>
      </c>
      <c r="N70" s="253">
        <v>0</v>
      </c>
      <c r="O70" s="83"/>
      <c r="P70" s="83"/>
      <c r="Q70" s="83"/>
      <c r="R70" s="253">
        <v>1.8728551428838309</v>
      </c>
      <c r="S70" s="83"/>
      <c r="T70" s="253">
        <v>0</v>
      </c>
      <c r="U70" s="83"/>
      <c r="V70" s="83"/>
      <c r="W70" s="83"/>
      <c r="X70" s="83"/>
      <c r="Y70" s="83"/>
    </row>
    <row r="71" spans="4:43" x14ac:dyDescent="0.3">
      <c r="E71" s="32"/>
      <c r="F71" s="72" t="s">
        <v>250</v>
      </c>
      <c r="G71" s="72" t="s">
        <v>209</v>
      </c>
      <c r="J71" s="79"/>
      <c r="K71" s="254">
        <v>0</v>
      </c>
      <c r="L71" s="254">
        <v>0</v>
      </c>
      <c r="M71" s="254">
        <v>0</v>
      </c>
      <c r="N71" s="254">
        <v>0</v>
      </c>
      <c r="O71" s="79"/>
      <c r="P71" s="79"/>
      <c r="Q71" s="79"/>
      <c r="R71" s="255">
        <v>9.0445144810384299</v>
      </c>
      <c r="S71" s="79"/>
      <c r="T71" s="254">
        <v>0</v>
      </c>
      <c r="U71" s="79"/>
      <c r="V71" s="79"/>
      <c r="W71" s="79"/>
      <c r="X71" s="79"/>
      <c r="Y71" s="79"/>
    </row>
    <row r="72" spans="4:43" x14ac:dyDescent="0.3">
      <c r="E72" s="32"/>
      <c r="F72" s="72" t="s">
        <v>251</v>
      </c>
      <c r="G72" s="72" t="s">
        <v>209</v>
      </c>
      <c r="J72" s="79"/>
      <c r="K72" s="254">
        <v>0</v>
      </c>
      <c r="L72" s="254">
        <v>0</v>
      </c>
      <c r="M72" s="254">
        <v>0</v>
      </c>
      <c r="N72" s="254">
        <v>0</v>
      </c>
      <c r="O72" s="79"/>
      <c r="P72" s="79"/>
      <c r="Q72" s="79"/>
      <c r="R72" s="255">
        <v>5.2527047793455779</v>
      </c>
      <c r="S72" s="79"/>
      <c r="T72" s="254">
        <v>0</v>
      </c>
      <c r="U72" s="79"/>
      <c r="V72" s="79"/>
      <c r="W72" s="79"/>
      <c r="X72" s="79"/>
      <c r="Y72" s="79"/>
    </row>
    <row r="73" spans="4:43" x14ac:dyDescent="0.3">
      <c r="E73" s="32"/>
      <c r="F73" s="72" t="s">
        <v>214</v>
      </c>
      <c r="G73" s="72" t="s">
        <v>214</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252</v>
      </c>
      <c r="G74" s="72" t="s">
        <v>253</v>
      </c>
      <c r="J74" s="79"/>
      <c r="K74" s="79"/>
      <c r="L74" s="79"/>
      <c r="M74" s="79"/>
      <c r="N74" s="254">
        <v>0</v>
      </c>
      <c r="O74" s="79"/>
      <c r="P74" s="79"/>
      <c r="Q74" s="79"/>
      <c r="R74" s="79"/>
      <c r="S74" s="79"/>
      <c r="T74" s="79"/>
      <c r="U74" s="79"/>
      <c r="V74" s="79"/>
      <c r="W74" s="79"/>
      <c r="X74" s="79"/>
      <c r="Y74" s="79"/>
    </row>
    <row r="75" spans="4:43" x14ac:dyDescent="0.3">
      <c r="E75" s="32"/>
      <c r="F75" s="72" t="s">
        <v>254</v>
      </c>
      <c r="G75" s="72" t="s">
        <v>253</v>
      </c>
      <c r="J75" s="79"/>
      <c r="K75" s="79"/>
      <c r="L75" s="79"/>
      <c r="M75" s="79"/>
      <c r="N75" s="254">
        <v>0</v>
      </c>
      <c r="O75" s="79"/>
      <c r="P75" s="79"/>
      <c r="Q75" s="79"/>
      <c r="R75" s="79"/>
      <c r="S75" s="79"/>
      <c r="T75" s="79"/>
      <c r="U75" s="79"/>
      <c r="V75" s="79"/>
      <c r="W75" s="79"/>
      <c r="X75" s="79"/>
      <c r="Y75" s="79"/>
    </row>
    <row r="76" spans="4:43" x14ac:dyDescent="0.3">
      <c r="E76" s="32"/>
      <c r="F76" s="80" t="s">
        <v>255</v>
      </c>
      <c r="G76" s="80" t="s">
        <v>256</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955</v>
      </c>
      <c r="G78" s="13"/>
    </row>
    <row r="79" spans="4:43" x14ac:dyDescent="0.3">
      <c r="E79" s="32"/>
      <c r="F79" s="78" t="s">
        <v>249</v>
      </c>
      <c r="G79" s="78" t="s">
        <v>209</v>
      </c>
      <c r="H79" s="23"/>
      <c r="I79" s="23"/>
      <c r="J79" s="253">
        <v>16844.83009576039</v>
      </c>
      <c r="K79" s="83"/>
      <c r="L79" s="253">
        <v>18.942393434249407</v>
      </c>
      <c r="M79" s="83"/>
      <c r="N79" s="253">
        <v>378.65762425467994</v>
      </c>
      <c r="O79" s="83"/>
      <c r="P79" s="83"/>
      <c r="Q79" s="253">
        <v>2.3648233621398798</v>
      </c>
      <c r="R79" s="83"/>
      <c r="S79" s="83"/>
      <c r="T79" s="83"/>
      <c r="U79" s="83"/>
      <c r="V79" s="83"/>
      <c r="W79" s="83"/>
      <c r="X79" s="83"/>
      <c r="Y79" s="83"/>
    </row>
    <row r="80" spans="4:43" x14ac:dyDescent="0.3">
      <c r="E80" s="32"/>
      <c r="F80" s="72" t="s">
        <v>250</v>
      </c>
      <c r="G80" s="72" t="s">
        <v>209</v>
      </c>
      <c r="J80" s="254">
        <v>47801.051720658063</v>
      </c>
      <c r="K80" s="79"/>
      <c r="L80" s="254">
        <v>82.02939552550454</v>
      </c>
      <c r="M80" s="331"/>
      <c r="N80" s="254">
        <v>1428.4247490910273</v>
      </c>
      <c r="O80" s="79"/>
      <c r="P80" s="79"/>
      <c r="Q80" s="255">
        <v>205.77520278102358</v>
      </c>
      <c r="R80" s="79"/>
      <c r="S80" s="79"/>
      <c r="T80" s="79"/>
      <c r="U80" s="79"/>
      <c r="V80" s="79"/>
      <c r="W80" s="79"/>
      <c r="X80" s="79"/>
      <c r="Y80" s="79"/>
    </row>
    <row r="81" spans="5:42" x14ac:dyDescent="0.3">
      <c r="E81" s="32"/>
      <c r="F81" s="72" t="s">
        <v>251</v>
      </c>
      <c r="G81" s="72" t="s">
        <v>209</v>
      </c>
      <c r="J81" s="254">
        <v>72046.381216640846</v>
      </c>
      <c r="K81" s="79"/>
      <c r="L81" s="254">
        <v>77.114110048596388</v>
      </c>
      <c r="M81" s="331"/>
      <c r="N81" s="254">
        <v>1804.2374556761986</v>
      </c>
      <c r="O81" s="79"/>
      <c r="P81" s="79"/>
      <c r="Q81" s="255">
        <v>349.2474447454577</v>
      </c>
      <c r="R81" s="79"/>
      <c r="S81" s="79"/>
      <c r="T81" s="79"/>
      <c r="U81" s="79"/>
      <c r="V81" s="79"/>
      <c r="W81" s="79"/>
      <c r="X81" s="79"/>
      <c r="Y81" s="79"/>
    </row>
    <row r="82" spans="5:42" x14ac:dyDescent="0.3">
      <c r="E82" s="32"/>
      <c r="F82" s="72" t="s">
        <v>214</v>
      </c>
      <c r="G82" s="72" t="s">
        <v>214</v>
      </c>
      <c r="J82" s="254">
        <v>40851.844073726381</v>
      </c>
      <c r="K82" s="79"/>
      <c r="L82" s="254">
        <v>259.04965163873868</v>
      </c>
      <c r="M82" s="331"/>
      <c r="N82" s="254">
        <v>27.369364813722179</v>
      </c>
      <c r="O82" s="79"/>
      <c r="P82" s="79"/>
      <c r="Q82" s="254">
        <v>0</v>
      </c>
      <c r="R82" s="79"/>
      <c r="S82" s="79"/>
      <c r="T82" s="79"/>
      <c r="U82" s="79"/>
      <c r="V82" s="79"/>
      <c r="W82" s="79"/>
      <c r="X82" s="79"/>
      <c r="Y82" s="79"/>
    </row>
    <row r="83" spans="5:42" x14ac:dyDescent="0.3">
      <c r="E83" s="32"/>
      <c r="F83" s="72" t="s">
        <v>252</v>
      </c>
      <c r="G83" s="72" t="s">
        <v>253</v>
      </c>
      <c r="J83" s="79"/>
      <c r="K83" s="79"/>
      <c r="L83" s="79"/>
      <c r="M83" s="331"/>
      <c r="N83" s="254">
        <v>1766.2552623260717</v>
      </c>
      <c r="O83" s="79"/>
      <c r="P83" s="79"/>
      <c r="Q83" s="79"/>
      <c r="R83" s="79"/>
      <c r="S83" s="79"/>
      <c r="T83" s="79"/>
      <c r="U83" s="79"/>
      <c r="V83" s="79"/>
      <c r="W83" s="79"/>
      <c r="X83" s="79"/>
      <c r="Y83" s="79"/>
    </row>
    <row r="84" spans="5:42" x14ac:dyDescent="0.3">
      <c r="E84" s="32"/>
      <c r="F84" s="72" t="s">
        <v>254</v>
      </c>
      <c r="G84" s="72" t="s">
        <v>253</v>
      </c>
      <c r="J84" s="79"/>
      <c r="K84" s="79"/>
      <c r="L84" s="79"/>
      <c r="M84" s="331"/>
      <c r="N84" s="254">
        <v>3.5313618344123192</v>
      </c>
      <c r="O84" s="79"/>
      <c r="P84" s="79"/>
      <c r="Q84" s="79"/>
      <c r="R84" s="79"/>
      <c r="S84" s="79"/>
      <c r="T84" s="79"/>
      <c r="U84" s="79"/>
      <c r="V84" s="79"/>
      <c r="W84" s="79"/>
      <c r="X84" s="79"/>
      <c r="Y84" s="79"/>
    </row>
    <row r="85" spans="5:42" x14ac:dyDescent="0.3">
      <c r="E85" s="32"/>
      <c r="F85" s="80" t="s">
        <v>255</v>
      </c>
      <c r="G85" s="80" t="s">
        <v>256</v>
      </c>
      <c r="H85" s="37"/>
      <c r="I85" s="37"/>
      <c r="J85" s="81"/>
      <c r="K85" s="81"/>
      <c r="L85" s="81"/>
      <c r="M85" s="81"/>
      <c r="N85" s="256">
        <v>236.04857804815131</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956</v>
      </c>
      <c r="G87" s="13"/>
    </row>
    <row r="88" spans="5:42" x14ac:dyDescent="0.3">
      <c r="E88" s="32"/>
      <c r="F88" s="78" t="s">
        <v>249</v>
      </c>
      <c r="G88" s="78" t="s">
        <v>209</v>
      </c>
      <c r="H88" s="23"/>
      <c r="I88" s="23"/>
      <c r="J88" s="83"/>
      <c r="K88" s="83"/>
      <c r="L88" s="253">
        <v>87.18442153832207</v>
      </c>
      <c r="M88" s="83"/>
      <c r="N88" s="253">
        <v>686.31134469024903</v>
      </c>
      <c r="O88" s="83"/>
      <c r="P88" s="83"/>
      <c r="Q88" s="83"/>
      <c r="R88" s="83"/>
      <c r="S88" s="83"/>
      <c r="T88" s="83"/>
      <c r="U88" s="83"/>
      <c r="V88" s="83"/>
      <c r="W88" s="83"/>
      <c r="X88" s="83"/>
      <c r="Y88" s="83"/>
    </row>
    <row r="89" spans="5:42" x14ac:dyDescent="0.3">
      <c r="E89" s="32"/>
      <c r="F89" s="72" t="s">
        <v>250</v>
      </c>
      <c r="G89" s="72" t="s">
        <v>209</v>
      </c>
      <c r="J89" s="79"/>
      <c r="K89" s="79"/>
      <c r="L89" s="254">
        <v>377.54919529326753</v>
      </c>
      <c r="M89" s="79"/>
      <c r="N89" s="254">
        <v>2588.9987353803508</v>
      </c>
      <c r="O89" s="79"/>
      <c r="P89" s="79"/>
      <c r="Q89" s="79"/>
      <c r="R89" s="79"/>
      <c r="S89" s="79"/>
      <c r="T89" s="79"/>
      <c r="U89" s="79"/>
      <c r="V89" s="79"/>
      <c r="W89" s="79"/>
      <c r="X89" s="79"/>
      <c r="Y89" s="79"/>
    </row>
    <row r="90" spans="5:42" x14ac:dyDescent="0.3">
      <c r="E90" s="32"/>
      <c r="F90" s="72" t="s">
        <v>251</v>
      </c>
      <c r="G90" s="72" t="s">
        <v>209</v>
      </c>
      <c r="J90" s="79"/>
      <c r="K90" s="79"/>
      <c r="L90" s="254">
        <v>354.92606044563399</v>
      </c>
      <c r="M90" s="79"/>
      <c r="N90" s="254">
        <v>3270.1537088628725</v>
      </c>
      <c r="O90" s="79"/>
      <c r="P90" s="79"/>
      <c r="Q90" s="79"/>
      <c r="R90" s="79"/>
      <c r="S90" s="79"/>
      <c r="T90" s="79"/>
      <c r="U90" s="79"/>
      <c r="V90" s="79"/>
      <c r="W90" s="79"/>
      <c r="X90" s="79"/>
      <c r="Y90" s="79"/>
    </row>
    <row r="91" spans="5:42" x14ac:dyDescent="0.3">
      <c r="E91" s="32"/>
      <c r="F91" s="72" t="s">
        <v>214</v>
      </c>
      <c r="G91" s="72" t="s">
        <v>214</v>
      </c>
      <c r="J91" s="79"/>
      <c r="K91" s="79"/>
      <c r="L91" s="254">
        <v>225.26692663335101</v>
      </c>
      <c r="M91" s="79"/>
      <c r="N91" s="254">
        <v>28.796397664222738</v>
      </c>
      <c r="O91" s="79"/>
      <c r="P91" s="79"/>
      <c r="Q91" s="79"/>
      <c r="R91" s="79"/>
      <c r="S91" s="79"/>
      <c r="T91" s="79"/>
      <c r="U91" s="79"/>
      <c r="V91" s="79"/>
      <c r="W91" s="79"/>
      <c r="X91" s="79"/>
      <c r="Y91" s="79"/>
    </row>
    <row r="92" spans="5:42" x14ac:dyDescent="0.3">
      <c r="E92" s="32"/>
      <c r="F92" s="72" t="s">
        <v>252</v>
      </c>
      <c r="G92" s="72" t="s">
        <v>253</v>
      </c>
      <c r="J92" s="79"/>
      <c r="K92" s="79"/>
      <c r="L92" s="79"/>
      <c r="M92" s="79"/>
      <c r="N92" s="254">
        <v>4581.0518195383684</v>
      </c>
      <c r="O92" s="79"/>
      <c r="P92" s="79"/>
      <c r="Q92" s="79"/>
      <c r="R92" s="79"/>
      <c r="S92" s="79"/>
      <c r="T92" s="79"/>
      <c r="U92" s="79"/>
      <c r="V92" s="79"/>
      <c r="W92" s="79"/>
      <c r="X92" s="79"/>
      <c r="Y92" s="79"/>
    </row>
    <row r="93" spans="5:42" x14ac:dyDescent="0.3">
      <c r="E93" s="32"/>
      <c r="F93" s="72" t="s">
        <v>254</v>
      </c>
      <c r="G93" s="72" t="s">
        <v>253</v>
      </c>
      <c r="J93" s="79"/>
      <c r="K93" s="79"/>
      <c r="L93" s="79"/>
      <c r="M93" s="79"/>
      <c r="N93" s="254">
        <v>9.1591243361268884</v>
      </c>
      <c r="O93" s="79"/>
      <c r="P93" s="79"/>
      <c r="Q93" s="79"/>
      <c r="R93" s="79"/>
      <c r="S93" s="79"/>
      <c r="T93" s="79"/>
      <c r="U93" s="79"/>
      <c r="V93" s="79"/>
      <c r="W93" s="79"/>
      <c r="X93" s="79"/>
      <c r="Y93" s="79"/>
    </row>
    <row r="94" spans="5:42" x14ac:dyDescent="0.3">
      <c r="E94" s="32"/>
      <c r="F94" s="80" t="s">
        <v>255</v>
      </c>
      <c r="G94" s="80" t="s">
        <v>256</v>
      </c>
      <c r="H94" s="37"/>
      <c r="I94" s="37"/>
      <c r="J94" s="81"/>
      <c r="K94" s="81"/>
      <c r="L94" s="81"/>
      <c r="M94" s="81"/>
      <c r="N94" s="256">
        <v>427.83455722388163</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957</v>
      </c>
      <c r="G96" s="13"/>
    </row>
    <row r="97" spans="5:42" x14ac:dyDescent="0.3">
      <c r="E97" s="32"/>
      <c r="F97" s="78" t="s">
        <v>249</v>
      </c>
      <c r="G97" s="78" t="s">
        <v>209</v>
      </c>
      <c r="H97" s="23"/>
      <c r="I97" s="23"/>
      <c r="J97" s="83"/>
      <c r="K97" s="83"/>
      <c r="L97" s="253">
        <v>107.91178084659383</v>
      </c>
      <c r="M97" s="83"/>
      <c r="N97" s="253">
        <v>436.85407427250323</v>
      </c>
      <c r="O97" s="83"/>
      <c r="P97" s="83"/>
      <c r="Q97" s="83"/>
      <c r="R97" s="83"/>
      <c r="S97" s="83"/>
      <c r="T97" s="83"/>
      <c r="U97" s="83"/>
      <c r="V97" s="83"/>
      <c r="W97" s="83"/>
      <c r="X97" s="83"/>
      <c r="Y97" s="83"/>
    </row>
    <row r="98" spans="5:42" x14ac:dyDescent="0.3">
      <c r="E98" s="32"/>
      <c r="F98" s="72" t="s">
        <v>250</v>
      </c>
      <c r="G98" s="72" t="s">
        <v>209</v>
      </c>
      <c r="J98" s="79"/>
      <c r="K98" s="79"/>
      <c r="L98" s="254">
        <v>467.30832529968347</v>
      </c>
      <c r="M98" s="79"/>
      <c r="N98" s="254">
        <v>1647.9614603306934</v>
      </c>
      <c r="O98" s="79"/>
      <c r="P98" s="79"/>
      <c r="Q98" s="79"/>
      <c r="R98" s="79"/>
      <c r="S98" s="79"/>
      <c r="T98" s="79"/>
      <c r="U98" s="79"/>
      <c r="V98" s="79"/>
      <c r="W98" s="79"/>
      <c r="X98" s="79"/>
      <c r="Y98" s="79"/>
    </row>
    <row r="99" spans="5:42" x14ac:dyDescent="0.3">
      <c r="E99" s="32"/>
      <c r="F99" s="72" t="s">
        <v>251</v>
      </c>
      <c r="G99" s="72" t="s">
        <v>209</v>
      </c>
      <c r="J99" s="79"/>
      <c r="K99" s="79"/>
      <c r="L99" s="254">
        <v>439.30673136047625</v>
      </c>
      <c r="M99" s="79"/>
      <c r="N99" s="254">
        <v>2081.5333773315956</v>
      </c>
      <c r="O99" s="79"/>
      <c r="P99" s="79"/>
      <c r="Q99" s="79"/>
      <c r="R99" s="79"/>
      <c r="S99" s="79"/>
      <c r="T99" s="79"/>
      <c r="U99" s="79"/>
      <c r="V99" s="79"/>
      <c r="W99" s="79"/>
      <c r="X99" s="79"/>
      <c r="Y99" s="79"/>
    </row>
    <row r="100" spans="5:42" x14ac:dyDescent="0.3">
      <c r="E100" s="32"/>
      <c r="F100" s="72" t="s">
        <v>214</v>
      </c>
      <c r="G100" s="72" t="s">
        <v>214</v>
      </c>
      <c r="J100" s="79"/>
      <c r="K100" s="79"/>
      <c r="L100" s="254">
        <v>111.8486919985281</v>
      </c>
      <c r="M100" s="79"/>
      <c r="N100" s="254">
        <v>11.697577523637193</v>
      </c>
      <c r="O100" s="79"/>
      <c r="P100" s="79"/>
      <c r="Q100" s="79"/>
      <c r="R100" s="79"/>
      <c r="S100" s="79"/>
      <c r="T100" s="79"/>
      <c r="U100" s="79"/>
      <c r="V100" s="79"/>
      <c r="W100" s="79"/>
      <c r="X100" s="79"/>
      <c r="Y100" s="79"/>
    </row>
    <row r="101" spans="5:42" x14ac:dyDescent="0.3">
      <c r="E101" s="32"/>
      <c r="F101" s="72" t="s">
        <v>252</v>
      </c>
      <c r="G101" s="72" t="s">
        <v>253</v>
      </c>
      <c r="J101" s="79"/>
      <c r="K101" s="79"/>
      <c r="L101" s="79"/>
      <c r="M101" s="79"/>
      <c r="N101" s="254">
        <v>2889.2325189307612</v>
      </c>
      <c r="O101" s="79"/>
      <c r="P101" s="79"/>
      <c r="Q101" s="79"/>
      <c r="R101" s="79"/>
      <c r="S101" s="79"/>
      <c r="T101" s="79"/>
      <c r="U101" s="79"/>
      <c r="V101" s="79"/>
      <c r="W101" s="79"/>
      <c r="X101" s="79"/>
      <c r="Y101" s="79"/>
    </row>
    <row r="102" spans="5:42" x14ac:dyDescent="0.3">
      <c r="E102" s="32"/>
      <c r="F102" s="72" t="s">
        <v>254</v>
      </c>
      <c r="G102" s="72" t="s">
        <v>253</v>
      </c>
      <c r="J102" s="79"/>
      <c r="K102" s="79"/>
      <c r="L102" s="79"/>
      <c r="M102" s="79"/>
      <c r="N102" s="254">
        <v>5.7765860154654582</v>
      </c>
      <c r="O102" s="79"/>
      <c r="P102" s="79"/>
      <c r="Q102" s="79"/>
      <c r="R102" s="79"/>
      <c r="S102" s="79"/>
      <c r="T102" s="79"/>
      <c r="U102" s="79"/>
      <c r="V102" s="79"/>
      <c r="W102" s="79"/>
      <c r="X102" s="79"/>
      <c r="Y102" s="79"/>
    </row>
    <row r="103" spans="5:42" x14ac:dyDescent="0.3">
      <c r="E103" s="32"/>
      <c r="F103" s="80" t="s">
        <v>255</v>
      </c>
      <c r="G103" s="80" t="s">
        <v>256</v>
      </c>
      <c r="H103" s="37"/>
      <c r="I103" s="37"/>
      <c r="J103" s="81"/>
      <c r="K103" s="81"/>
      <c r="L103" s="81"/>
      <c r="M103" s="81"/>
      <c r="N103" s="256">
        <v>272.32723294436977</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958</v>
      </c>
      <c r="G105" s="13"/>
    </row>
    <row r="106" spans="5:42" x14ac:dyDescent="0.3">
      <c r="E106" s="32"/>
      <c r="F106" s="78" t="s">
        <v>249</v>
      </c>
      <c r="G106" s="78" t="s">
        <v>209</v>
      </c>
      <c r="H106" s="23"/>
      <c r="I106" s="23"/>
      <c r="J106" s="83"/>
      <c r="K106" s="83"/>
      <c r="L106" s="253">
        <v>382.70608978966459</v>
      </c>
      <c r="M106" s="83"/>
      <c r="N106" s="253">
        <v>762.0420383420834</v>
      </c>
      <c r="O106" s="83"/>
      <c r="P106" s="83"/>
      <c r="Q106" s="83"/>
      <c r="R106" s="83"/>
      <c r="S106" s="83"/>
      <c r="T106" s="83"/>
      <c r="U106" s="83"/>
      <c r="V106" s="83"/>
      <c r="W106" s="83"/>
      <c r="X106" s="83"/>
      <c r="Y106" s="83"/>
    </row>
    <row r="107" spans="5:42" x14ac:dyDescent="0.3">
      <c r="E107" s="32"/>
      <c r="F107" s="72" t="s">
        <v>250</v>
      </c>
      <c r="G107" s="72" t="s">
        <v>209</v>
      </c>
      <c r="J107" s="79"/>
      <c r="K107" s="79"/>
      <c r="L107" s="254">
        <v>1657.2958068020198</v>
      </c>
      <c r="M107" s="79"/>
      <c r="N107" s="254">
        <v>2874.6805496341517</v>
      </c>
      <c r="O107" s="79"/>
      <c r="P107" s="79"/>
      <c r="Q107" s="79"/>
      <c r="R107" s="79"/>
      <c r="S107" s="79"/>
      <c r="T107" s="79"/>
      <c r="U107" s="79"/>
      <c r="V107" s="79"/>
      <c r="W107" s="79"/>
      <c r="X107" s="79"/>
      <c r="Y107" s="79"/>
    </row>
    <row r="108" spans="5:42" x14ac:dyDescent="0.3">
      <c r="E108" s="32"/>
      <c r="F108" s="72" t="s">
        <v>251</v>
      </c>
      <c r="G108" s="72" t="s">
        <v>209</v>
      </c>
      <c r="J108" s="79"/>
      <c r="K108" s="79"/>
      <c r="L108" s="254">
        <v>1557.9889429890106</v>
      </c>
      <c r="M108" s="79"/>
      <c r="N108" s="254">
        <v>3630.9972394795427</v>
      </c>
      <c r="O108" s="79"/>
      <c r="P108" s="79"/>
      <c r="Q108" s="79"/>
      <c r="R108" s="79"/>
      <c r="S108" s="79"/>
      <c r="T108" s="79"/>
      <c r="U108" s="79"/>
      <c r="V108" s="79"/>
      <c r="W108" s="79"/>
      <c r="X108" s="79"/>
      <c r="Y108" s="79"/>
    </row>
    <row r="109" spans="5:42" x14ac:dyDescent="0.3">
      <c r="E109" s="32"/>
      <c r="F109" s="72" t="s">
        <v>214</v>
      </c>
      <c r="G109" s="72" t="s">
        <v>214</v>
      </c>
      <c r="J109" s="79"/>
      <c r="K109" s="79"/>
      <c r="L109" s="254">
        <v>127.27132631637681</v>
      </c>
      <c r="M109" s="79"/>
      <c r="N109" s="254">
        <v>11.175866589045592</v>
      </c>
      <c r="O109" s="79"/>
      <c r="P109" s="79"/>
      <c r="Q109" s="79"/>
      <c r="R109" s="79"/>
      <c r="S109" s="79"/>
      <c r="T109" s="79"/>
      <c r="U109" s="79"/>
      <c r="V109" s="79"/>
      <c r="W109" s="79"/>
      <c r="X109" s="79"/>
      <c r="Y109" s="79"/>
    </row>
    <row r="110" spans="5:42" x14ac:dyDescent="0.3">
      <c r="E110" s="32"/>
      <c r="F110" s="72" t="s">
        <v>252</v>
      </c>
      <c r="G110" s="72" t="s">
        <v>253</v>
      </c>
      <c r="J110" s="79"/>
      <c r="K110" s="79"/>
      <c r="L110" s="79"/>
      <c r="M110" s="79"/>
      <c r="N110" s="254">
        <v>4809.7383417281499</v>
      </c>
      <c r="O110" s="79"/>
      <c r="P110" s="79"/>
      <c r="Q110" s="79"/>
      <c r="R110" s="79"/>
      <c r="S110" s="79"/>
      <c r="T110" s="79"/>
      <c r="U110" s="79"/>
      <c r="V110" s="79"/>
      <c r="W110" s="79"/>
      <c r="X110" s="79"/>
      <c r="Y110" s="79"/>
    </row>
    <row r="111" spans="5:42" x14ac:dyDescent="0.3">
      <c r="E111" s="32"/>
      <c r="F111" s="72" t="s">
        <v>254</v>
      </c>
      <c r="G111" s="72" t="s">
        <v>253</v>
      </c>
      <c r="J111" s="79"/>
      <c r="K111" s="79"/>
      <c r="L111" s="79"/>
      <c r="M111" s="79"/>
      <c r="N111" s="254">
        <v>9.6163486534330662</v>
      </c>
      <c r="O111" s="79"/>
      <c r="P111" s="79"/>
      <c r="Q111" s="79"/>
      <c r="R111" s="79"/>
      <c r="S111" s="79"/>
      <c r="T111" s="79"/>
      <c r="U111" s="79"/>
      <c r="V111" s="79"/>
      <c r="W111" s="79"/>
      <c r="X111" s="79"/>
      <c r="Y111" s="79"/>
    </row>
    <row r="112" spans="5:42" x14ac:dyDescent="0.3">
      <c r="E112" s="32"/>
      <c r="F112" s="80" t="s">
        <v>255</v>
      </c>
      <c r="G112" s="80" t="s">
        <v>256</v>
      </c>
      <c r="H112" s="37"/>
      <c r="I112" s="37"/>
      <c r="J112" s="81"/>
      <c r="K112" s="81"/>
      <c r="L112" s="81"/>
      <c r="M112" s="81"/>
      <c r="N112" s="256">
        <v>475.04375467844665</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965</v>
      </c>
      <c r="G114" s="13"/>
      <c r="I114" t="s">
        <v>156</v>
      </c>
      <c r="AQ114" t="s">
        <v>248</v>
      </c>
    </row>
    <row r="115" spans="4:43" x14ac:dyDescent="0.3">
      <c r="G115" s="13"/>
    </row>
    <row r="116" spans="4:43" x14ac:dyDescent="0.3">
      <c r="E116" s="32" t="s">
        <v>913</v>
      </c>
      <c r="G116" s="13"/>
    </row>
    <row r="117" spans="4:43" x14ac:dyDescent="0.3">
      <c r="E117" s="32"/>
      <c r="F117" s="78" t="s">
        <v>249</v>
      </c>
      <c r="G117" s="78" t="s">
        <v>209</v>
      </c>
      <c r="H117" s="23"/>
      <c r="I117" s="23"/>
      <c r="J117" s="83"/>
      <c r="K117" s="253">
        <v>0</v>
      </c>
      <c r="L117" s="253">
        <v>0</v>
      </c>
      <c r="M117" s="253">
        <v>0</v>
      </c>
      <c r="N117" s="253">
        <v>0</v>
      </c>
      <c r="O117" s="253">
        <v>0</v>
      </c>
      <c r="P117" s="253">
        <v>0</v>
      </c>
      <c r="Q117" s="83"/>
      <c r="R117" s="253">
        <v>0.10207970836668105</v>
      </c>
      <c r="S117" s="253">
        <v>0</v>
      </c>
      <c r="T117" s="253">
        <v>9.3150819735035242</v>
      </c>
      <c r="U117" s="83"/>
      <c r="V117" s="253">
        <v>0</v>
      </c>
      <c r="W117" s="83"/>
      <c r="X117" s="253">
        <v>0</v>
      </c>
      <c r="Y117" s="83"/>
    </row>
    <row r="118" spans="4:43" x14ac:dyDescent="0.3">
      <c r="E118" s="32"/>
      <c r="F118" s="72" t="s">
        <v>250</v>
      </c>
      <c r="G118" s="72" t="s">
        <v>209</v>
      </c>
      <c r="J118" s="79"/>
      <c r="K118" s="254">
        <v>0</v>
      </c>
      <c r="L118" s="254">
        <v>0</v>
      </c>
      <c r="M118" s="254">
        <v>0</v>
      </c>
      <c r="N118" s="254">
        <v>0</v>
      </c>
      <c r="O118" s="254">
        <v>0</v>
      </c>
      <c r="P118" s="254">
        <v>0</v>
      </c>
      <c r="Q118" s="79"/>
      <c r="R118" s="255">
        <v>0.70602788921055704</v>
      </c>
      <c r="S118" s="255">
        <v>0</v>
      </c>
      <c r="T118" s="254">
        <v>50.757499276286254</v>
      </c>
      <c r="U118" s="79"/>
      <c r="V118" s="254">
        <v>0</v>
      </c>
      <c r="W118" s="79"/>
      <c r="X118" s="254">
        <v>0</v>
      </c>
      <c r="Y118" s="79"/>
    </row>
    <row r="119" spans="4:43" x14ac:dyDescent="0.3">
      <c r="E119" s="32"/>
      <c r="F119" s="72" t="s">
        <v>251</v>
      </c>
      <c r="G119" s="72" t="s">
        <v>209</v>
      </c>
      <c r="J119" s="79"/>
      <c r="K119" s="254">
        <v>0</v>
      </c>
      <c r="L119" s="254">
        <v>0</v>
      </c>
      <c r="M119" s="254">
        <v>0</v>
      </c>
      <c r="N119" s="254">
        <v>0</v>
      </c>
      <c r="O119" s="254">
        <v>0</v>
      </c>
      <c r="P119" s="254">
        <v>0</v>
      </c>
      <c r="Q119" s="79"/>
      <c r="R119" s="255">
        <v>0.53785825991290714</v>
      </c>
      <c r="S119" s="255">
        <v>0</v>
      </c>
      <c r="T119" s="254">
        <v>102.22566092765663</v>
      </c>
      <c r="U119" s="79"/>
      <c r="V119" s="254">
        <v>0</v>
      </c>
      <c r="W119" s="79"/>
      <c r="X119" s="254">
        <v>0</v>
      </c>
      <c r="Y119" s="79"/>
    </row>
    <row r="120" spans="4:43" x14ac:dyDescent="0.3">
      <c r="E120" s="32"/>
      <c r="F120" s="72" t="s">
        <v>214</v>
      </c>
      <c r="G120" s="72" t="s">
        <v>214</v>
      </c>
      <c r="J120" s="79"/>
      <c r="K120" s="254">
        <v>0</v>
      </c>
      <c r="L120" s="254">
        <v>0</v>
      </c>
      <c r="M120" s="254">
        <v>0</v>
      </c>
      <c r="N120" s="254">
        <v>0</v>
      </c>
      <c r="O120" s="254">
        <v>0</v>
      </c>
      <c r="P120" s="254">
        <v>0</v>
      </c>
      <c r="Q120" s="79"/>
      <c r="R120" s="254">
        <v>0</v>
      </c>
      <c r="S120" s="254">
        <v>0</v>
      </c>
      <c r="T120" s="254">
        <v>7.5227924811313303</v>
      </c>
      <c r="U120" s="79"/>
      <c r="V120" s="254">
        <v>0</v>
      </c>
      <c r="W120" s="79"/>
      <c r="X120" s="254">
        <v>0</v>
      </c>
      <c r="Y120" s="79"/>
    </row>
    <row r="121" spans="4:43" x14ac:dyDescent="0.3">
      <c r="E121" s="32"/>
      <c r="F121" s="72" t="s">
        <v>252</v>
      </c>
      <c r="G121" s="72" t="s">
        <v>253</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254</v>
      </c>
      <c r="G122" s="72" t="s">
        <v>253</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255</v>
      </c>
      <c r="G123" s="80" t="s">
        <v>256</v>
      </c>
      <c r="H123" s="37"/>
      <c r="I123" s="37"/>
      <c r="J123" s="81"/>
      <c r="K123" s="81"/>
      <c r="L123" s="81"/>
      <c r="M123" s="81"/>
      <c r="N123" s="256">
        <v>0</v>
      </c>
      <c r="O123" s="256">
        <v>0</v>
      </c>
      <c r="P123" s="256">
        <v>0</v>
      </c>
      <c r="Q123" s="81"/>
      <c r="R123" s="81"/>
      <c r="S123" s="81"/>
      <c r="T123" s="256">
        <v>83.119264278831736</v>
      </c>
      <c r="U123" s="81"/>
      <c r="V123" s="256">
        <v>0</v>
      </c>
      <c r="W123" s="81"/>
      <c r="X123" s="256">
        <v>0</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959</v>
      </c>
      <c r="G125" s="13"/>
    </row>
    <row r="126" spans="4:43" x14ac:dyDescent="0.3">
      <c r="E126" s="32"/>
      <c r="F126" s="78" t="s">
        <v>249</v>
      </c>
      <c r="G126" s="78" t="s">
        <v>209</v>
      </c>
      <c r="H126" s="23"/>
      <c r="I126" s="23"/>
      <c r="J126" s="253">
        <v>38108.591813126724</v>
      </c>
      <c r="K126" s="83"/>
      <c r="L126" s="253">
        <v>91.021235078130502</v>
      </c>
      <c r="M126" s="83"/>
      <c r="N126" s="253">
        <v>3459.0095420465991</v>
      </c>
      <c r="O126" s="253">
        <v>50.972586942372644</v>
      </c>
      <c r="P126" s="253">
        <v>1187.0464416040249</v>
      </c>
      <c r="Q126" s="253">
        <v>5.6935103681417845</v>
      </c>
      <c r="R126" s="83"/>
      <c r="S126" s="83"/>
      <c r="T126" s="83"/>
      <c r="U126" s="83"/>
      <c r="V126" s="83"/>
      <c r="W126" s="83"/>
      <c r="X126" s="83"/>
      <c r="Y126" s="83"/>
    </row>
    <row r="127" spans="4:43" x14ac:dyDescent="0.3">
      <c r="E127" s="32"/>
      <c r="F127" s="72" t="s">
        <v>250</v>
      </c>
      <c r="G127" s="72" t="s">
        <v>209</v>
      </c>
      <c r="J127" s="254">
        <v>107950.2222213502</v>
      </c>
      <c r="K127" s="79"/>
      <c r="L127" s="254">
        <v>391.20064627938979</v>
      </c>
      <c r="M127" s="331"/>
      <c r="N127" s="254">
        <v>12792.967584846705</v>
      </c>
      <c r="O127" s="254">
        <v>193.86605341280736</v>
      </c>
      <c r="P127" s="254">
        <v>4196.4664762891389</v>
      </c>
      <c r="Q127" s="255">
        <v>484.30703219565856</v>
      </c>
      <c r="R127" s="79"/>
      <c r="S127" s="79"/>
      <c r="T127" s="79"/>
      <c r="U127" s="79"/>
      <c r="V127" s="79"/>
      <c r="W127" s="79"/>
      <c r="X127" s="79"/>
      <c r="Y127" s="79"/>
    </row>
    <row r="128" spans="4:43" x14ac:dyDescent="0.3">
      <c r="E128" s="32"/>
      <c r="F128" s="72" t="s">
        <v>251</v>
      </c>
      <c r="G128" s="72" t="s">
        <v>209</v>
      </c>
      <c r="J128" s="254">
        <v>162892.31444569505</v>
      </c>
      <c r="K128" s="79"/>
      <c r="L128" s="254">
        <v>353.66662900835792</v>
      </c>
      <c r="M128" s="331"/>
      <c r="N128" s="254">
        <v>16155.857858706488</v>
      </c>
      <c r="O128" s="254">
        <v>278.76658312353277</v>
      </c>
      <c r="P128" s="254">
        <v>6513.6984871214654</v>
      </c>
      <c r="Q128" s="255">
        <v>798.66787986561553</v>
      </c>
      <c r="R128" s="79"/>
      <c r="S128" s="79"/>
      <c r="T128" s="79"/>
      <c r="U128" s="79"/>
      <c r="V128" s="79"/>
      <c r="W128" s="79"/>
      <c r="X128" s="79"/>
      <c r="Y128" s="79"/>
    </row>
    <row r="129" spans="5:42" x14ac:dyDescent="0.3">
      <c r="E129" s="32"/>
      <c r="F129" s="72" t="s">
        <v>214</v>
      </c>
      <c r="G129" s="72" t="s">
        <v>214</v>
      </c>
      <c r="J129" s="254">
        <v>95331.946746646136</v>
      </c>
      <c r="K129" s="79"/>
      <c r="L129" s="254">
        <v>776.5322375992281</v>
      </c>
      <c r="M129" s="331"/>
      <c r="N129" s="254">
        <v>177.5611654517908</v>
      </c>
      <c r="O129" s="254">
        <v>1.0308197941793038</v>
      </c>
      <c r="P129" s="254">
        <v>22.500027373401814</v>
      </c>
      <c r="Q129" s="254">
        <v>0</v>
      </c>
      <c r="R129" s="79"/>
      <c r="S129" s="79"/>
      <c r="T129" s="79"/>
      <c r="U129" s="79"/>
      <c r="V129" s="79"/>
      <c r="W129" s="79"/>
      <c r="X129" s="79"/>
      <c r="Y129" s="79"/>
    </row>
    <row r="130" spans="5:42" x14ac:dyDescent="0.3">
      <c r="E130" s="32"/>
      <c r="F130" s="72" t="s">
        <v>252</v>
      </c>
      <c r="G130" s="72" t="s">
        <v>253</v>
      </c>
      <c r="J130" s="79"/>
      <c r="K130" s="79"/>
      <c r="L130" s="79"/>
      <c r="M130" s="331"/>
      <c r="N130" s="254">
        <v>18032.380369857019</v>
      </c>
      <c r="O130" s="254">
        <v>12.063291022714548</v>
      </c>
      <c r="P130" s="254">
        <v>8209.6062574963653</v>
      </c>
      <c r="Q130" s="79"/>
      <c r="R130" s="79"/>
      <c r="S130" s="79"/>
      <c r="T130" s="79"/>
      <c r="U130" s="79"/>
      <c r="V130" s="79"/>
      <c r="W130" s="79"/>
      <c r="X130" s="79"/>
      <c r="Y130" s="79"/>
    </row>
    <row r="131" spans="5:42" x14ac:dyDescent="0.3">
      <c r="E131" s="32"/>
      <c r="F131" s="72" t="s">
        <v>254</v>
      </c>
      <c r="G131" s="72" t="s">
        <v>253</v>
      </c>
      <c r="J131" s="79"/>
      <c r="K131" s="79"/>
      <c r="L131" s="79"/>
      <c r="M131" s="331"/>
      <c r="N131" s="254">
        <v>43.85799562311626</v>
      </c>
      <c r="O131" s="254">
        <v>4.1748762263639147E-2</v>
      </c>
      <c r="P131" s="254">
        <v>3.7547087400521213</v>
      </c>
      <c r="Q131" s="79"/>
      <c r="R131" s="79"/>
      <c r="S131" s="79"/>
      <c r="T131" s="79"/>
      <c r="U131" s="79"/>
      <c r="V131" s="79"/>
      <c r="W131" s="79"/>
      <c r="X131" s="79"/>
      <c r="Y131" s="79"/>
    </row>
    <row r="132" spans="5:42" x14ac:dyDescent="0.3">
      <c r="E132" s="32"/>
      <c r="F132" s="80" t="s">
        <v>255</v>
      </c>
      <c r="G132" s="80" t="s">
        <v>256</v>
      </c>
      <c r="H132" s="37"/>
      <c r="I132" s="37"/>
      <c r="J132" s="81"/>
      <c r="K132" s="81"/>
      <c r="L132" s="81"/>
      <c r="M132" s="81"/>
      <c r="N132" s="256">
        <v>2234.8537686899667</v>
      </c>
      <c r="O132" s="256">
        <v>37.114812110610465</v>
      </c>
      <c r="P132" s="256">
        <v>316.68356062222227</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960</v>
      </c>
      <c r="G134" s="13"/>
    </row>
    <row r="135" spans="5:42" x14ac:dyDescent="0.3">
      <c r="E135" s="32"/>
      <c r="F135" s="78" t="s">
        <v>249</v>
      </c>
      <c r="G135" s="78" t="s">
        <v>209</v>
      </c>
      <c r="H135" s="23"/>
      <c r="I135" s="23"/>
      <c r="J135" s="83"/>
      <c r="K135" s="83"/>
      <c r="L135" s="253">
        <v>418.93511268972793</v>
      </c>
      <c r="M135" s="83"/>
      <c r="N135" s="253">
        <v>6269.4036460275065</v>
      </c>
      <c r="O135" s="253">
        <v>100.73796923918252</v>
      </c>
      <c r="P135" s="253">
        <v>2903.5091302422084</v>
      </c>
      <c r="Q135" s="83"/>
      <c r="R135" s="83"/>
      <c r="S135" s="83"/>
      <c r="T135" s="83"/>
      <c r="U135" s="83"/>
      <c r="V135" s="83"/>
      <c r="W135" s="83"/>
      <c r="X135" s="83"/>
      <c r="Y135" s="83"/>
    </row>
    <row r="136" spans="5:42" x14ac:dyDescent="0.3">
      <c r="E136" s="32"/>
      <c r="F136" s="72" t="s">
        <v>250</v>
      </c>
      <c r="G136" s="72" t="s">
        <v>209</v>
      </c>
      <c r="J136" s="79"/>
      <c r="K136" s="79"/>
      <c r="L136" s="341">
        <v>1800.5434302519977</v>
      </c>
      <c r="M136" s="79"/>
      <c r="N136" s="254">
        <v>23187.064575859775</v>
      </c>
      <c r="O136" s="254">
        <v>383.14069771072224</v>
      </c>
      <c r="P136" s="254">
        <v>10264.534142570103</v>
      </c>
      <c r="Q136" s="79"/>
      <c r="R136" s="79"/>
      <c r="S136" s="79"/>
      <c r="T136" s="79"/>
      <c r="U136" s="79"/>
      <c r="V136" s="79"/>
      <c r="W136" s="79"/>
      <c r="X136" s="79"/>
      <c r="Y136" s="79"/>
    </row>
    <row r="137" spans="5:42" x14ac:dyDescent="0.3">
      <c r="E137" s="32"/>
      <c r="F137" s="72" t="s">
        <v>251</v>
      </c>
      <c r="G137" s="72" t="s">
        <v>209</v>
      </c>
      <c r="J137" s="79"/>
      <c r="K137" s="79"/>
      <c r="L137" s="341">
        <v>1627.7890423155943</v>
      </c>
      <c r="M137" s="79"/>
      <c r="N137" s="254">
        <v>29282.253469629795</v>
      </c>
      <c r="O137" s="254">
        <v>550.93102312737551</v>
      </c>
      <c r="P137" s="254">
        <v>15932.471018948469</v>
      </c>
      <c r="Q137" s="79"/>
      <c r="R137" s="79"/>
      <c r="S137" s="79"/>
      <c r="T137" s="79"/>
      <c r="U137" s="79"/>
      <c r="V137" s="79"/>
      <c r="W137" s="79"/>
      <c r="X137" s="79"/>
      <c r="Y137" s="79"/>
    </row>
    <row r="138" spans="5:42" x14ac:dyDescent="0.3">
      <c r="E138" s="32"/>
      <c r="F138" s="72" t="s">
        <v>214</v>
      </c>
      <c r="G138" s="72" t="s">
        <v>214</v>
      </c>
      <c r="J138" s="79"/>
      <c r="K138" s="79"/>
      <c r="L138" s="254">
        <v>675.2644888310607</v>
      </c>
      <c r="M138" s="79"/>
      <c r="N138" s="254">
        <v>186.81916679005462</v>
      </c>
      <c r="O138" s="254">
        <v>2.7832134442841201</v>
      </c>
      <c r="P138" s="254">
        <v>15.670466029240488</v>
      </c>
      <c r="Q138" s="79"/>
      <c r="R138" s="79"/>
      <c r="S138" s="79"/>
      <c r="T138" s="79"/>
      <c r="U138" s="79"/>
      <c r="V138" s="79"/>
      <c r="W138" s="79"/>
      <c r="X138" s="79"/>
      <c r="Y138" s="79"/>
    </row>
    <row r="139" spans="5:42" x14ac:dyDescent="0.3">
      <c r="E139" s="32"/>
      <c r="F139" s="72" t="s">
        <v>252</v>
      </c>
      <c r="G139" s="72" t="s">
        <v>253</v>
      </c>
      <c r="J139" s="79"/>
      <c r="K139" s="79"/>
      <c r="L139" s="79"/>
      <c r="M139" s="79"/>
      <c r="N139" s="254">
        <v>46769.722738236451</v>
      </c>
      <c r="O139" s="254">
        <v>544.1363904349148</v>
      </c>
      <c r="P139" s="254">
        <v>18339.591904976616</v>
      </c>
      <c r="Q139" s="79"/>
      <c r="R139" s="79"/>
      <c r="S139" s="79"/>
      <c r="T139" s="79"/>
      <c r="U139" s="79"/>
      <c r="V139" s="79"/>
      <c r="W139" s="79"/>
      <c r="X139" s="79"/>
      <c r="Y139" s="79"/>
    </row>
    <row r="140" spans="5:42" x14ac:dyDescent="0.3">
      <c r="E140" s="32"/>
      <c r="F140" s="72" t="s">
        <v>254</v>
      </c>
      <c r="G140" s="72" t="s">
        <v>253</v>
      </c>
      <c r="J140" s="79"/>
      <c r="K140" s="79"/>
      <c r="L140" s="79"/>
      <c r="M140" s="79"/>
      <c r="N140" s="254">
        <v>113.75238615622656</v>
      </c>
      <c r="O140" s="254">
        <v>1.8831528444838994</v>
      </c>
      <c r="P140" s="254">
        <v>8.3877135948788606</v>
      </c>
      <c r="Q140" s="79"/>
      <c r="R140" s="79"/>
      <c r="S140" s="79"/>
      <c r="T140" s="79"/>
      <c r="U140" s="79"/>
      <c r="V140" s="79"/>
      <c r="W140" s="79"/>
      <c r="X140" s="79"/>
      <c r="Y140" s="79"/>
    </row>
    <row r="141" spans="5:42" x14ac:dyDescent="0.3">
      <c r="E141" s="32"/>
      <c r="F141" s="80" t="s">
        <v>255</v>
      </c>
      <c r="G141" s="80" t="s">
        <v>256</v>
      </c>
      <c r="H141" s="37"/>
      <c r="I141" s="37"/>
      <c r="J141" s="81"/>
      <c r="K141" s="81"/>
      <c r="L141" s="81"/>
      <c r="M141" s="81"/>
      <c r="N141" s="256">
        <v>4050.6394086074583</v>
      </c>
      <c r="O141" s="256">
        <v>73.350618930597307</v>
      </c>
      <c r="P141" s="256">
        <v>774.60626428545322</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961</v>
      </c>
      <c r="G143" s="13"/>
    </row>
    <row r="144" spans="5:42" x14ac:dyDescent="0.3">
      <c r="E144" s="32"/>
      <c r="F144" s="78" t="s">
        <v>249</v>
      </c>
      <c r="G144" s="78" t="s">
        <v>209</v>
      </c>
      <c r="H144" s="23"/>
      <c r="I144" s="23"/>
      <c r="J144" s="83"/>
      <c r="K144" s="83"/>
      <c r="L144" s="253">
        <v>518.53339474926418</v>
      </c>
      <c r="M144" s="83"/>
      <c r="N144" s="253">
        <v>3990.6298318033841</v>
      </c>
      <c r="O144" s="253">
        <v>213.23572220070147</v>
      </c>
      <c r="P144" s="253">
        <v>2055.6755131044797</v>
      </c>
      <c r="Q144" s="83"/>
      <c r="R144" s="83"/>
      <c r="S144" s="83"/>
      <c r="T144" s="83"/>
      <c r="U144" s="83"/>
      <c r="V144" s="83"/>
      <c r="W144" s="83"/>
      <c r="X144" s="83"/>
      <c r="Y144" s="83"/>
    </row>
    <row r="145" spans="5:42" x14ac:dyDescent="0.3">
      <c r="E145" s="32"/>
      <c r="F145" s="72" t="s">
        <v>250</v>
      </c>
      <c r="G145" s="72" t="s">
        <v>209</v>
      </c>
      <c r="J145" s="79"/>
      <c r="K145" s="79"/>
      <c r="L145" s="254">
        <v>2228.6074119872787</v>
      </c>
      <c r="M145" s="79"/>
      <c r="N145" s="254">
        <v>14759.137684013705</v>
      </c>
      <c r="O145" s="254">
        <v>811.007845381989</v>
      </c>
      <c r="P145" s="254">
        <v>7267.2585288361252</v>
      </c>
      <c r="Q145" s="79"/>
      <c r="R145" s="79"/>
      <c r="S145" s="79"/>
      <c r="T145" s="79"/>
      <c r="U145" s="79"/>
      <c r="V145" s="79"/>
      <c r="W145" s="79"/>
      <c r="X145" s="79"/>
      <c r="Y145" s="79"/>
    </row>
    <row r="146" spans="5:42" x14ac:dyDescent="0.3">
      <c r="E146" s="32"/>
      <c r="F146" s="72" t="s">
        <v>251</v>
      </c>
      <c r="G146" s="72" t="s">
        <v>209</v>
      </c>
      <c r="J146" s="79"/>
      <c r="K146" s="79"/>
      <c r="L146" s="254">
        <v>2014.7821284979984</v>
      </c>
      <c r="M146" s="79"/>
      <c r="N146" s="254">
        <v>18638.875535215477</v>
      </c>
      <c r="O146" s="254">
        <v>1166.1757278470486</v>
      </c>
      <c r="P146" s="254">
        <v>11280.140363866189</v>
      </c>
      <c r="Q146" s="79"/>
      <c r="R146" s="79"/>
      <c r="S146" s="79"/>
      <c r="T146" s="79"/>
      <c r="U146" s="79"/>
      <c r="V146" s="79"/>
      <c r="W146" s="79"/>
      <c r="X146" s="79"/>
      <c r="Y146" s="79"/>
    </row>
    <row r="147" spans="5:42" x14ac:dyDescent="0.3">
      <c r="E147" s="32"/>
      <c r="F147" s="72" t="s">
        <v>214</v>
      </c>
      <c r="G147" s="72" t="s">
        <v>214</v>
      </c>
      <c r="J147" s="79"/>
      <c r="K147" s="79"/>
      <c r="L147" s="254">
        <v>335.27979875953486</v>
      </c>
      <c r="M147" s="79"/>
      <c r="N147" s="254">
        <v>75.889064733366766</v>
      </c>
      <c r="O147" s="254">
        <v>3.6078692796275629</v>
      </c>
      <c r="P147" s="254">
        <v>5.0133483273623787</v>
      </c>
      <c r="Q147" s="79"/>
      <c r="R147" s="79"/>
      <c r="S147" s="79"/>
      <c r="T147" s="79"/>
      <c r="U147" s="79"/>
      <c r="V147" s="79"/>
      <c r="W147" s="79"/>
      <c r="X147" s="79"/>
      <c r="Y147" s="79"/>
    </row>
    <row r="148" spans="5:42" x14ac:dyDescent="0.3">
      <c r="E148" s="32"/>
      <c r="F148" s="72" t="s">
        <v>252</v>
      </c>
      <c r="G148" s="72" t="s">
        <v>253</v>
      </c>
      <c r="J148" s="79"/>
      <c r="K148" s="79"/>
      <c r="L148" s="79"/>
      <c r="M148" s="79"/>
      <c r="N148" s="254">
        <v>29497.287775780951</v>
      </c>
      <c r="O148" s="254">
        <v>1034.2714770770001</v>
      </c>
      <c r="P148" s="254">
        <v>12270.577215301419</v>
      </c>
      <c r="Q148" s="79"/>
      <c r="R148" s="79"/>
      <c r="S148" s="79"/>
      <c r="T148" s="79"/>
      <c r="U148" s="79"/>
      <c r="V148" s="79"/>
      <c r="W148" s="79"/>
      <c r="X148" s="79"/>
      <c r="Y148" s="79"/>
    </row>
    <row r="149" spans="5:42" x14ac:dyDescent="0.3">
      <c r="E149" s="32"/>
      <c r="F149" s="72" t="s">
        <v>254</v>
      </c>
      <c r="G149" s="72" t="s">
        <v>253</v>
      </c>
      <c r="J149" s="79"/>
      <c r="K149" s="79"/>
      <c r="L149" s="79"/>
      <c r="M149" s="79"/>
      <c r="N149" s="254">
        <v>71.742714585066153</v>
      </c>
      <c r="O149" s="254">
        <v>3.5794174186170036</v>
      </c>
      <c r="P149" s="254">
        <v>5.612016224737566</v>
      </c>
      <c r="Q149" s="79"/>
      <c r="R149" s="79"/>
      <c r="S149" s="79"/>
      <c r="T149" s="79"/>
      <c r="U149" s="79"/>
      <c r="V149" s="79"/>
      <c r="W149" s="79"/>
      <c r="X149" s="79"/>
      <c r="Y149" s="79"/>
    </row>
    <row r="150" spans="5:42" x14ac:dyDescent="0.3">
      <c r="E150" s="32"/>
      <c r="F150" s="80" t="s">
        <v>255</v>
      </c>
      <c r="G150" s="80" t="s">
        <v>256</v>
      </c>
      <c r="H150" s="37"/>
      <c r="I150" s="37"/>
      <c r="J150" s="81"/>
      <c r="K150" s="81"/>
      <c r="L150" s="81"/>
      <c r="M150" s="81"/>
      <c r="N150" s="256">
        <v>2578.3317480458841</v>
      </c>
      <c r="O150" s="256">
        <v>155.263922031205</v>
      </c>
      <c r="P150" s="256">
        <v>548.41884711280795</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962</v>
      </c>
      <c r="G152" s="13"/>
    </row>
    <row r="153" spans="5:42" x14ac:dyDescent="0.3">
      <c r="E153" s="32"/>
      <c r="F153" s="78" t="s">
        <v>249</v>
      </c>
      <c r="G153" s="78" t="s">
        <v>209</v>
      </c>
      <c r="H153" s="23"/>
      <c r="I153" s="23"/>
      <c r="J153" s="83"/>
      <c r="K153" s="83"/>
      <c r="L153" s="253">
        <v>1838.9640720688315</v>
      </c>
      <c r="M153" s="83"/>
      <c r="N153" s="253">
        <v>6961.1979614941793</v>
      </c>
      <c r="O153" s="253">
        <v>3064.6098199537332</v>
      </c>
      <c r="P153" s="253">
        <v>6201.8642118989756</v>
      </c>
      <c r="Q153" s="83"/>
      <c r="R153" s="83"/>
      <c r="S153" s="83"/>
      <c r="T153" s="83"/>
      <c r="U153" s="83"/>
      <c r="V153" s="83"/>
      <c r="W153" s="83"/>
      <c r="X153" s="83"/>
      <c r="Y153" s="83"/>
    </row>
    <row r="154" spans="5:42" x14ac:dyDescent="0.3">
      <c r="E154" s="32"/>
      <c r="F154" s="72" t="s">
        <v>250</v>
      </c>
      <c r="G154" s="72" t="s">
        <v>209</v>
      </c>
      <c r="J154" s="79"/>
      <c r="K154" s="79"/>
      <c r="L154" s="254">
        <v>7903.6933838613113</v>
      </c>
      <c r="M154" s="79"/>
      <c r="N154" s="254">
        <v>25745.630010724115</v>
      </c>
      <c r="O154" s="254">
        <v>11655.751584989292</v>
      </c>
      <c r="P154" s="254">
        <v>21924.934310542449</v>
      </c>
      <c r="Q154" s="79"/>
      <c r="R154" s="79"/>
      <c r="S154" s="79"/>
      <c r="T154" s="79"/>
      <c r="U154" s="79"/>
      <c r="V154" s="79"/>
      <c r="W154" s="79"/>
      <c r="X154" s="79"/>
      <c r="Y154" s="79"/>
    </row>
    <row r="155" spans="5:42" x14ac:dyDescent="0.3">
      <c r="E155" s="32"/>
      <c r="F155" s="72" t="s">
        <v>251</v>
      </c>
      <c r="G155" s="72" t="s">
        <v>209</v>
      </c>
      <c r="J155" s="79"/>
      <c r="K155" s="79"/>
      <c r="L155" s="254">
        <v>7145.3680416201278</v>
      </c>
      <c r="M155" s="79"/>
      <c r="N155" s="254">
        <v>32513.389577316819</v>
      </c>
      <c r="O155" s="254">
        <v>16760.201107335855</v>
      </c>
      <c r="P155" s="254">
        <v>34031.586396730694</v>
      </c>
      <c r="Q155" s="79"/>
      <c r="R155" s="79"/>
      <c r="S155" s="79"/>
      <c r="T155" s="79"/>
      <c r="U155" s="79"/>
      <c r="V155" s="79"/>
      <c r="W155" s="79"/>
      <c r="X155" s="79"/>
      <c r="Y155" s="79"/>
    </row>
    <row r="156" spans="5:42" x14ac:dyDescent="0.3">
      <c r="E156" s="32"/>
      <c r="F156" s="72" t="s">
        <v>214</v>
      </c>
      <c r="G156" s="72" t="s">
        <v>214</v>
      </c>
      <c r="J156" s="79"/>
      <c r="K156" s="79"/>
      <c r="L156" s="254">
        <v>381.51098517786386</v>
      </c>
      <c r="M156" s="79"/>
      <c r="N156" s="254">
        <v>72.504419082818714</v>
      </c>
      <c r="O156" s="254">
        <v>30.306101948871529</v>
      </c>
      <c r="P156" s="254">
        <v>5.8088796487701817</v>
      </c>
      <c r="Q156" s="79"/>
      <c r="R156" s="79"/>
      <c r="S156" s="79"/>
      <c r="T156" s="79"/>
      <c r="U156" s="79"/>
      <c r="V156" s="79"/>
      <c r="W156" s="79"/>
      <c r="X156" s="79"/>
      <c r="Y156" s="79"/>
    </row>
    <row r="157" spans="5:42" x14ac:dyDescent="0.3">
      <c r="E157" s="32"/>
      <c r="F157" s="72" t="s">
        <v>252</v>
      </c>
      <c r="G157" s="72" t="s">
        <v>253</v>
      </c>
      <c r="J157" s="79"/>
      <c r="K157" s="79"/>
      <c r="L157" s="79"/>
      <c r="M157" s="79"/>
      <c r="N157" s="254">
        <v>49104.471537883393</v>
      </c>
      <c r="O157" s="254">
        <v>23719.651809901654</v>
      </c>
      <c r="P157" s="254">
        <v>34188.480988452822</v>
      </c>
      <c r="Q157" s="79"/>
      <c r="R157" s="79"/>
      <c r="S157" s="79"/>
      <c r="T157" s="79"/>
      <c r="U157" s="79"/>
      <c r="V157" s="79"/>
      <c r="W157" s="79"/>
      <c r="X157" s="79"/>
      <c r="Y157" s="79"/>
    </row>
    <row r="158" spans="5:42" x14ac:dyDescent="0.3">
      <c r="E158" s="32"/>
      <c r="F158" s="72" t="s">
        <v>254</v>
      </c>
      <c r="G158" s="72" t="s">
        <v>253</v>
      </c>
      <c r="J158" s="79"/>
      <c r="K158" s="79"/>
      <c r="L158" s="79"/>
      <c r="M158" s="79"/>
      <c r="N158" s="254">
        <v>119.43091558693662</v>
      </c>
      <c r="O158" s="254">
        <v>82.089216161929841</v>
      </c>
      <c r="P158" s="254">
        <v>15.63629050531312</v>
      </c>
      <c r="Q158" s="79"/>
      <c r="R158" s="79"/>
      <c r="S158" s="79"/>
      <c r="T158" s="79"/>
      <c r="U158" s="79"/>
      <c r="V158" s="79"/>
      <c r="W158" s="79"/>
      <c r="X158" s="79"/>
      <c r="Y158" s="79"/>
    </row>
    <row r="159" spans="5:42" x14ac:dyDescent="0.3">
      <c r="E159" s="32"/>
      <c r="F159" s="80" t="s">
        <v>255</v>
      </c>
      <c r="G159" s="80" t="s">
        <v>256</v>
      </c>
      <c r="H159" s="37"/>
      <c r="I159" s="37"/>
      <c r="J159" s="81"/>
      <c r="K159" s="81"/>
      <c r="L159" s="81"/>
      <c r="M159" s="81"/>
      <c r="N159" s="256">
        <v>4497.6052565721993</v>
      </c>
      <c r="O159" s="256">
        <v>2231.4429084893559</v>
      </c>
      <c r="P159" s="256">
        <v>1654.5506328006506</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889</v>
      </c>
      <c r="G161" s="13" t="s">
        <v>214</v>
      </c>
      <c r="I161" t="s">
        <v>156</v>
      </c>
      <c r="J161" s="327">
        <v>2361.5475338241781</v>
      </c>
      <c r="K161" s="327">
        <v>0</v>
      </c>
      <c r="L161" s="327">
        <v>530.14649059309181</v>
      </c>
      <c r="M161" s="327">
        <v>0</v>
      </c>
      <c r="N161" s="327">
        <v>12.646933872641654</v>
      </c>
      <c r="O161" s="327">
        <v>0</v>
      </c>
      <c r="P161" s="327">
        <v>7.7515485275609377</v>
      </c>
      <c r="Q161" s="327">
        <v>0</v>
      </c>
      <c r="R161" s="327">
        <v>0</v>
      </c>
      <c r="S161" s="327">
        <v>0</v>
      </c>
      <c r="T161" s="327">
        <v>0</v>
      </c>
      <c r="U161" s="327">
        <v>0</v>
      </c>
      <c r="V161" s="327">
        <v>0</v>
      </c>
      <c r="W161" s="327">
        <v>0</v>
      </c>
      <c r="X161" s="327">
        <v>0</v>
      </c>
      <c r="Y161" s="327">
        <v>0</v>
      </c>
      <c r="AQ161" t="s">
        <v>907</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1133</v>
      </c>
      <c r="G165" s="13"/>
      <c r="I165" t="s">
        <v>156</v>
      </c>
      <c r="AQ165" t="s">
        <v>1147</v>
      </c>
    </row>
    <row r="166" spans="3:43" x14ac:dyDescent="0.3">
      <c r="D166" s="29" t="s">
        <v>1134</v>
      </c>
      <c r="G166" s="13"/>
    </row>
    <row r="167" spans="3:43" x14ac:dyDescent="0.3">
      <c r="G167" s="13"/>
    </row>
    <row r="168" spans="3:43" x14ac:dyDescent="0.3">
      <c r="E168" s="32" t="s">
        <v>994</v>
      </c>
      <c r="G168" s="13"/>
      <c r="J168" s="300" t="s">
        <v>985</v>
      </c>
      <c r="K168" s="300" t="s">
        <v>990</v>
      </c>
      <c r="L168" s="300" t="s">
        <v>991</v>
      </c>
      <c r="M168" s="300" t="s">
        <v>992</v>
      </c>
      <c r="N168" s="300" t="s">
        <v>993</v>
      </c>
    </row>
    <row r="169" spans="3:43" x14ac:dyDescent="0.3">
      <c r="E169" s="32"/>
      <c r="F169" s="78" t="s">
        <v>249</v>
      </c>
      <c r="G169" s="78" t="s">
        <v>169</v>
      </c>
      <c r="H169" s="422"/>
      <c r="I169" s="23"/>
      <c r="J169" s="257">
        <v>0</v>
      </c>
      <c r="K169" s="257">
        <v>3.1742877466807089E-2</v>
      </c>
      <c r="L169" s="257">
        <v>0.14610003849363484</v>
      </c>
      <c r="M169" s="257">
        <v>0.18083408775814508</v>
      </c>
      <c r="N169" s="257">
        <v>0.64132299628141309</v>
      </c>
    </row>
    <row r="170" spans="3:43" x14ac:dyDescent="0.3">
      <c r="E170" s="32"/>
      <c r="F170" s="352" t="s">
        <v>250</v>
      </c>
      <c r="G170" s="352" t="s">
        <v>169</v>
      </c>
      <c r="H170" s="423"/>
      <c r="I170" s="311"/>
      <c r="J170" s="369">
        <v>0</v>
      </c>
      <c r="K170" s="369">
        <f t="shared" ref="K170:N171" si="0">K169</f>
        <v>3.1742877466807089E-2</v>
      </c>
      <c r="L170" s="369">
        <f t="shared" si="0"/>
        <v>0.14610003849363484</v>
      </c>
      <c r="M170" s="369">
        <f t="shared" si="0"/>
        <v>0.18083408775814508</v>
      </c>
      <c r="N170" s="369">
        <f t="shared" si="0"/>
        <v>0.64132299628141309</v>
      </c>
    </row>
    <row r="171" spans="3:43" x14ac:dyDescent="0.3">
      <c r="E171" s="32"/>
      <c r="F171" s="80" t="s">
        <v>251</v>
      </c>
      <c r="G171" s="80" t="s">
        <v>169</v>
      </c>
      <c r="H171" s="424"/>
      <c r="I171" s="37"/>
      <c r="J171" s="258">
        <v>0</v>
      </c>
      <c r="K171" s="258">
        <f t="shared" si="0"/>
        <v>3.1742877466807089E-2</v>
      </c>
      <c r="L171" s="258">
        <f t="shared" si="0"/>
        <v>0.14610003849363484</v>
      </c>
      <c r="M171" s="258">
        <f t="shared" si="0"/>
        <v>0.18083408775814508</v>
      </c>
      <c r="N171" s="258">
        <f t="shared" si="0"/>
        <v>0.64132299628141309</v>
      </c>
    </row>
    <row r="172" spans="3:43" x14ac:dyDescent="0.3">
      <c r="E172" s="261"/>
      <c r="F172" s="235"/>
      <c r="G172" s="235"/>
      <c r="H172" s="260"/>
      <c r="I172" s="260"/>
      <c r="J172" s="262"/>
      <c r="K172" s="262"/>
      <c r="L172" s="262"/>
      <c r="M172" s="262"/>
      <c r="N172" s="262"/>
    </row>
    <row r="173" spans="3:43" x14ac:dyDescent="0.3">
      <c r="E173" s="32" t="s">
        <v>995</v>
      </c>
      <c r="G173" s="13"/>
      <c r="J173" s="300" t="s">
        <v>985</v>
      </c>
      <c r="K173" s="300" t="s">
        <v>990</v>
      </c>
      <c r="L173" s="300" t="s">
        <v>991</v>
      </c>
      <c r="M173" s="300" t="s">
        <v>992</v>
      </c>
      <c r="N173" s="300" t="s">
        <v>993</v>
      </c>
    </row>
    <row r="174" spans="3:43" x14ac:dyDescent="0.3">
      <c r="E174" s="32"/>
      <c r="F174" s="78" t="s">
        <v>249</v>
      </c>
      <c r="G174" s="78" t="s">
        <v>169</v>
      </c>
      <c r="H174" s="422"/>
      <c r="I174" s="23"/>
      <c r="J174" s="257">
        <v>0</v>
      </c>
      <c r="K174" s="257">
        <v>3.1742877466807089E-2</v>
      </c>
      <c r="L174" s="257">
        <v>0.14610003849363484</v>
      </c>
      <c r="M174" s="257">
        <v>0.18083408775814508</v>
      </c>
      <c r="N174" s="257">
        <v>0.64132299628141309</v>
      </c>
    </row>
    <row r="175" spans="3:43" x14ac:dyDescent="0.3">
      <c r="E175" s="32"/>
      <c r="F175" s="352" t="s">
        <v>250</v>
      </c>
      <c r="G175" s="352" t="s">
        <v>169</v>
      </c>
      <c r="H175" s="423"/>
      <c r="I175" s="311"/>
      <c r="J175" s="369">
        <v>0</v>
      </c>
      <c r="K175" s="369">
        <f t="shared" ref="K175:N176" si="1">K174</f>
        <v>3.1742877466807089E-2</v>
      </c>
      <c r="L175" s="369">
        <f t="shared" si="1"/>
        <v>0.14610003849363484</v>
      </c>
      <c r="M175" s="369">
        <f t="shared" si="1"/>
        <v>0.18083408775814508</v>
      </c>
      <c r="N175" s="369">
        <f t="shared" si="1"/>
        <v>0.64132299628141309</v>
      </c>
    </row>
    <row r="176" spans="3:43" x14ac:dyDescent="0.3">
      <c r="E176" s="32"/>
      <c r="F176" s="80" t="s">
        <v>251</v>
      </c>
      <c r="G176" s="80" t="s">
        <v>169</v>
      </c>
      <c r="H176" s="424"/>
      <c r="I176" s="37"/>
      <c r="J176" s="258">
        <v>0</v>
      </c>
      <c r="K176" s="258">
        <f t="shared" si="1"/>
        <v>3.1742877466807089E-2</v>
      </c>
      <c r="L176" s="258">
        <f t="shared" si="1"/>
        <v>0.14610003849363484</v>
      </c>
      <c r="M176" s="258">
        <f t="shared" si="1"/>
        <v>0.18083408775814508</v>
      </c>
      <c r="N176" s="258">
        <f t="shared" si="1"/>
        <v>0.64132299628141309</v>
      </c>
    </row>
    <row r="177" spans="3:43" x14ac:dyDescent="0.3">
      <c r="E177" s="261"/>
      <c r="F177" s="235"/>
      <c r="G177" s="235"/>
      <c r="H177" s="260"/>
      <c r="I177" s="260"/>
      <c r="J177" s="262"/>
      <c r="K177" s="262"/>
      <c r="L177" s="262"/>
      <c r="M177" s="262"/>
      <c r="N177" s="262"/>
    </row>
    <row r="178" spans="3:43" x14ac:dyDescent="0.3">
      <c r="E178" s="32" t="s">
        <v>996</v>
      </c>
      <c r="G178" s="13"/>
      <c r="J178" s="300" t="s">
        <v>985</v>
      </c>
      <c r="K178" s="300" t="s">
        <v>990</v>
      </c>
      <c r="L178" s="300" t="s">
        <v>991</v>
      </c>
      <c r="M178" s="300" t="s">
        <v>992</v>
      </c>
      <c r="N178" s="300" t="s">
        <v>993</v>
      </c>
    </row>
    <row r="179" spans="3:43" x14ac:dyDescent="0.3">
      <c r="E179" s="32"/>
      <c r="F179" s="78" t="s">
        <v>249</v>
      </c>
      <c r="G179" s="78" t="s">
        <v>169</v>
      </c>
      <c r="H179" s="422"/>
      <c r="I179" s="23"/>
      <c r="J179" s="257">
        <v>0</v>
      </c>
      <c r="K179" s="257">
        <v>3.1742877466807089E-2</v>
      </c>
      <c r="L179" s="257">
        <v>0.14610003849363484</v>
      </c>
      <c r="M179" s="257">
        <v>0.18083408775814508</v>
      </c>
      <c r="N179" s="257">
        <v>0.64132299628141309</v>
      </c>
    </row>
    <row r="180" spans="3:43" x14ac:dyDescent="0.3">
      <c r="E180" s="32"/>
      <c r="F180" s="352" t="s">
        <v>250</v>
      </c>
      <c r="G180" s="352" t="s">
        <v>169</v>
      </c>
      <c r="H180" s="423"/>
      <c r="I180" s="311"/>
      <c r="J180" s="369">
        <v>0</v>
      </c>
      <c r="K180" s="369">
        <f t="shared" ref="K180:N181" si="2">K179</f>
        <v>3.1742877466807089E-2</v>
      </c>
      <c r="L180" s="369">
        <f t="shared" si="2"/>
        <v>0.14610003849363484</v>
      </c>
      <c r="M180" s="369">
        <f t="shared" si="2"/>
        <v>0.18083408775814508</v>
      </c>
      <c r="N180" s="369">
        <f t="shared" si="2"/>
        <v>0.64132299628141309</v>
      </c>
    </row>
    <row r="181" spans="3:43" x14ac:dyDescent="0.3">
      <c r="E181" s="32"/>
      <c r="F181" s="80" t="s">
        <v>251</v>
      </c>
      <c r="G181" s="80" t="s">
        <v>169</v>
      </c>
      <c r="H181" s="424"/>
      <c r="I181" s="37"/>
      <c r="J181" s="258">
        <v>0</v>
      </c>
      <c r="K181" s="258">
        <f t="shared" si="2"/>
        <v>3.1742877466807089E-2</v>
      </c>
      <c r="L181" s="258">
        <f t="shared" si="2"/>
        <v>0.14610003849363484</v>
      </c>
      <c r="M181" s="258">
        <f t="shared" si="2"/>
        <v>0.18083408775814508</v>
      </c>
      <c r="N181" s="258">
        <f t="shared" si="2"/>
        <v>0.64132299628141309</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260</v>
      </c>
      <c r="H185" s="63"/>
    </row>
    <row r="186" spans="3:43" x14ac:dyDescent="0.3">
      <c r="G186" s="13"/>
      <c r="I186" t="s">
        <v>156</v>
      </c>
      <c r="AQ186" t="s">
        <v>261</v>
      </c>
    </row>
    <row r="187" spans="3:43" x14ac:dyDescent="0.3">
      <c r="D187" s="88"/>
      <c r="E187" t="s">
        <v>262</v>
      </c>
      <c r="G187" t="s">
        <v>263</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264</v>
      </c>
      <c r="G188" t="s">
        <v>263</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265</v>
      </c>
      <c r="G190" t="s">
        <v>266</v>
      </c>
      <c r="I190" t="s">
        <v>156</v>
      </c>
      <c r="J190" s="79"/>
      <c r="K190" s="79"/>
      <c r="L190" s="79"/>
      <c r="M190" s="79"/>
      <c r="N190" s="79"/>
      <c r="O190" s="79"/>
      <c r="P190" s="79"/>
      <c r="Q190" s="254">
        <v>278.168192448421</v>
      </c>
      <c r="R190" s="79"/>
      <c r="S190" s="79"/>
      <c r="T190" s="79"/>
      <c r="U190" s="79"/>
      <c r="V190" s="79"/>
      <c r="W190" s="79"/>
      <c r="X190" s="79"/>
      <c r="Y190" s="79"/>
      <c r="AQ190" t="s">
        <v>267</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268</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269</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270</v>
      </c>
      <c r="G197" s="13"/>
      <c r="J197" s="114" t="s">
        <v>915</v>
      </c>
      <c r="K197" s="114" t="s">
        <v>833</v>
      </c>
      <c r="L197" s="114" t="s">
        <v>916</v>
      </c>
      <c r="M197" s="114" t="s">
        <v>917</v>
      </c>
      <c r="N197" s="114" t="s">
        <v>918</v>
      </c>
      <c r="O197" s="114" t="s">
        <v>919</v>
      </c>
      <c r="P197" s="114" t="s">
        <v>920</v>
      </c>
      <c r="Q197" s="114" t="s">
        <v>834</v>
      </c>
      <c r="R197" s="114" t="s">
        <v>921</v>
      </c>
      <c r="S197" s="114" t="s">
        <v>922</v>
      </c>
      <c r="T197" s="114" t="s">
        <v>923</v>
      </c>
      <c r="U197" s="114" t="s">
        <v>924</v>
      </c>
      <c r="V197" s="114" t="s">
        <v>925</v>
      </c>
      <c r="W197" s="114" t="s">
        <v>926</v>
      </c>
      <c r="X197" s="114" t="s">
        <v>927</v>
      </c>
      <c r="Y197" s="114" t="s">
        <v>928</v>
      </c>
      <c r="Z197" s="114" t="s">
        <v>929</v>
      </c>
      <c r="AA197" s="114" t="s">
        <v>930</v>
      </c>
      <c r="AB197" s="114" t="s">
        <v>931</v>
      </c>
      <c r="AC197" s="114" t="s">
        <v>932</v>
      </c>
      <c r="AD197" s="114" t="s">
        <v>933</v>
      </c>
      <c r="AE197" s="114" t="s">
        <v>934</v>
      </c>
      <c r="AF197" s="114" t="s">
        <v>935</v>
      </c>
      <c r="AG197" s="114" t="s">
        <v>843</v>
      </c>
      <c r="AH197" s="114" t="s">
        <v>835</v>
      </c>
      <c r="AI197" s="114" t="s">
        <v>836</v>
      </c>
      <c r="AJ197" s="114" t="s">
        <v>837</v>
      </c>
      <c r="AK197" s="114" t="s">
        <v>846</v>
      </c>
      <c r="AL197" s="114" t="s">
        <v>838</v>
      </c>
      <c r="AM197" s="114" t="s">
        <v>845</v>
      </c>
      <c r="AN197" s="114" t="s">
        <v>839</v>
      </c>
      <c r="AO197" s="114" t="s">
        <v>844</v>
      </c>
    </row>
    <row r="198" spans="3:43" x14ac:dyDescent="0.3">
      <c r="D198" s="32"/>
      <c r="F198" s="23" t="s">
        <v>158</v>
      </c>
      <c r="G198" s="23" t="s">
        <v>271</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159</v>
      </c>
      <c r="G199" s="311" t="s">
        <v>271</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160</v>
      </c>
      <c r="G200" s="311" t="s">
        <v>271</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161</v>
      </c>
      <c r="G201" s="311" t="s">
        <v>272</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162</v>
      </c>
      <c r="G202" s="311" t="s">
        <v>273</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163</v>
      </c>
      <c r="G203" s="311" t="s">
        <v>273</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164</v>
      </c>
      <c r="G204" s="37" t="s">
        <v>274</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275</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276</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277</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915</v>
      </c>
      <c r="K212" s="399" t="s">
        <v>833</v>
      </c>
      <c r="L212" s="399" t="s">
        <v>916</v>
      </c>
      <c r="M212" s="399" t="s">
        <v>917</v>
      </c>
      <c r="N212" s="399" t="s">
        <v>918</v>
      </c>
      <c r="O212" s="399" t="s">
        <v>919</v>
      </c>
      <c r="P212" s="399" t="s">
        <v>920</v>
      </c>
      <c r="Q212" s="399" t="s">
        <v>834</v>
      </c>
      <c r="R212" s="399" t="s">
        <v>921</v>
      </c>
      <c r="S212" s="399" t="s">
        <v>922</v>
      </c>
      <c r="T212" s="399" t="s">
        <v>923</v>
      </c>
      <c r="U212" s="399" t="s">
        <v>924</v>
      </c>
      <c r="V212" s="399" t="s">
        <v>925</v>
      </c>
      <c r="W212" s="399" t="s">
        <v>926</v>
      </c>
      <c r="X212" s="399" t="s">
        <v>927</v>
      </c>
      <c r="Y212" s="399" t="s">
        <v>928</v>
      </c>
      <c r="Z212" s="399" t="s">
        <v>929</v>
      </c>
      <c r="AA212" s="399" t="s">
        <v>930</v>
      </c>
      <c r="AB212" s="399" t="s">
        <v>931</v>
      </c>
      <c r="AC212" s="399" t="s">
        <v>932</v>
      </c>
      <c r="AD212" s="399" t="s">
        <v>933</v>
      </c>
      <c r="AE212" s="399" t="s">
        <v>934</v>
      </c>
      <c r="AF212" s="399" t="s">
        <v>935</v>
      </c>
      <c r="AG212" s="399" t="s">
        <v>843</v>
      </c>
      <c r="AH212" s="399" t="s">
        <v>835</v>
      </c>
      <c r="AI212" s="399" t="s">
        <v>836</v>
      </c>
      <c r="AJ212" s="399" t="s">
        <v>837</v>
      </c>
      <c r="AK212" s="399" t="s">
        <v>846</v>
      </c>
      <c r="AL212" s="399" t="s">
        <v>838</v>
      </c>
      <c r="AM212" s="399" t="s">
        <v>845</v>
      </c>
      <c r="AN212" s="399" t="s">
        <v>839</v>
      </c>
      <c r="AO212" s="399" t="s">
        <v>844</v>
      </c>
      <c r="AP212" s="311"/>
      <c r="AQ212" s="311"/>
      <c r="AR212" s="311"/>
    </row>
    <row r="213" spans="2:44" x14ac:dyDescent="0.3">
      <c r="E213" s="28" t="s">
        <v>278</v>
      </c>
      <c r="F213" s="311"/>
      <c r="G213" s="311" t="s">
        <v>279</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233</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1120</v>
      </c>
      <c r="G217" s="13"/>
    </row>
    <row r="218" spans="2:44" x14ac:dyDescent="0.3">
      <c r="E218" s="32"/>
      <c r="F218" s="78" t="s">
        <v>249</v>
      </c>
      <c r="G218" s="78" t="s">
        <v>211</v>
      </c>
      <c r="H218" s="422" t="b">
        <f>SUM(J169:N169)=1</f>
        <v>1</v>
      </c>
    </row>
    <row r="219" spans="2:44" x14ac:dyDescent="0.3">
      <c r="E219" s="32"/>
      <c r="F219" s="352" t="s">
        <v>250</v>
      </c>
      <c r="G219" s="352" t="s">
        <v>211</v>
      </c>
      <c r="H219" s="423" t="b">
        <f t="shared" ref="H219:H220" si="3">SUM(J170:N170)=1</f>
        <v>1</v>
      </c>
    </row>
    <row r="220" spans="2:44" x14ac:dyDescent="0.3">
      <c r="E220" s="32"/>
      <c r="F220" s="80" t="s">
        <v>251</v>
      </c>
      <c r="G220" s="80" t="s">
        <v>211</v>
      </c>
      <c r="H220" s="424" t="b">
        <f t="shared" si="3"/>
        <v>1</v>
      </c>
    </row>
    <row r="221" spans="2:44" x14ac:dyDescent="0.3">
      <c r="E221" s="261"/>
      <c r="F221" s="235"/>
      <c r="G221" s="235"/>
      <c r="H221" s="260"/>
    </row>
    <row r="222" spans="2:44" x14ac:dyDescent="0.3">
      <c r="E222" s="32" t="s">
        <v>1121</v>
      </c>
      <c r="G222" s="13"/>
    </row>
    <row r="223" spans="2:44" x14ac:dyDescent="0.3">
      <c r="E223" s="32"/>
      <c r="F223" s="78" t="s">
        <v>249</v>
      </c>
      <c r="G223" s="78" t="s">
        <v>211</v>
      </c>
      <c r="H223" s="422" t="b">
        <f>SUM(J174:N174)=1</f>
        <v>1</v>
      </c>
    </row>
    <row r="224" spans="2:44" x14ac:dyDescent="0.3">
      <c r="E224" s="32"/>
      <c r="F224" s="352" t="s">
        <v>250</v>
      </c>
      <c r="G224" s="352" t="s">
        <v>211</v>
      </c>
      <c r="H224" s="423" t="b">
        <f t="shared" ref="H224:H225" si="4">SUM(J175:N175)=1</f>
        <v>1</v>
      </c>
    </row>
    <row r="225" spans="2:43" x14ac:dyDescent="0.3">
      <c r="E225" s="32"/>
      <c r="F225" s="80" t="s">
        <v>251</v>
      </c>
      <c r="G225" s="80" t="s">
        <v>211</v>
      </c>
      <c r="H225" s="424" t="b">
        <f t="shared" si="4"/>
        <v>1</v>
      </c>
    </row>
    <row r="226" spans="2:43" x14ac:dyDescent="0.3">
      <c r="E226" s="261"/>
      <c r="F226" s="235"/>
      <c r="G226" s="235"/>
      <c r="H226" s="260"/>
    </row>
    <row r="227" spans="2:43" x14ac:dyDescent="0.3">
      <c r="E227" s="32" t="s">
        <v>1122</v>
      </c>
      <c r="G227" s="13"/>
    </row>
    <row r="228" spans="2:43" x14ac:dyDescent="0.3">
      <c r="E228" s="32"/>
      <c r="F228" s="78" t="s">
        <v>249</v>
      </c>
      <c r="G228" s="78" t="s">
        <v>211</v>
      </c>
      <c r="H228" s="422" t="b">
        <f>SUM(J179:N179)=1</f>
        <v>1</v>
      </c>
    </row>
    <row r="229" spans="2:43" x14ac:dyDescent="0.3">
      <c r="E229" s="32"/>
      <c r="F229" s="352" t="s">
        <v>250</v>
      </c>
      <c r="G229" s="352" t="s">
        <v>211</v>
      </c>
      <c r="H229" s="423" t="b">
        <f t="shared" ref="H229:H230" si="5">SUM(J180:N180)=1</f>
        <v>1</v>
      </c>
    </row>
    <row r="230" spans="2:43" x14ac:dyDescent="0.3">
      <c r="E230" s="32"/>
      <c r="F230" s="80" t="s">
        <v>251</v>
      </c>
      <c r="G230" s="80" t="s">
        <v>211</v>
      </c>
      <c r="H230" s="424" t="b">
        <f t="shared" si="5"/>
        <v>1</v>
      </c>
    </row>
    <row r="231" spans="2:43" x14ac:dyDescent="0.3">
      <c r="G231" s="13"/>
    </row>
    <row r="232" spans="2:43" x14ac:dyDescent="0.3">
      <c r="E232" t="s">
        <v>1123</v>
      </c>
      <c r="G232" s="6" t="s">
        <v>57</v>
      </c>
      <c r="H232" s="24">
        <f>COUNTIF(H218:H230,FALSE)</f>
        <v>0</v>
      </c>
    </row>
    <row r="233" spans="2:43" x14ac:dyDescent="0.3">
      <c r="G233" s="13"/>
    </row>
    <row r="234" spans="2:43" x14ac:dyDescent="0.3">
      <c r="E234" t="s">
        <v>234</v>
      </c>
      <c r="G234" s="6" t="s">
        <v>57</v>
      </c>
      <c r="H234" s="24">
        <f t="array" ref="H234">SUM(IF(ISERROR(H13:Y214), 1))</f>
        <v>0</v>
      </c>
    </row>
    <row r="235" spans="2:43" x14ac:dyDescent="0.3">
      <c r="G235" s="13"/>
    </row>
    <row r="236" spans="2:43" x14ac:dyDescent="0.3">
      <c r="E236" t="s">
        <v>241</v>
      </c>
      <c r="G236" s="6" t="s">
        <v>57</v>
      </c>
      <c r="H236" s="103">
        <f xml:space="preserve"> H232 + H234</f>
        <v>0</v>
      </c>
    </row>
    <row r="238" spans="2:43" x14ac:dyDescent="0.3">
      <c r="B238" s="30" t="s">
        <v>108</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J117:Y124 K169:N172 K174:N177 J79:Y86 J88:Y95 J97:Y104 J106:Y113 K179:N181">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L6" activePane="bottomRight" state="frozen"/>
      <selection pane="topRight"/>
      <selection pane="bottomLeft"/>
      <selection pane="bottomRight" activeCell="K21" sqref="K21:S21"/>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144</v>
      </c>
      <c r="C5" s="60"/>
      <c r="D5" s="60"/>
      <c r="E5" s="60"/>
      <c r="F5" s="60"/>
      <c r="G5" s="1" t="s">
        <v>145</v>
      </c>
      <c r="H5" s="93" t="s">
        <v>146</v>
      </c>
      <c r="I5" s="14"/>
      <c r="J5" s="93" t="s">
        <v>191</v>
      </c>
      <c r="K5" s="93" t="s">
        <v>193</v>
      </c>
      <c r="L5" s="93" t="s">
        <v>194</v>
      </c>
      <c r="M5" s="93" t="s">
        <v>195</v>
      </c>
      <c r="N5" s="93" t="s">
        <v>196</v>
      </c>
      <c r="O5" s="93" t="s">
        <v>197</v>
      </c>
      <c r="P5" s="93" t="s">
        <v>198</v>
      </c>
      <c r="Q5" s="93" t="s">
        <v>199</v>
      </c>
      <c r="R5" s="93" t="s">
        <v>200</v>
      </c>
      <c r="S5" s="93" t="s">
        <v>201</v>
      </c>
      <c r="U5" s="61" t="s">
        <v>147</v>
      </c>
    </row>
    <row r="7" spans="1:27" x14ac:dyDescent="0.3">
      <c r="B7" s="30" t="s">
        <v>12</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280</v>
      </c>
    </row>
    <row r="11" spans="1:27" x14ac:dyDescent="0.3">
      <c r="B11" s="30" t="s">
        <v>60</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281</v>
      </c>
      <c r="G15" s="28" t="s">
        <v>169</v>
      </c>
      <c r="I15" t="s">
        <v>156</v>
      </c>
      <c r="J15" s="94"/>
      <c r="K15" s="259">
        <v>2.4713742436156094E-2</v>
      </c>
      <c r="L15" s="259">
        <v>4.5013478235986115E-2</v>
      </c>
      <c r="M15" s="94"/>
      <c r="N15" s="259">
        <v>7.9017642685410783E-2</v>
      </c>
      <c r="O15" s="94"/>
      <c r="P15" s="77"/>
      <c r="Q15" s="259">
        <v>0.34000000000000008</v>
      </c>
      <c r="R15" s="66"/>
      <c r="S15" s="66"/>
      <c r="U15" s="63" t="s">
        <v>282</v>
      </c>
    </row>
    <row r="17" spans="3:27" x14ac:dyDescent="0.3">
      <c r="E17" s="28" t="s">
        <v>283</v>
      </c>
      <c r="G17" s="28" t="s">
        <v>169</v>
      </c>
      <c r="H17" s="28"/>
      <c r="I17" s="95"/>
      <c r="J17" s="94"/>
      <c r="K17" s="66"/>
      <c r="L17" s="66"/>
      <c r="M17" s="66"/>
      <c r="N17" s="66"/>
      <c r="O17" s="66"/>
      <c r="P17" s="259">
        <v>7.5044342711319545E-2</v>
      </c>
      <c r="Q17" s="66"/>
      <c r="R17" s="66"/>
      <c r="S17" s="66"/>
    </row>
    <row r="19" spans="3:27" x14ac:dyDescent="0.3">
      <c r="E19" s="28" t="s">
        <v>284</v>
      </c>
      <c r="G19" s="28" t="s">
        <v>285</v>
      </c>
      <c r="I19" t="s">
        <v>156</v>
      </c>
      <c r="J19" s="79"/>
      <c r="K19" s="254">
        <v>1</v>
      </c>
      <c r="L19" s="254">
        <v>1.002</v>
      </c>
      <c r="M19" s="254">
        <v>1.006</v>
      </c>
      <c r="N19" s="254">
        <v>1.0129999999999999</v>
      </c>
      <c r="O19" s="254">
        <v>1.0189999999999999</v>
      </c>
      <c r="P19" s="79"/>
      <c r="Q19" s="254">
        <v>1.034</v>
      </c>
      <c r="R19" s="254">
        <v>1.046</v>
      </c>
      <c r="S19" s="254">
        <v>1.075</v>
      </c>
      <c r="U19" s="63" t="s">
        <v>286</v>
      </c>
    </row>
    <row r="20" spans="3:27" x14ac:dyDescent="0.3">
      <c r="J20" s="89"/>
      <c r="K20" s="89"/>
      <c r="L20" s="89"/>
      <c r="M20" s="89"/>
      <c r="N20" s="89"/>
      <c r="O20" s="89"/>
      <c r="P20" s="89"/>
      <c r="Q20" s="89"/>
      <c r="R20" s="89"/>
      <c r="S20" s="89"/>
    </row>
    <row r="21" spans="3:27" x14ac:dyDescent="0.3">
      <c r="E21" s="28" t="s">
        <v>287</v>
      </c>
      <c r="G21" s="28" t="s">
        <v>288</v>
      </c>
      <c r="I21" t="s">
        <v>156</v>
      </c>
      <c r="J21" s="79"/>
      <c r="K21" s="254">
        <v>0.22251782235181283</v>
      </c>
      <c r="L21" s="254">
        <v>0.22251782235181283</v>
      </c>
      <c r="M21" s="254">
        <v>0.22251782235181283</v>
      </c>
      <c r="N21" s="254">
        <v>0.22251782235181283</v>
      </c>
      <c r="O21" s="254">
        <v>0.22251782235181283</v>
      </c>
      <c r="P21" s="254">
        <v>0.22251782235181283</v>
      </c>
      <c r="Q21" s="254">
        <v>0.22251782235181283</v>
      </c>
      <c r="R21" s="254">
        <v>0.22251782235181283</v>
      </c>
      <c r="S21" s="254">
        <v>0.22251782235181283</v>
      </c>
      <c r="U21" s="63" t="s">
        <v>289</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156</v>
      </c>
      <c r="U24" t="s">
        <v>290</v>
      </c>
    </row>
    <row r="25" spans="3:27" x14ac:dyDescent="0.3">
      <c r="C25" s="32"/>
      <c r="E25" s="32" t="s">
        <v>291</v>
      </c>
    </row>
    <row r="26" spans="3:27" x14ac:dyDescent="0.3">
      <c r="F26" s="64" t="s">
        <v>188</v>
      </c>
      <c r="G26" s="64" t="s">
        <v>169</v>
      </c>
      <c r="H26" s="23"/>
      <c r="I26" s="23"/>
      <c r="J26" s="65"/>
      <c r="K26" s="65"/>
      <c r="L26" s="257">
        <v>0</v>
      </c>
      <c r="M26" s="257">
        <v>0</v>
      </c>
      <c r="N26" s="257">
        <v>0</v>
      </c>
      <c r="O26" s="257">
        <v>0</v>
      </c>
      <c r="P26" s="257">
        <v>0</v>
      </c>
      <c r="Q26" s="257">
        <v>0.47913351897273304</v>
      </c>
      <c r="R26" s="257">
        <v>0.70892384564689981</v>
      </c>
      <c r="S26" s="257">
        <v>0.93871417232106646</v>
      </c>
    </row>
    <row r="27" spans="3:27" x14ac:dyDescent="0.3">
      <c r="F27" s="28" t="s">
        <v>187</v>
      </c>
      <c r="G27" s="28" t="s">
        <v>169</v>
      </c>
      <c r="J27" s="66"/>
      <c r="K27" s="66"/>
      <c r="L27" s="252">
        <v>0</v>
      </c>
      <c r="M27" s="252">
        <v>0</v>
      </c>
      <c r="N27" s="252">
        <v>0</v>
      </c>
      <c r="O27" s="252">
        <v>0</v>
      </c>
      <c r="P27" s="252">
        <v>0</v>
      </c>
      <c r="Q27" s="252">
        <v>0.47913351897273304</v>
      </c>
      <c r="R27" s="252">
        <v>0.70892384564689981</v>
      </c>
      <c r="S27" s="70"/>
    </row>
    <row r="28" spans="3:27" x14ac:dyDescent="0.3">
      <c r="F28" s="28" t="s">
        <v>186</v>
      </c>
      <c r="G28" s="28" t="s">
        <v>169</v>
      </c>
      <c r="J28" s="66"/>
      <c r="K28" s="66"/>
      <c r="L28" s="252">
        <v>0</v>
      </c>
      <c r="M28" s="252">
        <v>0</v>
      </c>
      <c r="N28" s="252">
        <v>6.5420049562801799E-2</v>
      </c>
      <c r="O28" s="252">
        <v>0.35162962287700078</v>
      </c>
      <c r="P28" s="252">
        <v>0.35162962287700078</v>
      </c>
      <c r="Q28" s="252">
        <v>0.63783919619119978</v>
      </c>
      <c r="R28" s="70"/>
      <c r="S28" s="70"/>
    </row>
    <row r="29" spans="3:27" x14ac:dyDescent="0.3">
      <c r="F29" s="67" t="s">
        <v>185</v>
      </c>
      <c r="G29" s="67" t="s">
        <v>169</v>
      </c>
      <c r="H29" s="37"/>
      <c r="I29" s="37"/>
      <c r="J29" s="68"/>
      <c r="K29" s="68"/>
      <c r="L29" s="258">
        <v>0</v>
      </c>
      <c r="M29" s="258">
        <v>0</v>
      </c>
      <c r="N29" s="258">
        <v>6.5420049562801799E-2</v>
      </c>
      <c r="O29" s="258">
        <v>0.35162962287700078</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292</v>
      </c>
      <c r="G33" s="28" t="s">
        <v>279</v>
      </c>
      <c r="I33" t="s">
        <v>156</v>
      </c>
      <c r="J33" s="79"/>
      <c r="K33" s="79"/>
      <c r="L33" s="254">
        <v>57612517.293453909</v>
      </c>
      <c r="M33" s="254">
        <v>30102002.705238439</v>
      </c>
      <c r="N33" s="254">
        <v>37186948.669687547</v>
      </c>
      <c r="O33" s="254">
        <v>59823179.209974438</v>
      </c>
      <c r="P33" s="254">
        <v>5037530.9843376521</v>
      </c>
      <c r="Q33" s="254">
        <v>137822362.57909635</v>
      </c>
      <c r="R33" s="254">
        <v>63088481.625524126</v>
      </c>
      <c r="S33" s="254">
        <v>125748377.41709983</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293</v>
      </c>
    </row>
    <row r="38" spans="2:27" x14ac:dyDescent="0.3">
      <c r="C38" s="29"/>
    </row>
    <row r="39" spans="2:27" x14ac:dyDescent="0.3">
      <c r="D39" s="32"/>
      <c r="E39" s="32" t="s">
        <v>294</v>
      </c>
      <c r="I39" t="s">
        <v>156</v>
      </c>
      <c r="U39" t="s">
        <v>295</v>
      </c>
    </row>
    <row r="40" spans="2:27" x14ac:dyDescent="0.3">
      <c r="F40" s="23" t="s">
        <v>296</v>
      </c>
      <c r="G40" s="78" t="s">
        <v>169</v>
      </c>
      <c r="H40" s="23"/>
      <c r="I40" s="23"/>
      <c r="J40" s="65"/>
      <c r="K40" s="257">
        <v>0.86380182993886667</v>
      </c>
      <c r="L40" s="257">
        <v>0.64748529290899826</v>
      </c>
      <c r="M40" s="257">
        <v>0.64748529290899826</v>
      </c>
      <c r="N40" s="257">
        <v>0.53835640863565393</v>
      </c>
      <c r="O40" s="257">
        <v>0.53835640863565393</v>
      </c>
      <c r="P40" s="257">
        <v>0.64748529290899826</v>
      </c>
      <c r="Q40" s="257">
        <v>0.53835640863565393</v>
      </c>
      <c r="R40" s="257">
        <v>0.53835640863565393</v>
      </c>
      <c r="S40" s="257">
        <v>0.53835640863565393</v>
      </c>
    </row>
    <row r="41" spans="2:27" x14ac:dyDescent="0.3">
      <c r="F41" t="s">
        <v>297</v>
      </c>
      <c r="G41" s="72" t="s">
        <v>169</v>
      </c>
      <c r="J41" s="66"/>
      <c r="K41" s="252">
        <v>0.13619817006113336</v>
      </c>
      <c r="L41" s="252">
        <v>0.31019189313925527</v>
      </c>
      <c r="M41" s="252">
        <v>0.31019189313925527</v>
      </c>
      <c r="N41" s="252">
        <v>0.40312655170010608</v>
      </c>
      <c r="O41" s="252">
        <v>0.40312655170010608</v>
      </c>
      <c r="P41" s="252">
        <v>0.31019189313925527</v>
      </c>
      <c r="Q41" s="252">
        <v>0.40312655170010608</v>
      </c>
      <c r="R41" s="252">
        <v>0.40312655170010608</v>
      </c>
      <c r="S41" s="252">
        <v>0.40312655170010608</v>
      </c>
    </row>
    <row r="42" spans="2:27" x14ac:dyDescent="0.3">
      <c r="F42" s="37" t="s">
        <v>259</v>
      </c>
      <c r="G42" s="80" t="s">
        <v>169</v>
      </c>
      <c r="H42" s="37"/>
      <c r="I42" s="37"/>
      <c r="J42" s="68"/>
      <c r="K42" s="258">
        <v>0</v>
      </c>
      <c r="L42" s="258">
        <v>4.2322813951746419E-2</v>
      </c>
      <c r="M42" s="258">
        <v>4.2322813951746419E-2</v>
      </c>
      <c r="N42" s="258">
        <v>5.8517039664240052E-2</v>
      </c>
      <c r="O42" s="258">
        <v>5.8517039664240052E-2</v>
      </c>
      <c r="P42" s="258">
        <v>4.2322813951746419E-2</v>
      </c>
      <c r="Q42" s="258">
        <v>5.8517039664240052E-2</v>
      </c>
      <c r="R42" s="258">
        <v>5.8517039664240052E-2</v>
      </c>
      <c r="S42" s="258">
        <v>5.8517039664240052E-2</v>
      </c>
    </row>
    <row r="43" spans="2:27" x14ac:dyDescent="0.3">
      <c r="F43" s="37" t="s">
        <v>298</v>
      </c>
      <c r="G43" s="80" t="s">
        <v>169</v>
      </c>
      <c r="H43" s="37"/>
      <c r="I43" s="37"/>
      <c r="J43" s="68"/>
      <c r="K43" s="258">
        <v>0.71177234230276254</v>
      </c>
      <c r="L43" s="258">
        <v>0.58841050783159343</v>
      </c>
      <c r="M43" s="258">
        <v>0.58841050783159343</v>
      </c>
      <c r="N43" s="258">
        <v>0.50214917619558697</v>
      </c>
      <c r="O43" s="258">
        <v>0.50214917619558697</v>
      </c>
      <c r="P43" s="258">
        <v>0.58841050783159343</v>
      </c>
      <c r="Q43" s="258">
        <v>0.50214917619558697</v>
      </c>
      <c r="R43" s="258">
        <v>0.50214917619558697</v>
      </c>
      <c r="S43" s="258">
        <v>0.50214917619558697</v>
      </c>
    </row>
    <row r="45" spans="2:27" x14ac:dyDescent="0.3">
      <c r="B45" s="30" t="s">
        <v>233</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234</v>
      </c>
      <c r="G47" s="6" t="s">
        <v>57</v>
      </c>
      <c r="H47" s="24">
        <f t="array" ref="H47">SUM(IF(ISERROR(H15:AA44), 1))</f>
        <v>0</v>
      </c>
    </row>
    <row r="49" spans="2:27" x14ac:dyDescent="0.3">
      <c r="E49" t="s">
        <v>299</v>
      </c>
      <c r="G49" s="6" t="s">
        <v>57</v>
      </c>
      <c r="H49" s="24">
        <f>IF(K19 = 1, 0, 1)</f>
        <v>0</v>
      </c>
    </row>
    <row r="51" spans="2:27" x14ac:dyDescent="0.3">
      <c r="E51" s="32" t="s">
        <v>300</v>
      </c>
    </row>
    <row r="52" spans="2:27" x14ac:dyDescent="0.3">
      <c r="E52" s="29" t="s">
        <v>301</v>
      </c>
    </row>
    <row r="53" spans="2:27" x14ac:dyDescent="0.3">
      <c r="F53" s="23" t="s">
        <v>302</v>
      </c>
      <c r="G53" s="73" t="s">
        <v>57</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194</v>
      </c>
      <c r="G54" s="50" t="s">
        <v>57</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241</v>
      </c>
      <c r="G56" s="6" t="s">
        <v>57</v>
      </c>
      <c r="H56" s="103">
        <f>SUM(H47:H54)</f>
        <v>0</v>
      </c>
    </row>
    <row r="58" spans="2:27" x14ac:dyDescent="0.3">
      <c r="B58" s="30" t="s">
        <v>108</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J21 R15:S15 M15 O15">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63" activePane="bottomLeft" state="frozen"/>
      <selection pane="bottomLeft" activeCell="F66" sqref="F66"/>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[enter DNO name] - [enter data version name]</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144</v>
      </c>
      <c r="C5" s="60"/>
      <c r="D5" s="60"/>
      <c r="E5" s="60"/>
      <c r="F5" s="60"/>
      <c r="G5" s="21" t="s">
        <v>145</v>
      </c>
      <c r="H5" s="93" t="s">
        <v>146</v>
      </c>
      <c r="J5" s="61" t="s">
        <v>147</v>
      </c>
    </row>
    <row r="6" spans="1:27" x14ac:dyDescent="0.3">
      <c r="G6" s="13"/>
    </row>
    <row r="7" spans="1:27" x14ac:dyDescent="0.3">
      <c r="B7" s="30" t="s">
        <v>12</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303</v>
      </c>
      <c r="G9" s="13"/>
    </row>
    <row r="10" spans="1:27" x14ac:dyDescent="0.3">
      <c r="G10" s="13"/>
    </row>
    <row r="11" spans="1:27" x14ac:dyDescent="0.3">
      <c r="B11" s="30" t="s">
        <v>62</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304</v>
      </c>
      <c r="E15" s="32"/>
      <c r="G15" s="13"/>
      <c r="I15" t="s">
        <v>156</v>
      </c>
      <c r="J15" t="s">
        <v>305</v>
      </c>
    </row>
    <row r="16" spans="1:27" x14ac:dyDescent="0.3">
      <c r="E16" s="64" t="s">
        <v>298</v>
      </c>
      <c r="F16" s="64"/>
      <c r="G16" s="85" t="s">
        <v>306</v>
      </c>
      <c r="H16" s="253">
        <v>258</v>
      </c>
    </row>
    <row r="17" spans="3:27" x14ac:dyDescent="0.3">
      <c r="E17" s="28" t="s">
        <v>307</v>
      </c>
      <c r="F17" s="28"/>
      <c r="G17" s="13" t="s">
        <v>306</v>
      </c>
      <c r="H17" s="254">
        <v>3265.5</v>
      </c>
    </row>
    <row r="18" spans="3:27" x14ac:dyDescent="0.3">
      <c r="E18" s="67" t="s">
        <v>259</v>
      </c>
      <c r="F18" s="67"/>
      <c r="G18" s="86" t="s">
        <v>306</v>
      </c>
      <c r="H18" s="256">
        <v>5236.5</v>
      </c>
    </row>
    <row r="19" spans="3:27" x14ac:dyDescent="0.3">
      <c r="G19" s="13"/>
      <c r="H19" s="89"/>
    </row>
    <row r="20" spans="3:27" x14ac:dyDescent="0.3">
      <c r="D20" s="32" t="s">
        <v>308</v>
      </c>
      <c r="E20" s="32"/>
      <c r="G20" s="13"/>
      <c r="H20" s="89"/>
      <c r="I20" t="s">
        <v>156</v>
      </c>
      <c r="J20" t="s">
        <v>305</v>
      </c>
    </row>
    <row r="21" spans="3:27" x14ac:dyDescent="0.3">
      <c r="E21" s="23" t="s">
        <v>296</v>
      </c>
      <c r="F21" s="23"/>
      <c r="G21" s="85" t="s">
        <v>306</v>
      </c>
      <c r="H21" s="253">
        <v>783</v>
      </c>
    </row>
    <row r="22" spans="3:27" x14ac:dyDescent="0.3">
      <c r="E22" t="s">
        <v>297</v>
      </c>
      <c r="G22" s="13" t="s">
        <v>306</v>
      </c>
      <c r="H22" s="254">
        <v>2740.5</v>
      </c>
    </row>
    <row r="23" spans="3:27" x14ac:dyDescent="0.3">
      <c r="E23" s="37" t="s">
        <v>259</v>
      </c>
      <c r="F23" s="37"/>
      <c r="G23" s="86" t="s">
        <v>306</v>
      </c>
      <c r="H23" s="256">
        <v>5236.5</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309</v>
      </c>
      <c r="E27" s="29"/>
      <c r="G27" s="13"/>
    </row>
    <row r="28" spans="3:27" x14ac:dyDescent="0.3">
      <c r="D28" s="29"/>
      <c r="E28" s="29"/>
      <c r="G28" s="13"/>
    </row>
    <row r="29" spans="3:27" x14ac:dyDescent="0.3">
      <c r="D29" s="32" t="s">
        <v>310</v>
      </c>
      <c r="E29" s="32"/>
      <c r="G29" s="13"/>
      <c r="I29" t="s">
        <v>156</v>
      </c>
      <c r="J29" t="s">
        <v>311</v>
      </c>
    </row>
    <row r="30" spans="3:27" x14ac:dyDescent="0.3">
      <c r="E30" s="64" t="s">
        <v>177</v>
      </c>
      <c r="F30" s="23"/>
      <c r="G30" s="78" t="s">
        <v>169</v>
      </c>
      <c r="H30" s="257">
        <v>0.30293723133621986</v>
      </c>
      <c r="J30" s="438">
        <v>-1.4841572415491555E-11</v>
      </c>
    </row>
    <row r="31" spans="3:27" x14ac:dyDescent="0.3">
      <c r="E31" s="28" t="s">
        <v>179</v>
      </c>
      <c r="G31" s="72" t="s">
        <v>169</v>
      </c>
      <c r="H31" s="252">
        <v>0.440304373746851</v>
      </c>
      <c r="J31" s="438">
        <v>-2.4512003538035287E-11</v>
      </c>
    </row>
    <row r="32" spans="3:27" x14ac:dyDescent="0.3">
      <c r="E32" s="28" t="s">
        <v>180</v>
      </c>
      <c r="G32" s="72" t="s">
        <v>169</v>
      </c>
      <c r="H32" s="252">
        <v>0.1825428677643125</v>
      </c>
      <c r="J32" s="438">
        <v>-1.7698120746700852E-11</v>
      </c>
    </row>
    <row r="33" spans="3:27" x14ac:dyDescent="0.3">
      <c r="E33" s="67" t="s">
        <v>181</v>
      </c>
      <c r="F33" s="37"/>
      <c r="G33" s="80" t="s">
        <v>169</v>
      </c>
      <c r="H33" s="258">
        <v>7.3486631222764401E-2</v>
      </c>
      <c r="J33" s="438">
        <v>-1.004038518992445E-11</v>
      </c>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312</v>
      </c>
      <c r="E37" s="29"/>
      <c r="G37" s="13"/>
      <c r="H37" s="13"/>
      <c r="I37" t="s">
        <v>156</v>
      </c>
      <c r="J37" t="s">
        <v>313</v>
      </c>
      <c r="K37" s="13"/>
      <c r="L37" s="13"/>
      <c r="M37" s="13"/>
      <c r="N37" s="13"/>
      <c r="O37" s="13"/>
      <c r="P37" s="13"/>
      <c r="Q37" s="13"/>
      <c r="R37" s="13"/>
      <c r="S37" s="13"/>
    </row>
    <row r="38" spans="3:27" x14ac:dyDescent="0.3">
      <c r="D38" s="29" t="s">
        <v>830</v>
      </c>
      <c r="E38" s="29"/>
      <c r="G38" s="13"/>
      <c r="H38" s="13"/>
      <c r="I38" s="13"/>
      <c r="J38" s="97"/>
      <c r="K38" s="13"/>
      <c r="L38" s="13"/>
      <c r="M38" s="13"/>
      <c r="N38" s="13"/>
      <c r="O38" s="13"/>
      <c r="P38" s="13"/>
      <c r="Q38" s="13"/>
      <c r="R38" s="13"/>
      <c r="S38" s="13"/>
    </row>
    <row r="39" spans="3:27" x14ac:dyDescent="0.3">
      <c r="E39" s="32"/>
    </row>
    <row r="40" spans="3:27" x14ac:dyDescent="0.3">
      <c r="E40" t="s">
        <v>314</v>
      </c>
      <c r="G40" t="s">
        <v>279</v>
      </c>
      <c r="H40" s="254">
        <v>431900000</v>
      </c>
    </row>
    <row r="41" spans="3:27" x14ac:dyDescent="0.3">
      <c r="E41" t="s">
        <v>315</v>
      </c>
      <c r="G41" t="s">
        <v>279</v>
      </c>
      <c r="H41" s="254">
        <v>-26808814.005114764</v>
      </c>
    </row>
    <row r="42" spans="3:27" x14ac:dyDescent="0.3">
      <c r="E42" t="s">
        <v>316</v>
      </c>
      <c r="G42" t="s">
        <v>279</v>
      </c>
      <c r="H42" s="254">
        <v>-3190837.5841721585</v>
      </c>
    </row>
    <row r="43" spans="3:27" x14ac:dyDescent="0.3">
      <c r="E43" s="37" t="s">
        <v>317</v>
      </c>
      <c r="F43" s="37"/>
      <c r="G43" s="37" t="s">
        <v>285</v>
      </c>
      <c r="H43" s="256">
        <v>1.2769999999999999</v>
      </c>
    </row>
    <row r="44" spans="3:27" x14ac:dyDescent="0.3">
      <c r="E44" t="s">
        <v>318</v>
      </c>
      <c r="G44" t="s">
        <v>279</v>
      </c>
      <c r="H44" s="98">
        <f>SUM(H40:H42)</f>
        <v>401900348.41071308</v>
      </c>
    </row>
    <row r="45" spans="3:27" x14ac:dyDescent="0.3">
      <c r="E45" t="s">
        <v>319</v>
      </c>
      <c r="G45" t="s">
        <v>279</v>
      </c>
      <c r="H45" s="98">
        <f>H44 * (H43 - 1)</f>
        <v>111326396.50976749</v>
      </c>
    </row>
    <row r="46" spans="3:27" x14ac:dyDescent="0.3">
      <c r="H46" s="89"/>
    </row>
    <row r="47" spans="3:27" x14ac:dyDescent="0.3">
      <c r="E47" t="s">
        <v>320</v>
      </c>
      <c r="G47" t="s">
        <v>279</v>
      </c>
      <c r="H47" s="254">
        <v>516080.82234107313</v>
      </c>
    </row>
    <row r="48" spans="3:27" x14ac:dyDescent="0.3">
      <c r="E48" t="s">
        <v>321</v>
      </c>
      <c r="G48" t="s">
        <v>279</v>
      </c>
      <c r="H48" s="254">
        <v>-34703026.079211257</v>
      </c>
    </row>
    <row r="49" spans="5:8" x14ac:dyDescent="0.3">
      <c r="E49" t="s">
        <v>322</v>
      </c>
      <c r="G49" t="s">
        <v>279</v>
      </c>
      <c r="H49" s="254">
        <v>-4916026.0414401311</v>
      </c>
    </row>
    <row r="50" spans="5:8" x14ac:dyDescent="0.3">
      <c r="E50" t="s">
        <v>323</v>
      </c>
      <c r="G50" t="s">
        <v>279</v>
      </c>
      <c r="H50" s="254">
        <v>2493183.0894522606</v>
      </c>
    </row>
    <row r="51" spans="5:8" x14ac:dyDescent="0.3">
      <c r="E51" t="s">
        <v>324</v>
      </c>
      <c r="G51" t="s">
        <v>279</v>
      </c>
      <c r="H51" s="254">
        <v>-355629.33754791779</v>
      </c>
    </row>
    <row r="52" spans="5:8" x14ac:dyDescent="0.3">
      <c r="E52" t="s">
        <v>325</v>
      </c>
      <c r="G52" t="s">
        <v>279</v>
      </c>
      <c r="H52" s="254">
        <v>53973.590366909753</v>
      </c>
    </row>
    <row r="53" spans="5:8" x14ac:dyDescent="0.3">
      <c r="E53" t="s">
        <v>875</v>
      </c>
      <c r="G53" t="s">
        <v>279</v>
      </c>
      <c r="H53" s="254">
        <v>238531.2016104502</v>
      </c>
    </row>
    <row r="54" spans="5:8" x14ac:dyDescent="0.3">
      <c r="E54" t="s">
        <v>876</v>
      </c>
      <c r="G54" t="s">
        <v>279</v>
      </c>
      <c r="H54" s="254">
        <v>425585.02675901755</v>
      </c>
    </row>
    <row r="55" spans="5:8" x14ac:dyDescent="0.3">
      <c r="E55" s="37" t="s">
        <v>326</v>
      </c>
      <c r="F55" s="37"/>
      <c r="G55" s="37" t="s">
        <v>279</v>
      </c>
      <c r="H55" s="256"/>
    </row>
    <row r="56" spans="5:8" x14ac:dyDescent="0.3">
      <c r="E56" t="s">
        <v>327</v>
      </c>
      <c r="G56" t="s">
        <v>279</v>
      </c>
      <c r="H56" s="99">
        <f>SUM(H47:H55)</f>
        <v>-36247327.727669597</v>
      </c>
    </row>
    <row r="57" spans="5:8" x14ac:dyDescent="0.3">
      <c r="H57" s="89"/>
    </row>
    <row r="58" spans="5:8" x14ac:dyDescent="0.3">
      <c r="E58" t="s">
        <v>328</v>
      </c>
      <c r="G58" t="s">
        <v>279</v>
      </c>
      <c r="H58" s="254">
        <v>6978662.5655805795</v>
      </c>
    </row>
    <row r="59" spans="5:8" x14ac:dyDescent="0.3">
      <c r="E59" t="s">
        <v>329</v>
      </c>
      <c r="G59" t="s">
        <v>279</v>
      </c>
      <c r="H59" s="254">
        <v>19421370.058035698</v>
      </c>
    </row>
    <row r="60" spans="5:8" x14ac:dyDescent="0.3">
      <c r="E60" t="s">
        <v>330</v>
      </c>
      <c r="G60" t="s">
        <v>279</v>
      </c>
      <c r="H60" s="254"/>
    </row>
    <row r="61" spans="5:8" x14ac:dyDescent="0.3">
      <c r="E61" t="s">
        <v>331</v>
      </c>
      <c r="G61" t="s">
        <v>279</v>
      </c>
      <c r="H61" s="254">
        <v>1837730.3343081945</v>
      </c>
    </row>
    <row r="62" spans="5:8" x14ac:dyDescent="0.3">
      <c r="E62" t="s">
        <v>332</v>
      </c>
      <c r="G62" t="s">
        <v>279</v>
      </c>
      <c r="H62" s="254"/>
    </row>
    <row r="63" spans="5:8" x14ac:dyDescent="0.3">
      <c r="E63" t="s">
        <v>333</v>
      </c>
      <c r="G63" t="s">
        <v>279</v>
      </c>
      <c r="H63" s="254">
        <v>1064906.784</v>
      </c>
    </row>
    <row r="64" spans="5:8" x14ac:dyDescent="0.3">
      <c r="E64" t="s">
        <v>334</v>
      </c>
      <c r="G64" t="s">
        <v>279</v>
      </c>
      <c r="H64" s="254"/>
    </row>
    <row r="65" spans="5:10" x14ac:dyDescent="0.3">
      <c r="E65" t="s">
        <v>335</v>
      </c>
      <c r="G65" t="s">
        <v>279</v>
      </c>
      <c r="H65" s="254"/>
    </row>
    <row r="66" spans="5:10" x14ac:dyDescent="0.3">
      <c r="E66" t="s">
        <v>336</v>
      </c>
      <c r="G66" t="s">
        <v>279</v>
      </c>
      <c r="H66" s="254"/>
    </row>
    <row r="67" spans="5:10" x14ac:dyDescent="0.3">
      <c r="E67" t="s">
        <v>337</v>
      </c>
      <c r="G67" t="s">
        <v>279</v>
      </c>
      <c r="H67" s="254"/>
    </row>
    <row r="68" spans="5:10" x14ac:dyDescent="0.3">
      <c r="E68" s="37" t="s">
        <v>338</v>
      </c>
      <c r="F68" s="37"/>
      <c r="G68" s="37" t="s">
        <v>279</v>
      </c>
      <c r="H68" s="256"/>
    </row>
    <row r="69" spans="5:10" x14ac:dyDescent="0.3">
      <c r="E69" t="s">
        <v>339</v>
      </c>
      <c r="G69" t="s">
        <v>279</v>
      </c>
      <c r="H69" s="98">
        <f>SUM(H58:H68)</f>
        <v>29302669.741924472</v>
      </c>
    </row>
    <row r="70" spans="5:10" x14ac:dyDescent="0.3">
      <c r="H70" s="89"/>
    </row>
    <row r="71" spans="5:10" x14ac:dyDescent="0.3">
      <c r="E71" s="37" t="s">
        <v>340</v>
      </c>
      <c r="F71" s="37"/>
      <c r="G71" s="37" t="s">
        <v>279</v>
      </c>
      <c r="H71" s="256">
        <v>32934988.431514379</v>
      </c>
      <c r="J71" s="437"/>
    </row>
    <row r="72" spans="5:10" x14ac:dyDescent="0.3">
      <c r="E72" t="s">
        <v>341</v>
      </c>
      <c r="G72" t="s">
        <v>279</v>
      </c>
      <c r="H72" s="98">
        <f>H71 + H69 + H56 + H45 + H44</f>
        <v>539217075.3662498</v>
      </c>
      <c r="J72" s="437">
        <v>0</v>
      </c>
    </row>
    <row r="73" spans="5:10" x14ac:dyDescent="0.3">
      <c r="H73" s="89"/>
    </row>
    <row r="74" spans="5:10" x14ac:dyDescent="0.3">
      <c r="E74" t="s">
        <v>342</v>
      </c>
      <c r="G74" t="s">
        <v>279</v>
      </c>
      <c r="H74" s="254"/>
    </row>
    <row r="75" spans="5:10" x14ac:dyDescent="0.3">
      <c r="E75" t="s">
        <v>343</v>
      </c>
      <c r="G75" t="s">
        <v>279</v>
      </c>
      <c r="H75" s="254"/>
    </row>
    <row r="76" spans="5:10" x14ac:dyDescent="0.3">
      <c r="E76" t="s">
        <v>344</v>
      </c>
      <c r="G76" t="s">
        <v>279</v>
      </c>
      <c r="H76" s="254"/>
    </row>
    <row r="77" spans="5:10" x14ac:dyDescent="0.3">
      <c r="E77" t="s">
        <v>345</v>
      </c>
      <c r="G77" t="s">
        <v>279</v>
      </c>
      <c r="H77" s="254"/>
    </row>
    <row r="78" spans="5:10" x14ac:dyDescent="0.3">
      <c r="E78" s="37" t="s">
        <v>346</v>
      </c>
      <c r="F78" s="37"/>
      <c r="G78" s="37" t="s">
        <v>279</v>
      </c>
      <c r="H78" s="256"/>
    </row>
    <row r="79" spans="5:10" x14ac:dyDescent="0.3">
      <c r="E79" s="37" t="s">
        <v>347</v>
      </c>
      <c r="F79" s="37"/>
      <c r="G79" s="37" t="s">
        <v>279</v>
      </c>
      <c r="H79" s="100">
        <f>SUM(H74:H78)</f>
        <v>0</v>
      </c>
    </row>
    <row r="80" spans="5:10" x14ac:dyDescent="0.3">
      <c r="E80" t="s">
        <v>348</v>
      </c>
      <c r="G80" t="s">
        <v>279</v>
      </c>
      <c r="H80" s="99">
        <f>H72+H79</f>
        <v>539217075.3662498</v>
      </c>
    </row>
    <row r="81" spans="3:27" x14ac:dyDescent="0.3">
      <c r="H81" s="89"/>
    </row>
    <row r="82" spans="3:27" x14ac:dyDescent="0.3">
      <c r="E82" t="s">
        <v>349</v>
      </c>
      <c r="G82" t="s">
        <v>279</v>
      </c>
      <c r="H82" s="254">
        <v>11116221.737114739</v>
      </c>
      <c r="J82" s="437">
        <v>0</v>
      </c>
    </row>
    <row r="83" spans="3:27" x14ac:dyDescent="0.3">
      <c r="E83" t="s">
        <v>350</v>
      </c>
      <c r="G83" t="s">
        <v>279</v>
      </c>
      <c r="H83" s="254"/>
    </row>
    <row r="84" spans="3:27" x14ac:dyDescent="0.3">
      <c r="E84" t="s">
        <v>351</v>
      </c>
      <c r="G84" t="s">
        <v>279</v>
      </c>
      <c r="H84" s="254"/>
    </row>
    <row r="85" spans="3:27" x14ac:dyDescent="0.3">
      <c r="E85" s="37" t="s">
        <v>352</v>
      </c>
      <c r="F85" s="37"/>
      <c r="G85" s="37" t="s">
        <v>279</v>
      </c>
      <c r="H85" s="256"/>
    </row>
    <row r="86" spans="3:27" x14ac:dyDescent="0.3">
      <c r="E86" t="s">
        <v>353</v>
      </c>
      <c r="G86" t="s">
        <v>279</v>
      </c>
      <c r="H86" s="98">
        <f>SUM(H82:H85)</f>
        <v>11116221.737114739</v>
      </c>
    </row>
    <row r="87" spans="3:27" x14ac:dyDescent="0.3">
      <c r="E87" s="23" t="s">
        <v>354</v>
      </c>
      <c r="F87" s="23"/>
      <c r="G87" s="23" t="s">
        <v>279</v>
      </c>
      <c r="H87" s="101">
        <f>H80-H86</f>
        <v>528100853.62913507</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355</v>
      </c>
      <c r="G91" t="s">
        <v>169</v>
      </c>
      <c r="H91" s="259">
        <v>3.2599999999999997E-2</v>
      </c>
      <c r="I91" t="s">
        <v>156</v>
      </c>
      <c r="J91" s="3" t="s">
        <v>167</v>
      </c>
    </row>
    <row r="92" spans="3:27" x14ac:dyDescent="0.3">
      <c r="E92" s="28" t="s">
        <v>129</v>
      </c>
      <c r="G92" s="28" t="s">
        <v>356</v>
      </c>
      <c r="H92" s="243">
        <v>365</v>
      </c>
    </row>
    <row r="93" spans="3:27" x14ac:dyDescent="0.3">
      <c r="E93" t="s">
        <v>357</v>
      </c>
      <c r="G93" t="s">
        <v>149</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358</v>
      </c>
      <c r="G97" t="s">
        <v>359</v>
      </c>
      <c r="H97" s="254">
        <v>11011320.34158282</v>
      </c>
      <c r="I97" t="s">
        <v>156</v>
      </c>
      <c r="J97" t="s">
        <v>360</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361</v>
      </c>
      <c r="F101" s="32"/>
      <c r="H101" s="89"/>
      <c r="I101" t="s">
        <v>156</v>
      </c>
      <c r="J101" t="s">
        <v>172</v>
      </c>
    </row>
    <row r="102" spans="2:27" x14ac:dyDescent="0.3">
      <c r="F102" s="64" t="s">
        <v>362</v>
      </c>
      <c r="G102" s="23" t="s">
        <v>359</v>
      </c>
      <c r="H102" s="253">
        <v>49384746.802854903</v>
      </c>
    </row>
    <row r="103" spans="2:27" x14ac:dyDescent="0.3">
      <c r="F103" s="28" t="s">
        <v>363</v>
      </c>
      <c r="G103" t="s">
        <v>359</v>
      </c>
      <c r="H103" s="254">
        <v>140806480.82409468</v>
      </c>
      <c r="R103" s="88"/>
      <c r="S103" s="88"/>
    </row>
    <row r="104" spans="2:27" x14ac:dyDescent="0.3">
      <c r="F104" s="67" t="s">
        <v>364</v>
      </c>
      <c r="G104" s="37" t="s">
        <v>359</v>
      </c>
      <c r="H104" s="256">
        <v>30176405.733376</v>
      </c>
      <c r="R104" s="88"/>
      <c r="S104" s="88"/>
    </row>
    <row r="106" spans="2:27" x14ac:dyDescent="0.3">
      <c r="B106" s="30" t="s">
        <v>233</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234</v>
      </c>
      <c r="G108" s="6" t="s">
        <v>57</v>
      </c>
      <c r="H108" s="24">
        <f t="array" ref="H108">SUM(IF(ISERROR(H6:H105), 1))</f>
        <v>0</v>
      </c>
    </row>
    <row r="110" spans="2:27" x14ac:dyDescent="0.3">
      <c r="E110" s="32" t="s">
        <v>365</v>
      </c>
    </row>
    <row r="111" spans="2:27" x14ac:dyDescent="0.3">
      <c r="F111" s="23" t="s">
        <v>366</v>
      </c>
      <c r="G111" s="73" t="s">
        <v>57</v>
      </c>
      <c r="H111" s="74">
        <f>IF(SUM(H16:H18) = hours_in_year, 0, 1)</f>
        <v>0</v>
      </c>
    </row>
    <row r="112" spans="2:27" x14ac:dyDescent="0.3">
      <c r="F112" s="37" t="s">
        <v>367</v>
      </c>
      <c r="G112" s="50" t="s">
        <v>57</v>
      </c>
      <c r="H112" s="75">
        <f>IF(SUM(H21:H23) = hours_in_year, 0, 1)</f>
        <v>0</v>
      </c>
    </row>
    <row r="114" spans="2:27" x14ac:dyDescent="0.3">
      <c r="E114" t="s">
        <v>241</v>
      </c>
      <c r="G114" s="6" t="s">
        <v>57</v>
      </c>
      <c r="H114" s="103">
        <f>SUM(H108,H111:H112)</f>
        <v>0</v>
      </c>
    </row>
    <row r="116" spans="2:27" x14ac:dyDescent="0.3">
      <c r="B116" s="30" t="s">
        <v>108</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terms/"/>
    <ds:schemaRef ds:uri="http://purl.org/dc/elements/1.1/"/>
    <ds:schemaRef ds:uri="http://schemas.microsoft.com/office/2006/documentManagement/types"/>
    <ds:schemaRef ds:uri="dcbf8a88-e063-4a69-82e9-42d02808f636"/>
    <ds:schemaRef ds:uri="df11e38d-df47-44a9-bb81-9cb5331e96c9"/>
    <ds:schemaRef ds:uri="http://www.w3.org/XML/1998/namespace"/>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2020-12-16T08:16:13Z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